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FAC24E22-8C47-4429-92E4-542A958FE37C}" xr6:coauthVersionLast="37" xr6:coauthVersionMax="37" xr10:uidLastSave="{00000000-0000-0000-0000-000000000000}"/>
  <bookViews>
    <workbookView xWindow="0" yWindow="0" windowWidth="20490" windowHeight="7100" firstSheet="12" activeTab="16" xr2:uid="{00000000-000D-0000-FFFF-FFFF00000000}"/>
  </bookViews>
  <sheets>
    <sheet name="MODETABORD" sheetId="2" r:id="rId1"/>
    <sheet name="HISTOMVTDEPENSE" sheetId="14" r:id="rId2"/>
    <sheet name="COMPTE BANQUE" sheetId="13" r:id="rId3"/>
    <sheet name="HISTODEC22" sheetId="44" r:id="rId4"/>
    <sheet name="HISTODEC24" sheetId="60" r:id="rId5"/>
    <sheet name="HISTOJANV25" sheetId="59" r:id="rId6"/>
    <sheet name="HISTOFEV25" sheetId="61" r:id="rId7"/>
    <sheet name="HISTOMARS25" sheetId="62" r:id="rId8"/>
    <sheet name="HISTOAVRIL25" sheetId="65" r:id="rId9"/>
    <sheet name="HISTOMAI25" sheetId="66" r:id="rId10"/>
    <sheet name="HISTOJUIN25" sheetId="67" r:id="rId11"/>
    <sheet name="HISTOJUIL25" sheetId="68" r:id="rId12"/>
    <sheet name="HISTOAOUT25" sheetId="69" r:id="rId13"/>
    <sheet name="HISTOSEPT25" sheetId="70" r:id="rId14"/>
    <sheet name="HISTOOCT25" sheetId="71" r:id="rId15"/>
    <sheet name="HISTONOV25" sheetId="72" r:id="rId16"/>
    <sheet name="HISTODEC25" sheetId="73" r:id="rId17"/>
    <sheet name="HISTORESUME25" sheetId="75" r:id="rId18"/>
    <sheet name="HISTODEC25 (2)" sheetId="76" r:id="rId19"/>
    <sheet name="HISTOJANV24" sheetId="45" r:id="rId20"/>
    <sheet name="HISTOFEV24" sheetId="46" r:id="rId21"/>
    <sheet name="HISTOMARS24" sheetId="47" r:id="rId22"/>
    <sheet name="HISTOAVRIL24" sheetId="48" r:id="rId23"/>
    <sheet name="HISTOMAI24" sheetId="49" r:id="rId24"/>
    <sheet name="HISTOJUIN24" sheetId="50" r:id="rId25"/>
    <sheet name="HISTOJUIL24" sheetId="51" r:id="rId26"/>
    <sheet name="HISTOAOUT24" sheetId="52" r:id="rId27"/>
    <sheet name="HISTOSEPT24" sheetId="53" r:id="rId28"/>
    <sheet name="HISTOOCT24" sheetId="54" r:id="rId29"/>
    <sheet name="HISTONOV24" sheetId="55" r:id="rId30"/>
    <sheet name="HISTODEC244" sheetId="56" r:id="rId31"/>
    <sheet name="HISTORESUME24" sheetId="57" r:id="rId32"/>
    <sheet name="HISTODEC24BB" sheetId="58" r:id="rId33"/>
    <sheet name="HISTOJANV23" sheetId="31" r:id="rId34"/>
    <sheet name="HISTOFEV23" sheetId="32" r:id="rId35"/>
    <sheet name="HISTOMARS23" sheetId="33" r:id="rId36"/>
    <sheet name="HISTOAVRIL23" sheetId="34" r:id="rId37"/>
    <sheet name="HISTOMAI23" sheetId="37" r:id="rId38"/>
    <sheet name="HISTOJUIN23" sheetId="38" r:id="rId39"/>
    <sheet name="HISTOJUIL23" sheetId="39" r:id="rId40"/>
    <sheet name="HISTOAOUT23" sheetId="40" r:id="rId41"/>
    <sheet name="HISTOSEPT23" sheetId="35" r:id="rId42"/>
    <sheet name="HISTOOCT23" sheetId="36" r:id="rId43"/>
    <sheet name="HISTONOV23" sheetId="41" r:id="rId44"/>
    <sheet name="HISTODEC23" sheetId="42" r:id="rId45"/>
    <sheet name="HISTORESUME23" sheetId="43" r:id="rId46"/>
    <sheet name="DETAILSORTIE" sheetId="29" r:id="rId47"/>
  </sheets>
  <externalReferences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xlnm._FilterDatabase" localSheetId="40" hidden="1">HISTOAOUT23!$A$5:$AF$36</definedName>
    <definedName name="_xlnm._FilterDatabase" localSheetId="26" hidden="1">HISTOAOUT24!$A$5:$AF$38</definedName>
    <definedName name="_xlnm._FilterDatabase" localSheetId="12" hidden="1">HISTOAOUT25!$A$5:$AF$42</definedName>
    <definedName name="_xlnm._FilterDatabase" localSheetId="36" hidden="1">HISTOAVRIL23!$A$5:$AF$36</definedName>
    <definedName name="_xlnm._FilterDatabase" localSheetId="22" hidden="1">HISTOAVRIL24!$A$5:$AF$38</definedName>
    <definedName name="_xlnm._FilterDatabase" localSheetId="8" hidden="1">HISTOAVRIL25!$A$5:$AF$42</definedName>
    <definedName name="_xlnm._FilterDatabase" localSheetId="3" hidden="1">HISTODEC22!$A$5:$AF$36</definedName>
    <definedName name="_xlnm._FilterDatabase" localSheetId="44" hidden="1">HISTODEC23!$A$5:$AF$36</definedName>
    <definedName name="_xlnm._FilterDatabase" localSheetId="4" hidden="1">HISTODEC24!$A$5:$AF$42</definedName>
    <definedName name="_xlnm._FilterDatabase" localSheetId="30" hidden="1">HISTODEC244!$A$5:$AF$38</definedName>
    <definedName name="_xlnm._FilterDatabase" localSheetId="32" hidden="1">HISTODEC24BB!$A$5:$AF$38</definedName>
    <definedName name="_xlnm._FilterDatabase" localSheetId="16" hidden="1">HISTODEC25!$A$5:$AF$42</definedName>
    <definedName name="_xlnm._FilterDatabase" localSheetId="18" hidden="1">'HISTODEC25 (2)'!$A$5:$AF$42</definedName>
    <definedName name="_xlnm._FilterDatabase" localSheetId="34" hidden="1">HISTOFEV23!$A$5:$AF$36</definedName>
    <definedName name="_xlnm._FilterDatabase" localSheetId="20" hidden="1">HISTOFEV24!$A$5:$AF$38</definedName>
    <definedName name="_xlnm._FilterDatabase" localSheetId="6" hidden="1">HISTOFEV25!$A$5:$AF$42</definedName>
    <definedName name="_xlnm._FilterDatabase" localSheetId="33" hidden="1">HISTOJANV23!$A$5:$AF$36</definedName>
    <definedName name="_xlnm._FilterDatabase" localSheetId="19" hidden="1">HISTOJANV24!$A$5:$AF$38</definedName>
    <definedName name="_xlnm._FilterDatabase" localSheetId="5" hidden="1">HISTOJANV25!$A$5:$AF$42</definedName>
    <definedName name="_xlnm._FilterDatabase" localSheetId="39" hidden="1">HISTOJUIL23!$A$5:$AF$36</definedName>
    <definedName name="_xlnm._FilterDatabase" localSheetId="25" hidden="1">HISTOJUIL24!$A$5:$AF$38</definedName>
    <definedName name="_xlnm._FilterDatabase" localSheetId="11" hidden="1">HISTOJUIL25!$A$5:$AF$42</definedName>
    <definedName name="_xlnm._FilterDatabase" localSheetId="38" hidden="1">HISTOJUIN23!$A$5:$AF$36</definedName>
    <definedName name="_xlnm._FilterDatabase" localSheetId="24" hidden="1">HISTOJUIN24!$A$5:$AF$38</definedName>
    <definedName name="_xlnm._FilterDatabase" localSheetId="10" hidden="1">HISTOJUIN25!$A$5:$AF$42</definedName>
    <definedName name="_xlnm._FilterDatabase" localSheetId="37" hidden="1">HISTOMAI23!$A$5:$AF$36</definedName>
    <definedName name="_xlnm._FilterDatabase" localSheetId="23" hidden="1">HISTOMAI24!$A$5:$AF$38</definedName>
    <definedName name="_xlnm._FilterDatabase" localSheetId="9" hidden="1">HISTOMAI25!$A$5:$AF$42</definedName>
    <definedName name="_xlnm._FilterDatabase" localSheetId="35" hidden="1">HISTOMARS23!$A$5:$AF$36</definedName>
    <definedName name="_xlnm._FilterDatabase" localSheetId="21" hidden="1">HISTOMARS24!$A$5:$AF$38</definedName>
    <definedName name="_xlnm._FilterDatabase" localSheetId="7" hidden="1">HISTOMARS25!$A$5:$AF$42</definedName>
    <definedName name="_xlnm._FilterDatabase" localSheetId="1" hidden="1">HISTOMVTDEPENSE!$A$5:$AG$37</definedName>
    <definedName name="_xlnm._FilterDatabase" localSheetId="43" hidden="1">HISTONOV23!$A$5:$AF$36</definedName>
    <definedName name="_xlnm._FilterDatabase" localSheetId="29" hidden="1">HISTONOV24!$A$5:$AF$38</definedName>
    <definedName name="_xlnm._FilterDatabase" localSheetId="15" hidden="1">HISTONOV25!$A$5:$AF$42</definedName>
    <definedName name="_xlnm._FilterDatabase" localSheetId="42" hidden="1">HISTOOCT23!$A$5:$AF$36</definedName>
    <definedName name="_xlnm._FilterDatabase" localSheetId="28" hidden="1">HISTOOCT24!$A$5:$AF$38</definedName>
    <definedName name="_xlnm._FilterDatabase" localSheetId="14" hidden="1">HISTOOCT25!$A$5:$AF$42</definedName>
    <definedName name="_xlnm._FilterDatabase" localSheetId="45" hidden="1">HISTORESUME23!$A$5:$AF$36</definedName>
    <definedName name="_xlnm._FilterDatabase" localSheetId="31" hidden="1">HISTORESUME24!$A$5:$AF$38</definedName>
    <definedName name="_xlnm._FilterDatabase" localSheetId="17" hidden="1">HISTORESUME25!$A$5:$AF$42</definedName>
    <definedName name="_xlnm._FilterDatabase" localSheetId="41" hidden="1">HISTOSEPT23!$A$5:$AF$36</definedName>
    <definedName name="_xlnm._FilterDatabase" localSheetId="27" hidden="1">HISTOSEPT24!$A$5:$AF$38</definedName>
    <definedName name="_xlnm._FilterDatabase" localSheetId="13" hidden="1">HISTOSEPT25!$A$5:$AF$42</definedName>
    <definedName name="BANQUE" localSheetId="2">#REF!</definedName>
    <definedName name="BANQUE" localSheetId="40">#REF!</definedName>
    <definedName name="BANQUE" localSheetId="26">#REF!</definedName>
    <definedName name="BANQUE" localSheetId="12">#REF!</definedName>
    <definedName name="BANQUE" localSheetId="36">#REF!</definedName>
    <definedName name="BANQUE" localSheetId="22">#REF!</definedName>
    <definedName name="BANQUE" localSheetId="8">#REF!</definedName>
    <definedName name="BANQUE" localSheetId="3">#REF!</definedName>
    <definedName name="BANQUE" localSheetId="44">#REF!</definedName>
    <definedName name="BANQUE" localSheetId="4">#REF!</definedName>
    <definedName name="BANQUE" localSheetId="30">#REF!</definedName>
    <definedName name="BANQUE" localSheetId="32">#REF!</definedName>
    <definedName name="BANQUE" localSheetId="16">#REF!</definedName>
    <definedName name="BANQUE" localSheetId="18">#REF!</definedName>
    <definedName name="BANQUE" localSheetId="34">#REF!</definedName>
    <definedName name="BANQUE" localSheetId="20">#REF!</definedName>
    <definedName name="BANQUE" localSheetId="6">#REF!</definedName>
    <definedName name="BANQUE" localSheetId="33">#REF!</definedName>
    <definedName name="BANQUE" localSheetId="19">#REF!</definedName>
    <definedName name="BANQUE" localSheetId="5">#REF!</definedName>
    <definedName name="BANQUE" localSheetId="39">#REF!</definedName>
    <definedName name="BANQUE" localSheetId="25">#REF!</definedName>
    <definedName name="BANQUE" localSheetId="11">#REF!</definedName>
    <definedName name="BANQUE" localSheetId="38">#REF!</definedName>
    <definedName name="BANQUE" localSheetId="24">#REF!</definedName>
    <definedName name="BANQUE" localSheetId="10">#REF!</definedName>
    <definedName name="BANQUE" localSheetId="37">#REF!</definedName>
    <definedName name="BANQUE" localSheetId="23">#REF!</definedName>
    <definedName name="BANQUE" localSheetId="9">#REF!</definedName>
    <definedName name="BANQUE" localSheetId="35">#REF!</definedName>
    <definedName name="BANQUE" localSheetId="21">#REF!</definedName>
    <definedName name="BANQUE" localSheetId="7">#REF!</definedName>
    <definedName name="BANQUE" localSheetId="1">#REF!</definedName>
    <definedName name="BANQUE" localSheetId="43">#REF!</definedName>
    <definedName name="BANQUE" localSheetId="29">#REF!</definedName>
    <definedName name="BANQUE" localSheetId="15">#REF!</definedName>
    <definedName name="BANQUE" localSheetId="42">#REF!</definedName>
    <definedName name="BANQUE" localSheetId="28">#REF!</definedName>
    <definedName name="BANQUE" localSheetId="14">#REF!</definedName>
    <definedName name="BANQUE" localSheetId="45">#REF!</definedName>
    <definedName name="BANQUE" localSheetId="31">#REF!</definedName>
    <definedName name="BANQUE" localSheetId="17">#REF!</definedName>
    <definedName name="BANQUE" localSheetId="41">#REF!</definedName>
    <definedName name="BANQUE" localSheetId="27">#REF!</definedName>
    <definedName name="BANQUE" localSheetId="13">#REF!</definedName>
    <definedName name="BANQUE" localSheetId="0">#REF!</definedName>
    <definedName name="BANQUE">#REF!</definedName>
    <definedName name="GG" localSheetId="12">#REF!</definedName>
    <definedName name="GG" localSheetId="8">#REF!</definedName>
    <definedName name="GG" localSheetId="4">#REF!</definedName>
    <definedName name="GG" localSheetId="16">#REF!</definedName>
    <definedName name="GG" localSheetId="18">#REF!</definedName>
    <definedName name="GG" localSheetId="6">#REF!</definedName>
    <definedName name="GG" localSheetId="5">#REF!</definedName>
    <definedName name="GG" localSheetId="11">#REF!</definedName>
    <definedName name="GG" localSheetId="10">#REF!</definedName>
    <definedName name="GG" localSheetId="9">#REF!</definedName>
    <definedName name="GG" localSheetId="7">#REF!</definedName>
    <definedName name="GG" localSheetId="15">#REF!</definedName>
    <definedName name="GG" localSheetId="14">#REF!</definedName>
    <definedName name="GG" localSheetId="17">#REF!</definedName>
    <definedName name="GG" localSheetId="13">#REF!</definedName>
    <definedName name="GG">#REF!</definedName>
    <definedName name="MODEPAID">[1]Feuil2!$A$1:$A$3</definedName>
    <definedName name="MODET25000">[2]MODEVERSEMENT!$A$1:$A$3</definedName>
    <definedName name="MODEVERSEMENT" localSheetId="2">#REF!</definedName>
    <definedName name="MODEVERSEMENT" localSheetId="40">#REF!</definedName>
    <definedName name="MODEVERSEMENT" localSheetId="26">#REF!</definedName>
    <definedName name="MODEVERSEMENT" localSheetId="12">#REF!</definedName>
    <definedName name="MODEVERSEMENT" localSheetId="36">#REF!</definedName>
    <definedName name="MODEVERSEMENT" localSheetId="22">#REF!</definedName>
    <definedName name="MODEVERSEMENT" localSheetId="8">#REF!</definedName>
    <definedName name="MODEVERSEMENT" localSheetId="3">#REF!</definedName>
    <definedName name="MODEVERSEMENT" localSheetId="44">#REF!</definedName>
    <definedName name="MODEVERSEMENT" localSheetId="4">#REF!</definedName>
    <definedName name="MODEVERSEMENT" localSheetId="30">#REF!</definedName>
    <definedName name="MODEVERSEMENT" localSheetId="32">#REF!</definedName>
    <definedName name="MODEVERSEMENT" localSheetId="16">#REF!</definedName>
    <definedName name="MODEVERSEMENT" localSheetId="18">#REF!</definedName>
    <definedName name="MODEVERSEMENT" localSheetId="34">#REF!</definedName>
    <definedName name="MODEVERSEMENT" localSheetId="20">#REF!</definedName>
    <definedName name="MODEVERSEMENT" localSheetId="6">#REF!</definedName>
    <definedName name="MODEVERSEMENT" localSheetId="33">#REF!</definedName>
    <definedName name="MODEVERSEMENT" localSheetId="19">#REF!</definedName>
    <definedName name="MODEVERSEMENT" localSheetId="5">#REF!</definedName>
    <definedName name="MODEVERSEMENT" localSheetId="39">#REF!</definedName>
    <definedName name="MODEVERSEMENT" localSheetId="25">#REF!</definedName>
    <definedName name="MODEVERSEMENT" localSheetId="11">#REF!</definedName>
    <definedName name="MODEVERSEMENT" localSheetId="38">#REF!</definedName>
    <definedName name="MODEVERSEMENT" localSheetId="24">#REF!</definedName>
    <definedName name="MODEVERSEMENT" localSheetId="10">#REF!</definedName>
    <definedName name="MODEVERSEMENT" localSheetId="37">#REF!</definedName>
    <definedName name="MODEVERSEMENT" localSheetId="23">#REF!</definedName>
    <definedName name="MODEVERSEMENT" localSheetId="9">#REF!</definedName>
    <definedName name="MODEVERSEMENT" localSheetId="35">#REF!</definedName>
    <definedName name="MODEVERSEMENT" localSheetId="21">#REF!</definedName>
    <definedName name="MODEVERSEMENT" localSheetId="7">#REF!</definedName>
    <definedName name="MODEVERSEMENT" localSheetId="1">#REF!</definedName>
    <definedName name="MODEVERSEMENT" localSheetId="43">#REF!</definedName>
    <definedName name="MODEVERSEMENT" localSheetId="29">#REF!</definedName>
    <definedName name="MODEVERSEMENT" localSheetId="15">#REF!</definedName>
    <definedName name="MODEVERSEMENT" localSheetId="42">#REF!</definedName>
    <definedName name="MODEVERSEMENT" localSheetId="28">#REF!</definedName>
    <definedName name="MODEVERSEMENT" localSheetId="14">#REF!</definedName>
    <definedName name="MODEVERSEMENT" localSheetId="45">#REF!</definedName>
    <definedName name="MODEVERSEMENT" localSheetId="31">#REF!</definedName>
    <definedName name="MODEVERSEMENT" localSheetId="17">#REF!</definedName>
    <definedName name="MODEVERSEMENT" localSheetId="41">#REF!</definedName>
    <definedName name="MODEVERSEMENT" localSheetId="27">#REF!</definedName>
    <definedName name="MODEVERSEMENT" localSheetId="13">#REF!</definedName>
    <definedName name="MODEVERSEMENT" localSheetId="0">#REF!</definedName>
    <definedName name="MODEVERSEMENT">#REF!</definedName>
    <definedName name="MODEVERSEMENTS" localSheetId="2">[3]TONTJANV25!$A$1:$A$3</definedName>
    <definedName name="MODEVERSEMENTS" localSheetId="40">[3]TONTJANV25!$A$1:$A$3</definedName>
    <definedName name="MODEVERSEMENTS" localSheetId="26">[3]TONTJANV25!$A$1:$A$3</definedName>
    <definedName name="MODEVERSEMENTS" localSheetId="12">[3]TONTJANV25!$A$1:$A$3</definedName>
    <definedName name="MODEVERSEMENTS" localSheetId="36">[3]TONTJANV25!$A$1:$A$3</definedName>
    <definedName name="MODEVERSEMENTS" localSheetId="22">[3]TONTJANV25!$A$1:$A$3</definedName>
    <definedName name="MODEVERSEMENTS" localSheetId="8">[3]TONTJANV25!$A$1:$A$3</definedName>
    <definedName name="MODEVERSEMENTS" localSheetId="3">[3]TONTJANV25!$A$1:$A$3</definedName>
    <definedName name="MODEVERSEMENTS" localSheetId="44">[3]TONTJANV25!$A$1:$A$3</definedName>
    <definedName name="MODEVERSEMENTS" localSheetId="4">[3]TONTJANV25!$A$1:$A$3</definedName>
    <definedName name="MODEVERSEMENTS" localSheetId="30">[3]TONTJANV25!$A$1:$A$3</definedName>
    <definedName name="MODEVERSEMENTS" localSheetId="32">[3]TONTJANV25!$A$1:$A$3</definedName>
    <definedName name="MODEVERSEMENTS" localSheetId="16">[3]TONTJANV25!$A$1:$A$3</definedName>
    <definedName name="MODEVERSEMENTS" localSheetId="18">[3]TONTJANV25!$A$1:$A$3</definedName>
    <definedName name="MODEVERSEMENTS" localSheetId="34">[3]TONTJANV25!$A$1:$A$3</definedName>
    <definedName name="MODEVERSEMENTS" localSheetId="20">[3]TONTJANV25!$A$1:$A$3</definedName>
    <definedName name="MODEVERSEMENTS" localSheetId="6">[3]TONTJANV25!$A$1:$A$3</definedName>
    <definedName name="MODEVERSEMENTS" localSheetId="33">[3]TONTJANV25!$A$1:$A$3</definedName>
    <definedName name="MODEVERSEMENTS" localSheetId="19">[3]TONTJANV25!$A$1:$A$3</definedName>
    <definedName name="MODEVERSEMENTS" localSheetId="5">[3]TONTJANV25!$A$1:$A$3</definedName>
    <definedName name="MODEVERSEMENTS" localSheetId="39">[3]TONTJANV25!$A$1:$A$3</definedName>
    <definedName name="MODEVERSEMENTS" localSheetId="25">[3]TONTJANV25!$A$1:$A$3</definedName>
    <definedName name="MODEVERSEMENTS" localSheetId="11">[3]TONTJANV25!$A$1:$A$3</definedName>
    <definedName name="MODEVERSEMENTS" localSheetId="38">[3]TONTJANV25!$A$1:$A$3</definedName>
    <definedName name="MODEVERSEMENTS" localSheetId="24">[3]TONTJANV25!$A$1:$A$3</definedName>
    <definedName name="MODEVERSEMENTS" localSheetId="10">[3]TONTJANV25!$A$1:$A$3</definedName>
    <definedName name="MODEVERSEMENTS" localSheetId="37">[3]TONTJANV25!$A$1:$A$3</definedName>
    <definedName name="MODEVERSEMENTS" localSheetId="23">[3]TONTJANV25!$A$1:$A$3</definedName>
    <definedName name="MODEVERSEMENTS" localSheetId="9">[3]TONTJANV25!$A$1:$A$3</definedName>
    <definedName name="MODEVERSEMENTS" localSheetId="35">[3]TONTJANV25!$A$1:$A$3</definedName>
    <definedName name="MODEVERSEMENTS" localSheetId="21">[3]TONTJANV25!$A$1:$A$3</definedName>
    <definedName name="MODEVERSEMENTS" localSheetId="7">[3]TONTJANV25!$A$1:$A$3</definedName>
    <definedName name="MODEVERSEMENTS" localSheetId="1">[3]TONTJANV25!$A$1:$A$3</definedName>
    <definedName name="MODEVERSEMENTS" localSheetId="43">[3]TONTJANV25!$A$1:$A$3</definedName>
    <definedName name="MODEVERSEMENTS" localSheetId="29">[3]TONTJANV25!$A$1:$A$3</definedName>
    <definedName name="MODEVERSEMENTS" localSheetId="15">[3]TONTJANV25!$A$1:$A$3</definedName>
    <definedName name="MODEVERSEMENTS" localSheetId="42">[3]TONTJANV25!$A$1:$A$3</definedName>
    <definedName name="MODEVERSEMENTS" localSheetId="28">[3]TONTJANV25!$A$1:$A$3</definedName>
    <definedName name="MODEVERSEMENTS" localSheetId="14">[3]TONTJANV25!$A$1:$A$3</definedName>
    <definedName name="MODEVERSEMENTS" localSheetId="45">[3]TONTJANV25!$A$1:$A$3</definedName>
    <definedName name="MODEVERSEMENTS" localSheetId="31">[3]TONTJANV25!$A$1:$A$3</definedName>
    <definedName name="MODEVERSEMENTS" localSheetId="17">[3]TONTJANV25!$A$1:$A$3</definedName>
    <definedName name="MODEVERSEMENTS" localSheetId="41">[3]TONTJANV25!$A$1:$A$3</definedName>
    <definedName name="MODEVERSEMENTS" localSheetId="27">[3]TONTJANV25!$A$1:$A$3</definedName>
    <definedName name="MODEVERSEMENTS" localSheetId="13">[3]TONTJANV25!$A$1:$A$3</definedName>
    <definedName name="MODEVERSEMENTS">MODETABORD!$A$1:$A$3</definedName>
    <definedName name="VALMODEPAID">[4]MODEPAID!$A$1:$A$3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1" i="73" l="1"/>
  <c r="BB27" i="75" l="1"/>
  <c r="BB14" i="75"/>
  <c r="BB15" i="75"/>
  <c r="G38" i="73"/>
  <c r="G33" i="73"/>
  <c r="G20" i="75"/>
  <c r="BA49" i="73"/>
  <c r="AZ46" i="73"/>
  <c r="AZ49" i="73" s="1"/>
  <c r="BA11" i="73"/>
  <c r="BA6" i="73"/>
  <c r="BA35" i="73" l="1"/>
  <c r="BC72" i="76"/>
  <c r="BC71" i="76"/>
  <c r="BC70" i="76"/>
  <c r="BC69" i="76"/>
  <c r="BC68" i="76"/>
  <c r="BC67" i="76"/>
  <c r="BC66" i="76"/>
  <c r="BA65" i="76"/>
  <c r="BC65" i="76" s="1"/>
  <c r="BC64" i="76"/>
  <c r="BC63" i="76"/>
  <c r="BQ48" i="76"/>
  <c r="BQ44" i="76"/>
  <c r="BM44" i="76"/>
  <c r="BL44" i="76"/>
  <c r="BK44" i="76"/>
  <c r="BI44" i="76"/>
  <c r="BE44" i="76"/>
  <c r="BB44" i="76"/>
  <c r="AV44" i="76"/>
  <c r="AU44" i="76"/>
  <c r="AT44" i="76"/>
  <c r="AO44" i="76"/>
  <c r="AN44" i="76"/>
  <c r="AM44" i="76"/>
  <c r="AL44" i="76"/>
  <c r="AK44" i="76"/>
  <c r="AJ44" i="76"/>
  <c r="AI44" i="76"/>
  <c r="AG44" i="76"/>
  <c r="AF44" i="76"/>
  <c r="AE44" i="76"/>
  <c r="AD44" i="76"/>
  <c r="AC44" i="76"/>
  <c r="AA44" i="76"/>
  <c r="Z44" i="76"/>
  <c r="X44" i="76"/>
  <c r="W44" i="76"/>
  <c r="V44" i="76"/>
  <c r="S44" i="76"/>
  <c r="N44" i="76"/>
  <c r="L44" i="76"/>
  <c r="J44" i="76"/>
  <c r="G44" i="76"/>
  <c r="BF42" i="76"/>
  <c r="AZ42" i="76" s="1"/>
  <c r="AY42" i="76"/>
  <c r="AX42" i="76"/>
  <c r="AW42" i="76"/>
  <c r="F42" i="76"/>
  <c r="BC42" i="76" s="1"/>
  <c r="E42" i="76"/>
  <c r="D42" i="76"/>
  <c r="O42" i="76" s="1"/>
  <c r="B42" i="76"/>
  <c r="BF41" i="76"/>
  <c r="AZ41" i="76" s="1"/>
  <c r="AY41" i="76"/>
  <c r="AX41" i="76"/>
  <c r="AW41" i="76"/>
  <c r="Q41" i="76"/>
  <c r="F41" i="76"/>
  <c r="BC41" i="76" s="1"/>
  <c r="BD41" i="76" s="1"/>
  <c r="E41" i="76"/>
  <c r="D41" i="76"/>
  <c r="B41" i="76"/>
  <c r="BF40" i="76"/>
  <c r="AZ40" i="76" s="1"/>
  <c r="AY40" i="76"/>
  <c r="AX40" i="76"/>
  <c r="AW40" i="76"/>
  <c r="R40" i="76"/>
  <c r="Q40" i="76"/>
  <c r="F40" i="76"/>
  <c r="BC40" i="76" s="1"/>
  <c r="E40" i="76"/>
  <c r="D40" i="76"/>
  <c r="B40" i="76"/>
  <c r="BF39" i="76"/>
  <c r="AY39" i="76"/>
  <c r="AX39" i="76"/>
  <c r="AW39" i="76"/>
  <c r="AZ39" i="76" s="1"/>
  <c r="R39" i="76"/>
  <c r="F39" i="76"/>
  <c r="BC39" i="76" s="1"/>
  <c r="E39" i="76"/>
  <c r="D39" i="76"/>
  <c r="O39" i="76" s="1"/>
  <c r="B39" i="76"/>
  <c r="BF38" i="76"/>
  <c r="AY38" i="76"/>
  <c r="AX38" i="76"/>
  <c r="AW38" i="76"/>
  <c r="R38" i="76"/>
  <c r="Q38" i="76"/>
  <c r="F38" i="76"/>
  <c r="BC38" i="76" s="1"/>
  <c r="E38" i="76"/>
  <c r="D38" i="76"/>
  <c r="B38" i="76"/>
  <c r="BF37" i="76"/>
  <c r="AY37" i="76"/>
  <c r="AZ37" i="76" s="1"/>
  <c r="AX37" i="76"/>
  <c r="AW37" i="76"/>
  <c r="R37" i="76"/>
  <c r="Q37" i="76"/>
  <c r="F37" i="76"/>
  <c r="BC37" i="76" s="1"/>
  <c r="E37" i="76"/>
  <c r="D37" i="76"/>
  <c r="O37" i="76" s="1"/>
  <c r="B37" i="76"/>
  <c r="BQ36" i="76"/>
  <c r="BQ37" i="76" s="1"/>
  <c r="BF36" i="76"/>
  <c r="AZ36" i="76" s="1"/>
  <c r="AY36" i="76"/>
  <c r="AX36" i="76"/>
  <c r="AW36" i="76"/>
  <c r="Q36" i="76"/>
  <c r="F36" i="76"/>
  <c r="BC36" i="76" s="1"/>
  <c r="BD36" i="76" s="1"/>
  <c r="E36" i="76"/>
  <c r="D36" i="76"/>
  <c r="O36" i="76" s="1"/>
  <c r="B36" i="76"/>
  <c r="BF35" i="76"/>
  <c r="AZ35" i="76" s="1"/>
  <c r="BA35" i="76"/>
  <c r="AY35" i="76"/>
  <c r="AX35" i="76"/>
  <c r="AW35" i="76"/>
  <c r="R35" i="76"/>
  <c r="F35" i="76"/>
  <c r="BC35" i="76" s="1"/>
  <c r="E35" i="76"/>
  <c r="D35" i="76"/>
  <c r="M35" i="76" s="1"/>
  <c r="B35" i="76"/>
  <c r="BF34" i="76"/>
  <c r="AY34" i="76"/>
  <c r="AX34" i="76"/>
  <c r="AW34" i="76"/>
  <c r="Q34" i="76"/>
  <c r="F34" i="76"/>
  <c r="BC34" i="76" s="1"/>
  <c r="E34" i="76"/>
  <c r="D34" i="76"/>
  <c r="B34" i="76"/>
  <c r="BF33" i="76"/>
  <c r="AY33" i="76"/>
  <c r="AX33" i="76"/>
  <c r="AW33" i="76"/>
  <c r="AZ33" i="76" s="1"/>
  <c r="R33" i="76"/>
  <c r="Q33" i="76"/>
  <c r="F33" i="76"/>
  <c r="BC33" i="76" s="1"/>
  <c r="E33" i="76"/>
  <c r="D33" i="76"/>
  <c r="B33" i="76"/>
  <c r="BF32" i="76"/>
  <c r="AY32" i="76"/>
  <c r="AX32" i="76"/>
  <c r="AW32" i="76"/>
  <c r="AZ32" i="76" s="1"/>
  <c r="Q32" i="76"/>
  <c r="F32" i="76"/>
  <c r="BC32" i="76" s="1"/>
  <c r="E32" i="76"/>
  <c r="D32" i="76"/>
  <c r="O32" i="76" s="1"/>
  <c r="B32" i="76"/>
  <c r="BF31" i="76"/>
  <c r="AY31" i="76"/>
  <c r="AX31" i="76"/>
  <c r="AW31" i="76"/>
  <c r="R31" i="76"/>
  <c r="Q31" i="76"/>
  <c r="F31" i="76"/>
  <c r="BC31" i="76" s="1"/>
  <c r="E31" i="76"/>
  <c r="D31" i="76"/>
  <c r="B31" i="76"/>
  <c r="BQ30" i="76"/>
  <c r="BF30" i="76"/>
  <c r="AZ30" i="76"/>
  <c r="AY30" i="76"/>
  <c r="AX30" i="76"/>
  <c r="AW30" i="76"/>
  <c r="R30" i="76"/>
  <c r="F30" i="76"/>
  <c r="BC30" i="76" s="1"/>
  <c r="E30" i="76"/>
  <c r="D30" i="76"/>
  <c r="O30" i="76" s="1"/>
  <c r="B30" i="76"/>
  <c r="BF29" i="76"/>
  <c r="AZ29" i="76"/>
  <c r="AY29" i="76"/>
  <c r="AX29" i="76"/>
  <c r="AW29" i="76"/>
  <c r="R29" i="76"/>
  <c r="Q29" i="76"/>
  <c r="F29" i="76"/>
  <c r="BC29" i="76" s="1"/>
  <c r="E29" i="76"/>
  <c r="D29" i="76"/>
  <c r="I29" i="76" s="1"/>
  <c r="AQ29" i="76" s="1"/>
  <c r="B29" i="76"/>
  <c r="BF28" i="76"/>
  <c r="AZ28" i="76" s="1"/>
  <c r="BA28" i="76"/>
  <c r="AY28" i="76"/>
  <c r="AX28" i="76"/>
  <c r="AW28" i="76"/>
  <c r="R28" i="76"/>
  <c r="Q28" i="76"/>
  <c r="F28" i="76"/>
  <c r="BC28" i="76" s="1"/>
  <c r="BD28" i="76" s="1"/>
  <c r="E28" i="76"/>
  <c r="D28" i="76"/>
  <c r="I28" i="76" s="1"/>
  <c r="H28" i="76" s="1"/>
  <c r="B28" i="76"/>
  <c r="BF27" i="76"/>
  <c r="AZ27" i="76" s="1"/>
  <c r="AY27" i="76"/>
  <c r="AX27" i="76"/>
  <c r="AW27" i="76"/>
  <c r="Q27" i="76"/>
  <c r="F27" i="76"/>
  <c r="BC27" i="76" s="1"/>
  <c r="E27" i="76"/>
  <c r="D27" i="76"/>
  <c r="M27" i="76" s="1"/>
  <c r="B27" i="76"/>
  <c r="BF26" i="76"/>
  <c r="AY26" i="76"/>
  <c r="AX26" i="76"/>
  <c r="AW26" i="76"/>
  <c r="AZ26" i="76" s="1"/>
  <c r="F26" i="76"/>
  <c r="BC26" i="76" s="1"/>
  <c r="E26" i="76"/>
  <c r="D26" i="76"/>
  <c r="O26" i="76" s="1"/>
  <c r="B26" i="76"/>
  <c r="BF25" i="76"/>
  <c r="AY25" i="76"/>
  <c r="AX25" i="76"/>
  <c r="AZ25" i="76" s="1"/>
  <c r="AW25" i="76"/>
  <c r="Q25" i="76"/>
  <c r="F25" i="76"/>
  <c r="BC25" i="76" s="1"/>
  <c r="E25" i="76"/>
  <c r="D25" i="76"/>
  <c r="B25" i="76"/>
  <c r="BQ24" i="76"/>
  <c r="BF24" i="76"/>
  <c r="AY24" i="76"/>
  <c r="AZ24" i="76" s="1"/>
  <c r="AX24" i="76"/>
  <c r="AW24" i="76"/>
  <c r="R24" i="76"/>
  <c r="F24" i="76"/>
  <c r="BC24" i="76" s="1"/>
  <c r="E24" i="76"/>
  <c r="D24" i="76"/>
  <c r="O24" i="76" s="1"/>
  <c r="B24" i="76"/>
  <c r="BF23" i="76"/>
  <c r="AZ23" i="76" s="1"/>
  <c r="AY23" i="76"/>
  <c r="AX23" i="76"/>
  <c r="AW23" i="76"/>
  <c r="R23" i="76"/>
  <c r="Q23" i="76"/>
  <c r="F23" i="76"/>
  <c r="BC23" i="76" s="1"/>
  <c r="E23" i="76"/>
  <c r="D23" i="76"/>
  <c r="B23" i="76"/>
  <c r="BF22" i="76"/>
  <c r="AZ22" i="76" s="1"/>
  <c r="AY22" i="76"/>
  <c r="AX22" i="76"/>
  <c r="AW22" i="76"/>
  <c r="F22" i="76"/>
  <c r="BC22" i="76" s="1"/>
  <c r="BD22" i="76" s="1"/>
  <c r="E22" i="76"/>
  <c r="D22" i="76"/>
  <c r="B22" i="76"/>
  <c r="BF21" i="76"/>
  <c r="AZ21" i="76" s="1"/>
  <c r="AY21" i="76"/>
  <c r="AX21" i="76"/>
  <c r="AW21" i="76"/>
  <c r="R21" i="76"/>
  <c r="Q21" i="76"/>
  <c r="F21" i="76"/>
  <c r="BC21" i="76" s="1"/>
  <c r="E21" i="76"/>
  <c r="D21" i="76"/>
  <c r="I21" i="76" s="1"/>
  <c r="H21" i="76" s="1"/>
  <c r="B21" i="76"/>
  <c r="B20" i="76"/>
  <c r="BF19" i="76"/>
  <c r="AY19" i="76"/>
  <c r="AX19" i="76"/>
  <c r="AW19" i="76"/>
  <c r="AZ19" i="76" s="1"/>
  <c r="F19" i="76"/>
  <c r="BC19" i="76" s="1"/>
  <c r="E19" i="76"/>
  <c r="D19" i="76"/>
  <c r="O19" i="76" s="1"/>
  <c r="B19" i="76"/>
  <c r="BF18" i="76"/>
  <c r="AY18" i="76"/>
  <c r="AZ18" i="76" s="1"/>
  <c r="AX18" i="76"/>
  <c r="AW18" i="76"/>
  <c r="Q18" i="76"/>
  <c r="F18" i="76"/>
  <c r="BC18" i="76" s="1"/>
  <c r="E18" i="76"/>
  <c r="D18" i="76"/>
  <c r="B18" i="76"/>
  <c r="BF17" i="76"/>
  <c r="AY17" i="76"/>
  <c r="AZ17" i="76" s="1"/>
  <c r="AX17" i="76"/>
  <c r="AW17" i="76"/>
  <c r="F17" i="76"/>
  <c r="BC17" i="76" s="1"/>
  <c r="E17" i="76"/>
  <c r="D17" i="76"/>
  <c r="O17" i="76" s="1"/>
  <c r="B17" i="76"/>
  <c r="BF16" i="76"/>
  <c r="AZ16" i="76" s="1"/>
  <c r="AY16" i="76"/>
  <c r="AX16" i="76"/>
  <c r="AW16" i="76"/>
  <c r="R16" i="76"/>
  <c r="F16" i="76"/>
  <c r="BC16" i="76" s="1"/>
  <c r="E16" i="76"/>
  <c r="D16" i="76"/>
  <c r="O16" i="76" s="1"/>
  <c r="B16" i="76"/>
  <c r="BF15" i="76"/>
  <c r="AZ15" i="76" s="1"/>
  <c r="AY15" i="76"/>
  <c r="AX15" i="76"/>
  <c r="AW15" i="76"/>
  <c r="Q15" i="76"/>
  <c r="F15" i="76"/>
  <c r="BC15" i="76" s="1"/>
  <c r="BD15" i="76" s="1"/>
  <c r="E15" i="76"/>
  <c r="D15" i="76"/>
  <c r="K15" i="76" s="1"/>
  <c r="B15" i="76"/>
  <c r="BF14" i="76"/>
  <c r="AY14" i="76"/>
  <c r="AX14" i="76"/>
  <c r="AW14" i="76"/>
  <c r="R14" i="76"/>
  <c r="Q14" i="76"/>
  <c r="F14" i="76"/>
  <c r="BC14" i="76" s="1"/>
  <c r="E14" i="76"/>
  <c r="D14" i="76"/>
  <c r="B14" i="76"/>
  <c r="BF13" i="76"/>
  <c r="AZ13" i="76" s="1"/>
  <c r="AY13" i="76"/>
  <c r="AX13" i="76"/>
  <c r="AW13" i="76"/>
  <c r="R13" i="76"/>
  <c r="Q13" i="76"/>
  <c r="F13" i="76"/>
  <c r="BC13" i="76" s="1"/>
  <c r="E13" i="76"/>
  <c r="D13" i="76"/>
  <c r="O13" i="76" s="1"/>
  <c r="B13" i="76"/>
  <c r="BF12" i="76"/>
  <c r="AY12" i="76"/>
  <c r="AX12" i="76"/>
  <c r="AW12" i="76"/>
  <c r="AZ12" i="76" s="1"/>
  <c r="Q12" i="76"/>
  <c r="F12" i="76"/>
  <c r="BC12" i="76" s="1"/>
  <c r="E12" i="76"/>
  <c r="D12" i="76"/>
  <c r="O12" i="76" s="1"/>
  <c r="B12" i="76"/>
  <c r="BF11" i="76"/>
  <c r="BA11" i="76"/>
  <c r="AZ11" i="76"/>
  <c r="AY11" i="76"/>
  <c r="AX11" i="76"/>
  <c r="AW11" i="76"/>
  <c r="Q11" i="76"/>
  <c r="F11" i="76"/>
  <c r="BC11" i="76" s="1"/>
  <c r="E11" i="76"/>
  <c r="D11" i="76"/>
  <c r="B11" i="76"/>
  <c r="BF10" i="76"/>
  <c r="AZ10" i="76" s="1"/>
  <c r="AY10" i="76"/>
  <c r="AX10" i="76"/>
  <c r="AW10" i="76"/>
  <c r="R10" i="76"/>
  <c r="Q10" i="76"/>
  <c r="F10" i="76"/>
  <c r="BC10" i="76" s="1"/>
  <c r="E10" i="76"/>
  <c r="D10" i="76"/>
  <c r="O10" i="76" s="1"/>
  <c r="B10" i="76"/>
  <c r="BF9" i="76"/>
  <c r="AZ9" i="76"/>
  <c r="AY9" i="76"/>
  <c r="AX9" i="76"/>
  <c r="AW9" i="76"/>
  <c r="Q9" i="76"/>
  <c r="F9" i="76"/>
  <c r="BC9" i="76" s="1"/>
  <c r="E9" i="76"/>
  <c r="D9" i="76"/>
  <c r="B9" i="76"/>
  <c r="BQ8" i="76"/>
  <c r="BQ17" i="76" s="1"/>
  <c r="BF8" i="76"/>
  <c r="AZ8" i="76" s="1"/>
  <c r="AY8" i="76"/>
  <c r="AX8" i="76"/>
  <c r="AW8" i="76"/>
  <c r="R8" i="76"/>
  <c r="F8" i="76"/>
  <c r="BC8" i="76" s="1"/>
  <c r="E8" i="76"/>
  <c r="D8" i="76"/>
  <c r="I8" i="76" s="1"/>
  <c r="AR8" i="76" s="1"/>
  <c r="B8" i="76"/>
  <c r="BF7" i="76"/>
  <c r="AY7" i="76"/>
  <c r="AX7" i="76"/>
  <c r="AW7" i="76"/>
  <c r="R7" i="76"/>
  <c r="Q7" i="76"/>
  <c r="F7" i="76"/>
  <c r="BC7" i="76" s="1"/>
  <c r="E7" i="76"/>
  <c r="D7" i="76"/>
  <c r="B7" i="76"/>
  <c r="BN6" i="76"/>
  <c r="BJ6" i="76"/>
  <c r="BJ44" i="76" s="1"/>
  <c r="BI6" i="76"/>
  <c r="BH6" i="76"/>
  <c r="BH44" i="76" s="1"/>
  <c r="BF6" i="76"/>
  <c r="BA6" i="76"/>
  <c r="BA44" i="76" s="1"/>
  <c r="AY6" i="76"/>
  <c r="AY44" i="76" s="1"/>
  <c r="AX6" i="76"/>
  <c r="AW6" i="76"/>
  <c r="P6" i="76"/>
  <c r="F6" i="76"/>
  <c r="BC6" i="76" s="1"/>
  <c r="E6" i="76"/>
  <c r="D6" i="76"/>
  <c r="I6" i="76" s="1"/>
  <c r="B6" i="76"/>
  <c r="K40" i="76" l="1"/>
  <c r="M7" i="76"/>
  <c r="I30" i="76"/>
  <c r="H30" i="76" s="1"/>
  <c r="I41" i="76"/>
  <c r="AR41" i="76" s="1"/>
  <c r="K8" i="76"/>
  <c r="K9" i="76"/>
  <c r="M11" i="76"/>
  <c r="BD12" i="76"/>
  <c r="BD25" i="76"/>
  <c r="M23" i="76"/>
  <c r="H8" i="76"/>
  <c r="K6" i="76"/>
  <c r="M6" i="76"/>
  <c r="I16" i="76"/>
  <c r="AQ16" i="76" s="1"/>
  <c r="I17" i="76"/>
  <c r="AR17" i="76" s="1"/>
  <c r="O34" i="76"/>
  <c r="BD39" i="76"/>
  <c r="M40" i="76"/>
  <c r="BD40" i="76"/>
  <c r="O8" i="76"/>
  <c r="O6" i="76"/>
  <c r="K16" i="76"/>
  <c r="K29" i="76"/>
  <c r="AS29" i="76" s="1"/>
  <c r="I36" i="76"/>
  <c r="AQ36" i="76" s="1"/>
  <c r="O40" i="76"/>
  <c r="M29" i="76"/>
  <c r="M15" i="76"/>
  <c r="M16" i="76"/>
  <c r="M9" i="76"/>
  <c r="O15" i="76"/>
  <c r="BD19" i="76"/>
  <c r="O28" i="76"/>
  <c r="O29" i="76"/>
  <c r="K30" i="76"/>
  <c r="M14" i="76"/>
  <c r="O22" i="76"/>
  <c r="BD35" i="76"/>
  <c r="AR6" i="76"/>
  <c r="AQ6" i="76"/>
  <c r="H6" i="76"/>
  <c r="BD42" i="76"/>
  <c r="O14" i="76"/>
  <c r="BD27" i="76"/>
  <c r="BD29" i="76"/>
  <c r="O23" i="76"/>
  <c r="K36" i="76"/>
  <c r="BD37" i="76"/>
  <c r="BD17" i="76"/>
  <c r="O7" i="76"/>
  <c r="K17" i="76"/>
  <c r="I22" i="76"/>
  <c r="AR22" i="76" s="1"/>
  <c r="M36" i="76"/>
  <c r="I37" i="76"/>
  <c r="I42" i="76"/>
  <c r="AQ42" i="76" s="1"/>
  <c r="I9" i="76"/>
  <c r="AQ9" i="76" s="1"/>
  <c r="O9" i="76"/>
  <c r="BD9" i="76"/>
  <c r="BD16" i="76"/>
  <c r="K22" i="76"/>
  <c r="I23" i="76"/>
  <c r="AR23" i="76" s="1"/>
  <c r="I24" i="76"/>
  <c r="AR24" i="76" s="1"/>
  <c r="BD24" i="76"/>
  <c r="K37" i="76"/>
  <c r="K41" i="76"/>
  <c r="K42" i="76"/>
  <c r="AS8" i="76"/>
  <c r="BD13" i="76"/>
  <c r="I15" i="76"/>
  <c r="H15" i="76" s="1"/>
  <c r="BD18" i="76"/>
  <c r="M22" i="76"/>
  <c r="K23" i="76"/>
  <c r="K24" i="76"/>
  <c r="K28" i="76"/>
  <c r="AS28" i="76" s="1"/>
  <c r="M41" i="76"/>
  <c r="M42" i="76"/>
  <c r="AQ8" i="76"/>
  <c r="I11" i="76"/>
  <c r="H11" i="76" s="1"/>
  <c r="H16" i="76"/>
  <c r="BD21" i="76"/>
  <c r="BD23" i="76"/>
  <c r="M28" i="76"/>
  <c r="BD32" i="76"/>
  <c r="O41" i="76"/>
  <c r="BD8" i="76"/>
  <c r="BD10" i="76"/>
  <c r="H50" i="76"/>
  <c r="BA56" i="76"/>
  <c r="BA58" i="76" s="1"/>
  <c r="BB61" i="76" s="1"/>
  <c r="M19" i="76"/>
  <c r="K19" i="76"/>
  <c r="I19" i="76"/>
  <c r="AQ21" i="76"/>
  <c r="AQ28" i="76"/>
  <c r="M32" i="76"/>
  <c r="K32" i="76"/>
  <c r="I32" i="76"/>
  <c r="M13" i="76"/>
  <c r="K14" i="76"/>
  <c r="O18" i="76"/>
  <c r="M18" i="76"/>
  <c r="K18" i="76"/>
  <c r="I18" i="76"/>
  <c r="AR21" i="76"/>
  <c r="M26" i="76"/>
  <c r="K26" i="76"/>
  <c r="I26" i="76"/>
  <c r="BD26" i="76"/>
  <c r="AR28" i="76"/>
  <c r="AZ6" i="76"/>
  <c r="BF44" i="76"/>
  <c r="BD11" i="76"/>
  <c r="K35" i="76"/>
  <c r="I35" i="76"/>
  <c r="M39" i="76"/>
  <c r="K39" i="76"/>
  <c r="I39" i="76"/>
  <c r="AW44" i="76"/>
  <c r="I7" i="76"/>
  <c r="D44" i="76"/>
  <c r="D50" i="76" s="1"/>
  <c r="AX44" i="76"/>
  <c r="AS16" i="76"/>
  <c r="K21" i="76"/>
  <c r="AS21" i="76" s="1"/>
  <c r="O25" i="76"/>
  <c r="M25" i="76"/>
  <c r="K25" i="76"/>
  <c r="I25" i="76"/>
  <c r="AZ31" i="76"/>
  <c r="BD31" i="76" s="1"/>
  <c r="M34" i="76"/>
  <c r="K34" i="76"/>
  <c r="I34" i="76"/>
  <c r="AZ34" i="76"/>
  <c r="BD34" i="76" s="1"/>
  <c r="AZ38" i="76"/>
  <c r="BD38" i="76" s="1"/>
  <c r="AR29" i="76"/>
  <c r="O21" i="76"/>
  <c r="O31" i="76"/>
  <c r="M31" i="76"/>
  <c r="K31" i="76"/>
  <c r="I31" i="76"/>
  <c r="BD33" i="76"/>
  <c r="O35" i="76"/>
  <c r="O38" i="76"/>
  <c r="M38" i="76"/>
  <c r="K38" i="76"/>
  <c r="I38" i="76"/>
  <c r="K27" i="76"/>
  <c r="I27" i="76"/>
  <c r="BD30" i="76"/>
  <c r="O27" i="76"/>
  <c r="I10" i="76"/>
  <c r="BC44" i="76"/>
  <c r="M12" i="76"/>
  <c r="K12" i="76"/>
  <c r="I12" i="76"/>
  <c r="AQ30" i="76"/>
  <c r="H41" i="76"/>
  <c r="BC73" i="76"/>
  <c r="E44" i="76"/>
  <c r="M21" i="76"/>
  <c r="F44" i="76"/>
  <c r="K11" i="76"/>
  <c r="K10" i="76"/>
  <c r="O11" i="76"/>
  <c r="K7" i="76"/>
  <c r="AZ7" i="76"/>
  <c r="BD7" i="76" s="1"/>
  <c r="M8" i="76"/>
  <c r="M10" i="76"/>
  <c r="K13" i="76"/>
  <c r="I13" i="76"/>
  <c r="I14" i="76"/>
  <c r="AZ14" i="76"/>
  <c r="BD14" i="76" s="1"/>
  <c r="H29" i="76"/>
  <c r="K33" i="76"/>
  <c r="Y33" i="76" s="1"/>
  <c r="I33" i="76"/>
  <c r="AQ37" i="76"/>
  <c r="M17" i="76"/>
  <c r="M24" i="76"/>
  <c r="M30" i="76"/>
  <c r="M37" i="76"/>
  <c r="AR37" i="76"/>
  <c r="I40" i="76"/>
  <c r="AR16" i="76" l="1"/>
  <c r="AS24" i="76"/>
  <c r="AR42" i="76"/>
  <c r="AR36" i="76"/>
  <c r="AS36" i="76"/>
  <c r="AS17" i="76"/>
  <c r="H36" i="76"/>
  <c r="Y40" i="76"/>
  <c r="AR30" i="76"/>
  <c r="AS30" i="76"/>
  <c r="AQ41" i="76"/>
  <c r="Y37" i="76"/>
  <c r="Y30" i="76"/>
  <c r="Y7" i="76"/>
  <c r="Y24" i="76"/>
  <c r="Y16" i="76"/>
  <c r="Y15" i="76"/>
  <c r="Y23" i="76"/>
  <c r="Y10" i="76"/>
  <c r="Y6" i="76"/>
  <c r="Y13" i="76"/>
  <c r="AQ15" i="76"/>
  <c r="H23" i="76"/>
  <c r="AQ23" i="76"/>
  <c r="Y36" i="76"/>
  <c r="AR15" i="76"/>
  <c r="AS15" i="76"/>
  <c r="Y17" i="76"/>
  <c r="AQ22" i="76"/>
  <c r="Y41" i="76"/>
  <c r="Y9" i="76"/>
  <c r="Y22" i="76"/>
  <c r="Y25" i="76"/>
  <c r="Y14" i="76"/>
  <c r="AS42" i="76"/>
  <c r="Y27" i="76"/>
  <c r="AQ11" i="76"/>
  <c r="H42" i="76"/>
  <c r="Y29" i="76"/>
  <c r="AQ17" i="76"/>
  <c r="H17" i="76"/>
  <c r="AS41" i="76"/>
  <c r="AR11" i="76"/>
  <c r="M44" i="76"/>
  <c r="Y28" i="76"/>
  <c r="Y42" i="76"/>
  <c r="Y11" i="76"/>
  <c r="Y12" i="76"/>
  <c r="Y32" i="76"/>
  <c r="AR9" i="76"/>
  <c r="H9" i="76"/>
  <c r="AS9" i="76"/>
  <c r="O44" i="76"/>
  <c r="AS23" i="76"/>
  <c r="H24" i="76"/>
  <c r="AQ24" i="76"/>
  <c r="AS37" i="76"/>
  <c r="H37" i="76"/>
  <c r="H22" i="76"/>
  <c r="AS22" i="76"/>
  <c r="AS25" i="76"/>
  <c r="AR25" i="76"/>
  <c r="AQ25" i="76"/>
  <c r="H25" i="76"/>
  <c r="AR34" i="76"/>
  <c r="AQ34" i="76"/>
  <c r="H34" i="76"/>
  <c r="AS34" i="76"/>
  <c r="C34" i="76"/>
  <c r="Y35" i="76"/>
  <c r="AQ35" i="76"/>
  <c r="H35" i="76"/>
  <c r="AR35" i="76"/>
  <c r="AS35" i="76"/>
  <c r="AR32" i="76"/>
  <c r="AQ32" i="76"/>
  <c r="H32" i="76"/>
  <c r="AS32" i="76"/>
  <c r="BA46" i="76"/>
  <c r="BA47" i="76" s="1"/>
  <c r="G50" i="76"/>
  <c r="I50" i="76" s="1"/>
  <c r="AS38" i="76"/>
  <c r="AR38" i="76"/>
  <c r="AQ38" i="76"/>
  <c r="H38" i="76"/>
  <c r="Y8" i="76"/>
  <c r="Y38" i="76"/>
  <c r="Y34" i="76"/>
  <c r="AQ7" i="76"/>
  <c r="H7" i="76"/>
  <c r="AS7" i="76"/>
  <c r="AR7" i="76"/>
  <c r="AQ27" i="76"/>
  <c r="H27" i="76"/>
  <c r="AR27" i="76"/>
  <c r="AS27" i="76"/>
  <c r="AQ40" i="76"/>
  <c r="H40" i="76"/>
  <c r="AR40" i="76"/>
  <c r="AS40" i="76"/>
  <c r="AS11" i="76"/>
  <c r="AS10" i="76"/>
  <c r="AR10" i="76"/>
  <c r="AQ10" i="76"/>
  <c r="H10" i="76"/>
  <c r="Y31" i="76"/>
  <c r="I44" i="76"/>
  <c r="AR12" i="76"/>
  <c r="AQ12" i="76"/>
  <c r="AS12" i="76"/>
  <c r="H12" i="76"/>
  <c r="H14" i="76"/>
  <c r="AQ14" i="76"/>
  <c r="AS14" i="76"/>
  <c r="AR14" i="76"/>
  <c r="BD6" i="76"/>
  <c r="BD44" i="76" s="1"/>
  <c r="AZ44" i="76"/>
  <c r="AZ88" i="76" s="1"/>
  <c r="AR26" i="76"/>
  <c r="AQ26" i="76"/>
  <c r="H26" i="76"/>
  <c r="AS26" i="76"/>
  <c r="AS18" i="76"/>
  <c r="AR18" i="76"/>
  <c r="AQ18" i="76"/>
  <c r="H18" i="76"/>
  <c r="AR19" i="76"/>
  <c r="AQ19" i="76"/>
  <c r="H19" i="76"/>
  <c r="AS19" i="76"/>
  <c r="AS31" i="76"/>
  <c r="AR31" i="76"/>
  <c r="AQ31" i="76"/>
  <c r="H31" i="76"/>
  <c r="AS33" i="76"/>
  <c r="AR33" i="76"/>
  <c r="AQ33" i="76"/>
  <c r="H33" i="76"/>
  <c r="Y21" i="76"/>
  <c r="AR39" i="76"/>
  <c r="AQ39" i="76"/>
  <c r="H39" i="76"/>
  <c r="AS39" i="76"/>
  <c r="AQ13" i="76"/>
  <c r="H13" i="76"/>
  <c r="AR13" i="76"/>
  <c r="AS13" i="76"/>
  <c r="Y39" i="76"/>
  <c r="K44" i="76"/>
  <c r="Y26" i="76"/>
  <c r="Y18" i="76"/>
  <c r="Y19" i="76"/>
  <c r="Y44" i="76" l="1"/>
  <c r="C50" i="76"/>
  <c r="E50" i="76" s="1"/>
  <c r="BD47" i="76"/>
  <c r="AS44" i="76"/>
  <c r="H44" i="76"/>
  <c r="AR44" i="76"/>
  <c r="AQ44" i="76"/>
  <c r="R9" i="76" l="1"/>
  <c r="R25" i="76"/>
  <c r="R12" i="76"/>
  <c r="R27" i="76"/>
  <c r="R36" i="76"/>
  <c r="R6" i="76"/>
  <c r="R42" i="76"/>
  <c r="R22" i="76"/>
  <c r="R11" i="76"/>
  <c r="R19" i="76"/>
  <c r="R18" i="76"/>
  <c r="R34" i="76"/>
  <c r="R17" i="76"/>
  <c r="R26" i="76"/>
  <c r="R41" i="76"/>
  <c r="R15" i="76"/>
  <c r="R32" i="76"/>
  <c r="R44" i="76" l="1"/>
  <c r="Q42" i="76" l="1"/>
  <c r="Q24" i="76"/>
  <c r="Q16" i="76"/>
  <c r="Q8" i="76"/>
  <c r="Q30" i="76"/>
  <c r="Q6" i="76"/>
  <c r="Q22" i="76"/>
  <c r="Q19" i="76"/>
  <c r="Q39" i="76"/>
  <c r="Q26" i="76"/>
  <c r="Q17" i="76"/>
  <c r="Q35" i="76"/>
  <c r="Q44" i="76" l="1"/>
  <c r="U6" i="76"/>
  <c r="C6" i="76" l="1"/>
  <c r="P42" i="76" l="1"/>
  <c r="U42" i="76" s="1"/>
  <c r="C42" i="76" s="1"/>
  <c r="P36" i="76"/>
  <c r="U36" i="76" s="1"/>
  <c r="C36" i="76" s="1"/>
  <c r="P30" i="76"/>
  <c r="U30" i="76" s="1"/>
  <c r="C30" i="76" s="1"/>
  <c r="P38" i="76"/>
  <c r="U38" i="76" s="1"/>
  <c r="C38" i="76" s="1"/>
  <c r="P39" i="76"/>
  <c r="U39" i="76" s="1"/>
  <c r="C39" i="76" s="1"/>
  <c r="P10" i="76"/>
  <c r="U10" i="76" s="1"/>
  <c r="C10" i="76" s="1"/>
  <c r="P18" i="76"/>
  <c r="U18" i="76" s="1"/>
  <c r="C18" i="76" s="1"/>
  <c r="P9" i="76"/>
  <c r="U9" i="76" s="1"/>
  <c r="C9" i="76" s="1"/>
  <c r="P17" i="76"/>
  <c r="U17" i="76" s="1"/>
  <c r="C17" i="76" s="1"/>
  <c r="P35" i="76"/>
  <c r="U35" i="76" s="1"/>
  <c r="C35" i="76" s="1"/>
  <c r="P32" i="76"/>
  <c r="U32" i="76" s="1"/>
  <c r="C32" i="76" s="1"/>
  <c r="P37" i="76"/>
  <c r="U37" i="76" s="1"/>
  <c r="C37" i="76" s="1"/>
  <c r="P26" i="76"/>
  <c r="U26" i="76" s="1"/>
  <c r="C26" i="76" s="1"/>
  <c r="P19" i="76"/>
  <c r="U19" i="76" s="1"/>
  <c r="C19" i="76" s="1"/>
  <c r="P28" i="76"/>
  <c r="U28" i="76" s="1"/>
  <c r="C28" i="76" s="1"/>
  <c r="P33" i="76"/>
  <c r="U33" i="76" s="1"/>
  <c r="C33" i="76" s="1"/>
  <c r="P13" i="76"/>
  <c r="U13" i="76" s="1"/>
  <c r="C13" i="76" s="1"/>
  <c r="P22" i="76"/>
  <c r="U22" i="76" s="1"/>
  <c r="C22" i="76" s="1"/>
  <c r="P27" i="76"/>
  <c r="U27" i="76" s="1"/>
  <c r="C27" i="76" s="1"/>
  <c r="P21" i="76"/>
  <c r="U21" i="76" s="1"/>
  <c r="C21" i="76" s="1"/>
  <c r="P34" i="76"/>
  <c r="U34" i="76" s="1"/>
  <c r="P14" i="76"/>
  <c r="U14" i="76" s="1"/>
  <c r="C14" i="76" s="1"/>
  <c r="P23" i="76"/>
  <c r="U23" i="76" s="1"/>
  <c r="C23" i="76" s="1"/>
  <c r="P31" i="76"/>
  <c r="U31" i="76" s="1"/>
  <c r="C31" i="76" s="1"/>
  <c r="P11" i="76"/>
  <c r="U11" i="76" s="1"/>
  <c r="C11" i="76" s="1"/>
  <c r="P8" i="76"/>
  <c r="U8" i="76" s="1"/>
  <c r="C8" i="76" s="1"/>
  <c r="P16" i="76"/>
  <c r="U16" i="76" s="1"/>
  <c r="C16" i="76" s="1"/>
  <c r="P25" i="76"/>
  <c r="U25" i="76" s="1"/>
  <c r="C25" i="76" s="1"/>
  <c r="P41" i="76"/>
  <c r="U41" i="76" s="1"/>
  <c r="C41" i="76" s="1"/>
  <c r="P7" i="76"/>
  <c r="P15" i="76"/>
  <c r="U15" i="76" s="1"/>
  <c r="C15" i="76" s="1"/>
  <c r="P24" i="76"/>
  <c r="U24" i="76" s="1"/>
  <c r="C24" i="76" s="1"/>
  <c r="P40" i="76"/>
  <c r="U40" i="76" s="1"/>
  <c r="C40" i="76" s="1"/>
  <c r="P12" i="76"/>
  <c r="U12" i="76" s="1"/>
  <c r="C12" i="76" s="1"/>
  <c r="P29" i="76"/>
  <c r="U29" i="76" s="1"/>
  <c r="C29" i="76" s="1"/>
  <c r="P44" i="76" l="1"/>
  <c r="U7" i="76"/>
  <c r="C7" i="76" l="1"/>
  <c r="C44" i="76" s="1"/>
  <c r="U44" i="76"/>
  <c r="BA65" i="73" l="1"/>
  <c r="BC65" i="73" s="1"/>
  <c r="BC66" i="73"/>
  <c r="BA28" i="73"/>
  <c r="BC72" i="73"/>
  <c r="BC71" i="73"/>
  <c r="BC70" i="73"/>
  <c r="BC69" i="73"/>
  <c r="BC68" i="73"/>
  <c r="BC67" i="73"/>
  <c r="BC64" i="73"/>
  <c r="BC63" i="73"/>
  <c r="E24" i="73"/>
  <c r="E16" i="73"/>
  <c r="E6" i="73"/>
  <c r="BQ8" i="73"/>
  <c r="BC73" i="73" l="1"/>
  <c r="BF16" i="65" l="1"/>
  <c r="BF16" i="62"/>
  <c r="BF11" i="62"/>
  <c r="BQ21" i="59" l="1"/>
  <c r="B20" i="75" l="1"/>
  <c r="B20" i="73"/>
  <c r="B20" i="72"/>
  <c r="B20" i="71"/>
  <c r="B20" i="70"/>
  <c r="B20" i="69"/>
  <c r="B20" i="68"/>
  <c r="B20" i="67"/>
  <c r="B20" i="66"/>
  <c r="B20" i="65"/>
  <c r="B20" i="62"/>
  <c r="B20" i="61"/>
  <c r="B20" i="59"/>
  <c r="B20" i="60"/>
  <c r="BF16" i="60" l="1"/>
  <c r="BF15" i="60"/>
  <c r="BF29" i="60" l="1"/>
  <c r="BF7" i="60"/>
  <c r="BF23" i="60"/>
  <c r="BF12" i="69"/>
  <c r="G12" i="72"/>
  <c r="G12" i="71"/>
  <c r="B38" i="60" l="1"/>
  <c r="B33" i="60"/>
  <c r="B15" i="60"/>
  <c r="BF17" i="72" l="1"/>
  <c r="BF12" i="72"/>
  <c r="BF25" i="71"/>
  <c r="B7" i="60"/>
  <c r="B8" i="60"/>
  <c r="B9" i="60"/>
  <c r="B10" i="60"/>
  <c r="B11" i="60"/>
  <c r="B12" i="60"/>
  <c r="B13" i="60"/>
  <c r="B14" i="60"/>
  <c r="B16" i="60"/>
  <c r="B17" i="60"/>
  <c r="B18" i="60"/>
  <c r="B19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4" i="60"/>
  <c r="B35" i="60"/>
  <c r="B36" i="60"/>
  <c r="B37" i="60"/>
  <c r="B39" i="60"/>
  <c r="B40" i="60"/>
  <c r="B41" i="60"/>
  <c r="B42" i="60"/>
  <c r="B6" i="60"/>
  <c r="AN27" i="62"/>
  <c r="F15" i="68"/>
  <c r="D18" i="66"/>
  <c r="E41" i="65"/>
  <c r="E18" i="72" l="1"/>
  <c r="D27" i="72"/>
  <c r="AK19" i="72"/>
  <c r="D17" i="72" l="1"/>
  <c r="D11" i="72"/>
  <c r="BK36" i="69" l="1"/>
  <c r="BF12" i="71" l="1"/>
  <c r="D19" i="59" l="1"/>
  <c r="BA17" i="71" l="1"/>
  <c r="BA22" i="71"/>
  <c r="BA8" i="71"/>
  <c r="BA11" i="71"/>
  <c r="E9" i="71"/>
  <c r="E26" i="71"/>
  <c r="BB15" i="70" l="1"/>
  <c r="AK9" i="70" l="1"/>
  <c r="AJ35" i="70"/>
  <c r="AJ22" i="70"/>
  <c r="E26" i="70"/>
  <c r="D26" i="70"/>
  <c r="AM19" i="69" l="1"/>
  <c r="AJ19" i="69"/>
  <c r="AM35" i="69"/>
  <c r="AJ35" i="69"/>
  <c r="AM22" i="69"/>
  <c r="AJ22" i="69"/>
  <c r="AN25" i="68" l="1"/>
  <c r="D12" i="69" l="1"/>
  <c r="AJ19" i="67" l="1"/>
  <c r="AJ22" i="68"/>
  <c r="AN9" i="68"/>
  <c r="AK9" i="68"/>
  <c r="AN12" i="68"/>
  <c r="AK12" i="68"/>
  <c r="AK25" i="68"/>
  <c r="AN27" i="68"/>
  <c r="AK27" i="68"/>
  <c r="BF25" i="68"/>
  <c r="AN12" i="67"/>
  <c r="AK12" i="67"/>
  <c r="R7" i="68" l="1"/>
  <c r="R8" i="68"/>
  <c r="R10" i="68"/>
  <c r="R13" i="68"/>
  <c r="R14" i="68"/>
  <c r="R16" i="68"/>
  <c r="R21" i="68"/>
  <c r="R23" i="68"/>
  <c r="R24" i="68"/>
  <c r="R28" i="68"/>
  <c r="R29" i="68"/>
  <c r="R30" i="68"/>
  <c r="R31" i="68"/>
  <c r="R33" i="68"/>
  <c r="R35" i="68"/>
  <c r="R37" i="68"/>
  <c r="R38" i="68"/>
  <c r="R39" i="68"/>
  <c r="R40" i="68"/>
  <c r="F19" i="67" l="1"/>
  <c r="AN11" i="67"/>
  <c r="AK11" i="67"/>
  <c r="AN25" i="67"/>
  <c r="AK25" i="67"/>
  <c r="AN22" i="67"/>
  <c r="AK22" i="67"/>
  <c r="AJ35" i="67"/>
  <c r="AM35" i="67"/>
  <c r="AM17" i="67"/>
  <c r="AJ17" i="67"/>
  <c r="AJ22" i="67"/>
  <c r="AN26" i="65" l="1"/>
  <c r="AN9" i="65"/>
  <c r="AK9" i="65"/>
  <c r="BF28" i="62"/>
  <c r="F7" i="73" l="1"/>
  <c r="F8" i="73"/>
  <c r="F9" i="73"/>
  <c r="F10" i="73"/>
  <c r="F11" i="73"/>
  <c r="F12" i="73"/>
  <c r="F13" i="73"/>
  <c r="F14" i="73"/>
  <c r="F15" i="73"/>
  <c r="F16" i="73"/>
  <c r="F17" i="73"/>
  <c r="F18" i="73"/>
  <c r="F19" i="73"/>
  <c r="F21" i="73"/>
  <c r="F22" i="73"/>
  <c r="F23" i="73"/>
  <c r="F24" i="73"/>
  <c r="F25" i="73"/>
  <c r="F26" i="73"/>
  <c r="F27" i="73"/>
  <c r="F28" i="73"/>
  <c r="F29" i="73"/>
  <c r="F30" i="73"/>
  <c r="F31" i="73"/>
  <c r="F32" i="73"/>
  <c r="F33" i="73"/>
  <c r="F34" i="73"/>
  <c r="F35" i="73"/>
  <c r="F36" i="73"/>
  <c r="F37" i="73"/>
  <c r="F38" i="73"/>
  <c r="F39" i="73"/>
  <c r="F40" i="73"/>
  <c r="F41" i="73"/>
  <c r="F42" i="73"/>
  <c r="E7" i="73"/>
  <c r="E8" i="73"/>
  <c r="E9" i="73"/>
  <c r="E10" i="73"/>
  <c r="E11" i="73"/>
  <c r="E12" i="73"/>
  <c r="E13" i="73"/>
  <c r="E14" i="73"/>
  <c r="E15" i="73"/>
  <c r="E17" i="73"/>
  <c r="E18" i="73"/>
  <c r="E19" i="73"/>
  <c r="E21" i="73"/>
  <c r="E22" i="73"/>
  <c r="E23" i="73"/>
  <c r="E25" i="73"/>
  <c r="E26" i="73"/>
  <c r="E27" i="73"/>
  <c r="E28" i="73"/>
  <c r="E29" i="73"/>
  <c r="E30" i="73"/>
  <c r="E31" i="73"/>
  <c r="E32" i="73"/>
  <c r="E33" i="73"/>
  <c r="E34" i="73"/>
  <c r="E35" i="73"/>
  <c r="E36" i="73"/>
  <c r="E37" i="73"/>
  <c r="E38" i="73"/>
  <c r="E39" i="73"/>
  <c r="E40" i="73"/>
  <c r="E41" i="73"/>
  <c r="E42" i="73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D36" i="73"/>
  <c r="D37" i="73"/>
  <c r="D38" i="73"/>
  <c r="D39" i="73"/>
  <c r="D40" i="73"/>
  <c r="D41" i="73"/>
  <c r="D42" i="73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1" i="72"/>
  <c r="F22" i="72"/>
  <c r="F23" i="72"/>
  <c r="F24" i="72"/>
  <c r="F25" i="72"/>
  <c r="F26" i="72"/>
  <c r="F27" i="72"/>
  <c r="F28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E7" i="72"/>
  <c r="E8" i="72"/>
  <c r="E9" i="72"/>
  <c r="E10" i="72"/>
  <c r="E11" i="72"/>
  <c r="E12" i="72"/>
  <c r="E13" i="72"/>
  <c r="E14" i="72"/>
  <c r="E15" i="72"/>
  <c r="E16" i="72"/>
  <c r="E17" i="72"/>
  <c r="E19" i="72"/>
  <c r="E21" i="72"/>
  <c r="E22" i="72"/>
  <c r="E23" i="72"/>
  <c r="E24" i="72"/>
  <c r="E25" i="72"/>
  <c r="E26" i="72"/>
  <c r="E27" i="72"/>
  <c r="E28" i="72"/>
  <c r="E29" i="72"/>
  <c r="E30" i="72"/>
  <c r="E31" i="72"/>
  <c r="E32" i="72"/>
  <c r="E33" i="72"/>
  <c r="E34" i="72"/>
  <c r="E35" i="72"/>
  <c r="E36" i="72"/>
  <c r="E37" i="72"/>
  <c r="E38" i="72"/>
  <c r="E39" i="72"/>
  <c r="E40" i="72"/>
  <c r="E41" i="72"/>
  <c r="E42" i="72"/>
  <c r="D7" i="72"/>
  <c r="D8" i="72"/>
  <c r="D9" i="72"/>
  <c r="D10" i="72"/>
  <c r="D12" i="72"/>
  <c r="D13" i="72"/>
  <c r="D14" i="72"/>
  <c r="D15" i="72"/>
  <c r="D16" i="72"/>
  <c r="D18" i="72"/>
  <c r="D19" i="72"/>
  <c r="D21" i="72"/>
  <c r="D22" i="72"/>
  <c r="D23" i="72"/>
  <c r="D24" i="72"/>
  <c r="D25" i="72"/>
  <c r="D26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F7" i="71"/>
  <c r="F8" i="71"/>
  <c r="F9" i="71"/>
  <c r="F10" i="71"/>
  <c r="F11" i="71"/>
  <c r="F12" i="71"/>
  <c r="F13" i="71"/>
  <c r="F14" i="71"/>
  <c r="F15" i="71"/>
  <c r="F16" i="71"/>
  <c r="F17" i="71"/>
  <c r="F18" i="71"/>
  <c r="F19" i="71"/>
  <c r="F21" i="71"/>
  <c r="F22" i="71"/>
  <c r="F23" i="71"/>
  <c r="F24" i="71"/>
  <c r="F25" i="71"/>
  <c r="F26" i="71"/>
  <c r="F27" i="71"/>
  <c r="F28" i="71"/>
  <c r="F29" i="71"/>
  <c r="F30" i="71"/>
  <c r="F31" i="71"/>
  <c r="F32" i="71"/>
  <c r="F33" i="71"/>
  <c r="F34" i="71"/>
  <c r="F35" i="71"/>
  <c r="F36" i="71"/>
  <c r="F37" i="71"/>
  <c r="F38" i="71"/>
  <c r="F39" i="71"/>
  <c r="F40" i="71"/>
  <c r="F41" i="71"/>
  <c r="F42" i="71"/>
  <c r="E7" i="71"/>
  <c r="E8" i="71"/>
  <c r="E10" i="71"/>
  <c r="E11" i="71"/>
  <c r="E12" i="71"/>
  <c r="E13" i="71"/>
  <c r="E14" i="71"/>
  <c r="E15" i="71"/>
  <c r="E16" i="71"/>
  <c r="E17" i="71"/>
  <c r="E18" i="71"/>
  <c r="E19" i="71"/>
  <c r="E21" i="71"/>
  <c r="E22" i="71"/>
  <c r="E23" i="71"/>
  <c r="E24" i="71"/>
  <c r="E25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F7" i="70"/>
  <c r="F8" i="70"/>
  <c r="F9" i="70"/>
  <c r="F10" i="70"/>
  <c r="F11" i="70"/>
  <c r="F12" i="70"/>
  <c r="F13" i="70"/>
  <c r="F14" i="70"/>
  <c r="F15" i="70"/>
  <c r="F16" i="70"/>
  <c r="F17" i="70"/>
  <c r="F18" i="70"/>
  <c r="F19" i="70"/>
  <c r="F21" i="70"/>
  <c r="F22" i="70"/>
  <c r="F23" i="70"/>
  <c r="F24" i="70"/>
  <c r="F25" i="70"/>
  <c r="F26" i="70"/>
  <c r="F27" i="70"/>
  <c r="F28" i="70"/>
  <c r="F29" i="70"/>
  <c r="F30" i="70"/>
  <c r="F31" i="70"/>
  <c r="F32" i="70"/>
  <c r="F33" i="70"/>
  <c r="F34" i="70"/>
  <c r="F35" i="70"/>
  <c r="F36" i="70"/>
  <c r="F37" i="70"/>
  <c r="F38" i="70"/>
  <c r="F39" i="70"/>
  <c r="F40" i="70"/>
  <c r="F41" i="70"/>
  <c r="F42" i="70"/>
  <c r="E7" i="70"/>
  <c r="E8" i="70"/>
  <c r="E9" i="70"/>
  <c r="E10" i="70"/>
  <c r="E11" i="70"/>
  <c r="E12" i="70"/>
  <c r="E13" i="70"/>
  <c r="E14" i="70"/>
  <c r="E15" i="70"/>
  <c r="E16" i="70"/>
  <c r="E17" i="70"/>
  <c r="E18" i="70"/>
  <c r="E19" i="70"/>
  <c r="E21" i="70"/>
  <c r="E22" i="70"/>
  <c r="E23" i="70"/>
  <c r="E24" i="70"/>
  <c r="E25" i="70"/>
  <c r="E27" i="70"/>
  <c r="E28" i="70"/>
  <c r="E29" i="70"/>
  <c r="E30" i="70"/>
  <c r="E31" i="70"/>
  <c r="E32" i="70"/>
  <c r="E33" i="70"/>
  <c r="E34" i="70"/>
  <c r="E35" i="70"/>
  <c r="E36" i="70"/>
  <c r="E37" i="70"/>
  <c r="E38" i="70"/>
  <c r="E39" i="70"/>
  <c r="E40" i="70"/>
  <c r="E41" i="70"/>
  <c r="E42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1" i="70"/>
  <c r="D22" i="70"/>
  <c r="D23" i="70"/>
  <c r="D24" i="70"/>
  <c r="D25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7" i="69"/>
  <c r="D8" i="69"/>
  <c r="D9" i="69"/>
  <c r="D10" i="69"/>
  <c r="D11" i="69"/>
  <c r="D13" i="69"/>
  <c r="D14" i="69"/>
  <c r="D15" i="69"/>
  <c r="D16" i="69"/>
  <c r="D17" i="69"/>
  <c r="D18" i="69"/>
  <c r="D19" i="69"/>
  <c r="D21" i="69"/>
  <c r="D22" i="69"/>
  <c r="D23" i="69"/>
  <c r="D24" i="69"/>
  <c r="D25" i="69"/>
  <c r="D26" i="69"/>
  <c r="D27" i="69"/>
  <c r="D28" i="69"/>
  <c r="D29" i="69"/>
  <c r="D30" i="69"/>
  <c r="D31" i="69"/>
  <c r="D32" i="69"/>
  <c r="D33" i="69"/>
  <c r="D34" i="69"/>
  <c r="D35" i="69"/>
  <c r="D36" i="69"/>
  <c r="D37" i="69"/>
  <c r="D38" i="69"/>
  <c r="D39" i="69"/>
  <c r="D40" i="69"/>
  <c r="D41" i="69"/>
  <c r="D42" i="69"/>
  <c r="F7" i="69"/>
  <c r="F8" i="69"/>
  <c r="F9" i="69"/>
  <c r="F10" i="69"/>
  <c r="F11" i="69"/>
  <c r="F12" i="69"/>
  <c r="F13" i="69"/>
  <c r="F14" i="69"/>
  <c r="F15" i="69"/>
  <c r="F16" i="69"/>
  <c r="F17" i="69"/>
  <c r="F18" i="69"/>
  <c r="F19" i="69"/>
  <c r="F21" i="69"/>
  <c r="F22" i="69"/>
  <c r="F23" i="69"/>
  <c r="F24" i="69"/>
  <c r="F25" i="69"/>
  <c r="F26" i="69"/>
  <c r="F27" i="69"/>
  <c r="F28" i="69"/>
  <c r="F29" i="69"/>
  <c r="F30" i="69"/>
  <c r="F31" i="69"/>
  <c r="F32" i="69"/>
  <c r="F33" i="69"/>
  <c r="F34" i="69"/>
  <c r="F35" i="69"/>
  <c r="F36" i="69"/>
  <c r="F37" i="69"/>
  <c r="F38" i="69"/>
  <c r="F39" i="69"/>
  <c r="F40" i="69"/>
  <c r="F41" i="69"/>
  <c r="F42" i="69"/>
  <c r="E7" i="69"/>
  <c r="E8" i="69"/>
  <c r="E9" i="69"/>
  <c r="E10" i="69"/>
  <c r="E11" i="69"/>
  <c r="E12" i="69"/>
  <c r="E13" i="69"/>
  <c r="E14" i="69"/>
  <c r="E15" i="69"/>
  <c r="E16" i="69"/>
  <c r="E17" i="69"/>
  <c r="E18" i="69"/>
  <c r="E19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F7" i="68"/>
  <c r="F8" i="68"/>
  <c r="F9" i="68"/>
  <c r="F10" i="68"/>
  <c r="F11" i="68"/>
  <c r="F12" i="68"/>
  <c r="F13" i="68"/>
  <c r="F14" i="68"/>
  <c r="F16" i="68"/>
  <c r="F17" i="68"/>
  <c r="F18" i="68"/>
  <c r="F19" i="68"/>
  <c r="F21" i="68"/>
  <c r="F22" i="68"/>
  <c r="F23" i="68"/>
  <c r="F24" i="68"/>
  <c r="F25" i="68"/>
  <c r="F26" i="68"/>
  <c r="F27" i="68"/>
  <c r="F28" i="68"/>
  <c r="F29" i="68"/>
  <c r="F30" i="68"/>
  <c r="F31" i="68"/>
  <c r="F32" i="68"/>
  <c r="F33" i="68"/>
  <c r="F34" i="68"/>
  <c r="F35" i="68"/>
  <c r="F36" i="68"/>
  <c r="F37" i="68"/>
  <c r="F38" i="68"/>
  <c r="F39" i="68"/>
  <c r="F40" i="68"/>
  <c r="F41" i="68"/>
  <c r="F42" i="68"/>
  <c r="E7" i="68"/>
  <c r="E8" i="68"/>
  <c r="E9" i="68"/>
  <c r="E10" i="68"/>
  <c r="E11" i="68"/>
  <c r="E12" i="68"/>
  <c r="E13" i="68"/>
  <c r="E14" i="68"/>
  <c r="E15" i="68"/>
  <c r="E16" i="68"/>
  <c r="E17" i="68"/>
  <c r="E18" i="68"/>
  <c r="E19" i="68"/>
  <c r="E21" i="68"/>
  <c r="E22" i="68"/>
  <c r="E23" i="68"/>
  <c r="E24" i="68"/>
  <c r="E25" i="68"/>
  <c r="E26" i="68"/>
  <c r="E27" i="68"/>
  <c r="E28" i="68"/>
  <c r="E29" i="68"/>
  <c r="E30" i="68"/>
  <c r="E31" i="68"/>
  <c r="E32" i="68"/>
  <c r="E33" i="68"/>
  <c r="E34" i="68"/>
  <c r="E35" i="68"/>
  <c r="E36" i="68"/>
  <c r="E37" i="68"/>
  <c r="E38" i="68"/>
  <c r="E39" i="68"/>
  <c r="E40" i="68"/>
  <c r="E41" i="68"/>
  <c r="E42" i="68"/>
  <c r="F7" i="67"/>
  <c r="F8" i="67"/>
  <c r="F9" i="67"/>
  <c r="F10" i="67"/>
  <c r="F11" i="67"/>
  <c r="F12" i="67"/>
  <c r="F13" i="67"/>
  <c r="F14" i="67"/>
  <c r="F15" i="67"/>
  <c r="F16" i="67"/>
  <c r="F17" i="67"/>
  <c r="F18" i="67"/>
  <c r="F21" i="67"/>
  <c r="F22" i="67"/>
  <c r="F23" i="67"/>
  <c r="F24" i="67"/>
  <c r="F25" i="67"/>
  <c r="F26" i="67"/>
  <c r="F27" i="67"/>
  <c r="F28" i="67"/>
  <c r="F29" i="67"/>
  <c r="F30" i="67"/>
  <c r="F31" i="67"/>
  <c r="F32" i="67"/>
  <c r="F33" i="67"/>
  <c r="F34" i="67"/>
  <c r="F35" i="67"/>
  <c r="F36" i="67"/>
  <c r="F37" i="67"/>
  <c r="F38" i="67"/>
  <c r="F39" i="67"/>
  <c r="F40" i="67"/>
  <c r="F41" i="67"/>
  <c r="F42" i="67"/>
  <c r="D7" i="67"/>
  <c r="D8" i="67"/>
  <c r="D9" i="67"/>
  <c r="D10" i="67"/>
  <c r="D11" i="67"/>
  <c r="D12" i="67"/>
  <c r="D13" i="67"/>
  <c r="D14" i="67"/>
  <c r="D15" i="67"/>
  <c r="D16" i="67"/>
  <c r="D17" i="67"/>
  <c r="D18" i="67"/>
  <c r="D19" i="67"/>
  <c r="D21" i="67"/>
  <c r="D22" i="67"/>
  <c r="D23" i="67"/>
  <c r="D24" i="67"/>
  <c r="D25" i="67"/>
  <c r="D26" i="67"/>
  <c r="D27" i="67"/>
  <c r="D28" i="67"/>
  <c r="D29" i="67"/>
  <c r="D30" i="67"/>
  <c r="D31" i="67"/>
  <c r="D32" i="67"/>
  <c r="D33" i="67"/>
  <c r="D34" i="67"/>
  <c r="D35" i="67"/>
  <c r="D36" i="67"/>
  <c r="D37" i="67"/>
  <c r="D38" i="67"/>
  <c r="D39" i="67"/>
  <c r="D40" i="67"/>
  <c r="D41" i="67"/>
  <c r="D42" i="67"/>
  <c r="E7" i="67"/>
  <c r="E8" i="67"/>
  <c r="E9" i="67"/>
  <c r="E10" i="67"/>
  <c r="E11" i="67"/>
  <c r="E12" i="67"/>
  <c r="E13" i="67"/>
  <c r="E14" i="67"/>
  <c r="E15" i="67"/>
  <c r="E16" i="67"/>
  <c r="E17" i="67"/>
  <c r="E18" i="67"/>
  <c r="E19" i="67"/>
  <c r="E21" i="67"/>
  <c r="E22" i="67"/>
  <c r="E23" i="67"/>
  <c r="E24" i="67"/>
  <c r="E25" i="67"/>
  <c r="E26" i="67"/>
  <c r="E27" i="67"/>
  <c r="E28" i="67"/>
  <c r="E29" i="67"/>
  <c r="E30" i="67"/>
  <c r="E31" i="67"/>
  <c r="E32" i="67"/>
  <c r="E33" i="67"/>
  <c r="E34" i="67"/>
  <c r="E35" i="67"/>
  <c r="E36" i="67"/>
  <c r="E37" i="67"/>
  <c r="E38" i="67"/>
  <c r="E39" i="67"/>
  <c r="E40" i="67"/>
  <c r="E41" i="67"/>
  <c r="E42" i="67"/>
  <c r="D42" i="68"/>
  <c r="D41" i="68"/>
  <c r="D40" i="68"/>
  <c r="D39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19" i="68"/>
  <c r="D18" i="68"/>
  <c r="D17" i="68"/>
  <c r="D16" i="68"/>
  <c r="D15" i="68"/>
  <c r="D14" i="68"/>
  <c r="D13" i="68"/>
  <c r="D12" i="68"/>
  <c r="D11" i="68"/>
  <c r="D10" i="68"/>
  <c r="D9" i="68"/>
  <c r="D8" i="68"/>
  <c r="D7" i="68"/>
  <c r="F6" i="68"/>
  <c r="E6" i="68"/>
  <c r="D6" i="68"/>
  <c r="F6" i="69"/>
  <c r="E6" i="69"/>
  <c r="D6" i="69"/>
  <c r="F6" i="70"/>
  <c r="E6" i="70"/>
  <c r="D6" i="70"/>
  <c r="D6" i="71"/>
  <c r="F6" i="71"/>
  <c r="E6" i="71"/>
  <c r="F6" i="72"/>
  <c r="E6" i="72"/>
  <c r="D6" i="72"/>
  <c r="F6" i="73"/>
  <c r="D6" i="73"/>
  <c r="Q41" i="73"/>
  <c r="R40" i="73"/>
  <c r="Q40" i="73"/>
  <c r="R39" i="73"/>
  <c r="R38" i="73"/>
  <c r="Q38" i="73"/>
  <c r="R37" i="73"/>
  <c r="Q37" i="73"/>
  <c r="Q36" i="73"/>
  <c r="R35" i="73"/>
  <c r="Q34" i="73"/>
  <c r="R33" i="73"/>
  <c r="Q33" i="73"/>
  <c r="Q32" i="73"/>
  <c r="R31" i="73"/>
  <c r="Q31" i="73"/>
  <c r="R30" i="73"/>
  <c r="R29" i="73"/>
  <c r="Q29" i="73"/>
  <c r="R28" i="73"/>
  <c r="Q28" i="73"/>
  <c r="Q27" i="73"/>
  <c r="Q25" i="73"/>
  <c r="R24" i="73"/>
  <c r="R23" i="73"/>
  <c r="Q23" i="73"/>
  <c r="R21" i="73"/>
  <c r="Q21" i="73"/>
  <c r="Q18" i="73"/>
  <c r="R16" i="73"/>
  <c r="Q15" i="73"/>
  <c r="R14" i="73"/>
  <c r="Q14" i="73"/>
  <c r="R13" i="73"/>
  <c r="Q13" i="73"/>
  <c r="Q12" i="73"/>
  <c r="Q11" i="73"/>
  <c r="R10" i="73"/>
  <c r="Q10" i="73"/>
  <c r="Q9" i="73"/>
  <c r="R8" i="73"/>
  <c r="R7" i="73"/>
  <c r="Q7" i="73"/>
  <c r="P6" i="73"/>
  <c r="Q41" i="72"/>
  <c r="R40" i="72"/>
  <c r="Q40" i="72"/>
  <c r="R39" i="72"/>
  <c r="R38" i="72"/>
  <c r="Q38" i="72"/>
  <c r="R37" i="72"/>
  <c r="Q37" i="72"/>
  <c r="Q36" i="72"/>
  <c r="R35" i="72"/>
  <c r="Q34" i="72"/>
  <c r="R33" i="72"/>
  <c r="Q33" i="72"/>
  <c r="Q32" i="72"/>
  <c r="R31" i="72"/>
  <c r="Q31" i="72"/>
  <c r="R30" i="72"/>
  <c r="R29" i="72"/>
  <c r="Q29" i="72"/>
  <c r="R28" i="72"/>
  <c r="Q28" i="72"/>
  <c r="Q27" i="72"/>
  <c r="Q25" i="72"/>
  <c r="R24" i="72"/>
  <c r="R23" i="72"/>
  <c r="Q23" i="72"/>
  <c r="R21" i="72"/>
  <c r="Q21" i="72"/>
  <c r="Q18" i="72"/>
  <c r="R16" i="72"/>
  <c r="Q15" i="72"/>
  <c r="R14" i="72"/>
  <c r="Q14" i="72"/>
  <c r="R13" i="72"/>
  <c r="Q13" i="72"/>
  <c r="Q12" i="72"/>
  <c r="Q11" i="72"/>
  <c r="R10" i="72"/>
  <c r="Q10" i="72"/>
  <c r="Q9" i="72"/>
  <c r="R8" i="72"/>
  <c r="R7" i="72"/>
  <c r="Q7" i="72"/>
  <c r="P6" i="72"/>
  <c r="Q41" i="71"/>
  <c r="R40" i="71"/>
  <c r="Q40" i="71"/>
  <c r="R39" i="71"/>
  <c r="R38" i="71"/>
  <c r="Q38" i="71"/>
  <c r="R37" i="71"/>
  <c r="Q37" i="71"/>
  <c r="Q36" i="71"/>
  <c r="R35" i="71"/>
  <c r="Q34" i="71"/>
  <c r="R33" i="71"/>
  <c r="Q33" i="71"/>
  <c r="Q32" i="71"/>
  <c r="R31" i="71"/>
  <c r="Q31" i="71"/>
  <c r="R30" i="71"/>
  <c r="R29" i="71"/>
  <c r="Q29" i="71"/>
  <c r="R28" i="71"/>
  <c r="Q28" i="71"/>
  <c r="Q27" i="71"/>
  <c r="Q25" i="71"/>
  <c r="R24" i="71"/>
  <c r="R23" i="71"/>
  <c r="Q23" i="71"/>
  <c r="R21" i="71"/>
  <c r="Q21" i="71"/>
  <c r="Q18" i="71"/>
  <c r="R16" i="71"/>
  <c r="Q15" i="71"/>
  <c r="R14" i="71"/>
  <c r="Q14" i="71"/>
  <c r="R13" i="71"/>
  <c r="Q13" i="71"/>
  <c r="Q12" i="71"/>
  <c r="Q11" i="71"/>
  <c r="R10" i="71"/>
  <c r="Q10" i="71"/>
  <c r="Q9" i="71"/>
  <c r="R8" i="71"/>
  <c r="R7" i="71"/>
  <c r="Q7" i="71"/>
  <c r="P6" i="71"/>
  <c r="Q41" i="70"/>
  <c r="R40" i="70"/>
  <c r="Q40" i="70"/>
  <c r="R39" i="70"/>
  <c r="R38" i="70"/>
  <c r="Q38" i="70"/>
  <c r="R37" i="70"/>
  <c r="Q37" i="70"/>
  <c r="Q36" i="70"/>
  <c r="R35" i="70"/>
  <c r="Q34" i="70"/>
  <c r="R33" i="70"/>
  <c r="Q33" i="70"/>
  <c r="Q32" i="70"/>
  <c r="R31" i="70"/>
  <c r="Q31" i="70"/>
  <c r="R30" i="70"/>
  <c r="R29" i="70"/>
  <c r="Q29" i="70"/>
  <c r="R28" i="70"/>
  <c r="Q28" i="70"/>
  <c r="Q27" i="70"/>
  <c r="Q25" i="70"/>
  <c r="R24" i="70"/>
  <c r="R23" i="70"/>
  <c r="Q23" i="70"/>
  <c r="R21" i="70"/>
  <c r="Q21" i="70"/>
  <c r="Q18" i="70"/>
  <c r="R16" i="70"/>
  <c r="Q15" i="70"/>
  <c r="R14" i="70"/>
  <c r="Q14" i="70"/>
  <c r="R13" i="70"/>
  <c r="Q13" i="70"/>
  <c r="Q12" i="70"/>
  <c r="Q11" i="70"/>
  <c r="R10" i="70"/>
  <c r="Q10" i="70"/>
  <c r="Q9" i="70"/>
  <c r="R8" i="70"/>
  <c r="R7" i="70"/>
  <c r="Q7" i="70"/>
  <c r="P6" i="70"/>
  <c r="Q41" i="69"/>
  <c r="R40" i="69"/>
  <c r="Q40" i="69"/>
  <c r="R39" i="69"/>
  <c r="R38" i="69"/>
  <c r="Q38" i="69"/>
  <c r="R37" i="69"/>
  <c r="Q37" i="69"/>
  <c r="Q36" i="69"/>
  <c r="R35" i="69"/>
  <c r="Q34" i="69"/>
  <c r="R33" i="69"/>
  <c r="Q33" i="69"/>
  <c r="Q32" i="69"/>
  <c r="R31" i="69"/>
  <c r="Q31" i="69"/>
  <c r="R30" i="69"/>
  <c r="R29" i="69"/>
  <c r="Q29" i="69"/>
  <c r="R28" i="69"/>
  <c r="Q28" i="69"/>
  <c r="Q27" i="69"/>
  <c r="Q25" i="69"/>
  <c r="R24" i="69"/>
  <c r="R23" i="69"/>
  <c r="Q23" i="69"/>
  <c r="R21" i="69"/>
  <c r="Q21" i="69"/>
  <c r="Q18" i="69"/>
  <c r="R16" i="69"/>
  <c r="Q15" i="69"/>
  <c r="R14" i="69"/>
  <c r="Q14" i="69"/>
  <c r="R13" i="69"/>
  <c r="Q13" i="69"/>
  <c r="Q12" i="69"/>
  <c r="Q11" i="69"/>
  <c r="R10" i="69"/>
  <c r="Q10" i="69"/>
  <c r="Q9" i="69"/>
  <c r="R8" i="69"/>
  <c r="R7" i="69"/>
  <c r="Q7" i="69"/>
  <c r="P6" i="69"/>
  <c r="Q41" i="68"/>
  <c r="Q40" i="68"/>
  <c r="Q38" i="68"/>
  <c r="Q37" i="68"/>
  <c r="Q36" i="68"/>
  <c r="Q34" i="68"/>
  <c r="Q33" i="68"/>
  <c r="Q32" i="68"/>
  <c r="Q31" i="68"/>
  <c r="Q29" i="68"/>
  <c r="Q28" i="68"/>
  <c r="Q27" i="68"/>
  <c r="Q25" i="68"/>
  <c r="Q23" i="68"/>
  <c r="Q21" i="68"/>
  <c r="Q18" i="68"/>
  <c r="Q15" i="68"/>
  <c r="Q14" i="68"/>
  <c r="Q13" i="68"/>
  <c r="Q12" i="68"/>
  <c r="Q11" i="68"/>
  <c r="Q10" i="68"/>
  <c r="Q9" i="68"/>
  <c r="Q7" i="68"/>
  <c r="P6" i="68"/>
  <c r="Q41" i="67"/>
  <c r="R40" i="67"/>
  <c r="Q40" i="67"/>
  <c r="R39" i="67"/>
  <c r="R38" i="67"/>
  <c r="Q38" i="67"/>
  <c r="R37" i="67"/>
  <c r="Q37" i="67"/>
  <c r="Q36" i="67"/>
  <c r="R35" i="67"/>
  <c r="Q34" i="67"/>
  <c r="R33" i="67"/>
  <c r="Q33" i="67"/>
  <c r="Q32" i="67"/>
  <c r="R31" i="67"/>
  <c r="Q31" i="67"/>
  <c r="R30" i="67"/>
  <c r="R29" i="67"/>
  <c r="Q29" i="67"/>
  <c r="R28" i="67"/>
  <c r="Q28" i="67"/>
  <c r="Q27" i="67"/>
  <c r="Q25" i="67"/>
  <c r="R24" i="67"/>
  <c r="R23" i="67"/>
  <c r="Q23" i="67"/>
  <c r="R21" i="67"/>
  <c r="Q21" i="67"/>
  <c r="Q18" i="67"/>
  <c r="R16" i="67"/>
  <c r="Q15" i="67"/>
  <c r="R14" i="67"/>
  <c r="Q14" i="67"/>
  <c r="R13" i="67"/>
  <c r="Q13" i="67"/>
  <c r="Q12" i="67"/>
  <c r="Q11" i="67"/>
  <c r="R10" i="67"/>
  <c r="Q10" i="67"/>
  <c r="Q9" i="67"/>
  <c r="R8" i="67"/>
  <c r="R7" i="67"/>
  <c r="Q7" i="67"/>
  <c r="P6" i="67"/>
  <c r="E44" i="69" l="1"/>
  <c r="S7" i="75" l="1"/>
  <c r="V7" i="75"/>
  <c r="W7" i="75"/>
  <c r="X7" i="75"/>
  <c r="Z7" i="75"/>
  <c r="AB7" i="75"/>
  <c r="AC7" i="75"/>
  <c r="AD7" i="75"/>
  <c r="AE7" i="75"/>
  <c r="AG7" i="75"/>
  <c r="AH7" i="75"/>
  <c r="AI7" i="75"/>
  <c r="AJ7" i="75"/>
  <c r="AK7" i="75"/>
  <c r="AL7" i="75"/>
  <c r="AM7" i="75"/>
  <c r="AN7" i="75"/>
  <c r="AO7" i="75"/>
  <c r="AT7" i="75"/>
  <c r="AU7" i="75"/>
  <c r="AV7" i="75"/>
  <c r="BA7" i="75"/>
  <c r="BB7" i="75"/>
  <c r="BG7" i="75"/>
  <c r="BH7" i="75"/>
  <c r="BI7" i="75"/>
  <c r="BJ7" i="75"/>
  <c r="BK7" i="75"/>
  <c r="BL7" i="75"/>
  <c r="BM7" i="75"/>
  <c r="BN7" i="75"/>
  <c r="S8" i="75"/>
  <c r="V8" i="75"/>
  <c r="W8" i="75"/>
  <c r="X8" i="75"/>
  <c r="Z8" i="75"/>
  <c r="AB8" i="75"/>
  <c r="AC8" i="75"/>
  <c r="AD8" i="75"/>
  <c r="AE8" i="75"/>
  <c r="AG8" i="75"/>
  <c r="AH8" i="75"/>
  <c r="AI8" i="75"/>
  <c r="AJ8" i="75"/>
  <c r="AK8" i="75"/>
  <c r="AL8" i="75"/>
  <c r="AM8" i="75"/>
  <c r="AN8" i="75"/>
  <c r="AO8" i="75"/>
  <c r="AT8" i="75"/>
  <c r="AU8" i="75"/>
  <c r="AV8" i="75"/>
  <c r="BA8" i="75"/>
  <c r="BB8" i="75"/>
  <c r="BG8" i="75"/>
  <c r="BH8" i="75"/>
  <c r="BI8" i="75"/>
  <c r="BJ8" i="75"/>
  <c r="BK8" i="75"/>
  <c r="BL8" i="75"/>
  <c r="BM8" i="75"/>
  <c r="BN8" i="75"/>
  <c r="S9" i="75"/>
  <c r="V9" i="75"/>
  <c r="W9" i="75"/>
  <c r="X9" i="75"/>
  <c r="Z9" i="75"/>
  <c r="AB9" i="75"/>
  <c r="AC9" i="75"/>
  <c r="AD9" i="75"/>
  <c r="AE9" i="75"/>
  <c r="AG9" i="75"/>
  <c r="AH9" i="75"/>
  <c r="AI9" i="75"/>
  <c r="AJ9" i="75"/>
  <c r="AK9" i="75"/>
  <c r="AL9" i="75"/>
  <c r="AM9" i="75"/>
  <c r="AO9" i="75"/>
  <c r="AT9" i="75"/>
  <c r="AU9" i="75"/>
  <c r="AV9" i="75"/>
  <c r="BA9" i="75"/>
  <c r="BB9" i="75"/>
  <c r="BG9" i="75"/>
  <c r="BH9" i="75"/>
  <c r="BI9" i="75"/>
  <c r="BJ9" i="75"/>
  <c r="BK9" i="75"/>
  <c r="BL9" i="75"/>
  <c r="BM9" i="75"/>
  <c r="BN9" i="75"/>
  <c r="S10" i="75"/>
  <c r="V10" i="75"/>
  <c r="W10" i="75"/>
  <c r="X10" i="75"/>
  <c r="Z10" i="75"/>
  <c r="AB10" i="75"/>
  <c r="AC10" i="75"/>
  <c r="AD10" i="75"/>
  <c r="AE10" i="75"/>
  <c r="AG10" i="75"/>
  <c r="AH10" i="75"/>
  <c r="AI10" i="75"/>
  <c r="AJ10" i="75"/>
  <c r="AK10" i="75"/>
  <c r="AL10" i="75"/>
  <c r="AM10" i="75"/>
  <c r="AN10" i="75"/>
  <c r="AO10" i="75"/>
  <c r="AT10" i="75"/>
  <c r="AU10" i="75"/>
  <c r="AV10" i="75"/>
  <c r="BA10" i="75"/>
  <c r="BB10" i="75"/>
  <c r="BG10" i="75"/>
  <c r="BH10" i="75"/>
  <c r="BI10" i="75"/>
  <c r="BJ10" i="75"/>
  <c r="BK10" i="75"/>
  <c r="BL10" i="75"/>
  <c r="BM10" i="75"/>
  <c r="BN10" i="75"/>
  <c r="S11" i="75"/>
  <c r="V11" i="75"/>
  <c r="W11" i="75"/>
  <c r="X11" i="75"/>
  <c r="Z11" i="75"/>
  <c r="AB11" i="75"/>
  <c r="AC11" i="75"/>
  <c r="AD11" i="75"/>
  <c r="AE11" i="75"/>
  <c r="AG11" i="75"/>
  <c r="AH11" i="75"/>
  <c r="AI11" i="75"/>
  <c r="AJ11" i="75"/>
  <c r="AL11" i="75"/>
  <c r="AM11" i="75"/>
  <c r="AO11" i="75"/>
  <c r="AT11" i="75"/>
  <c r="AU11" i="75"/>
  <c r="AV11" i="75"/>
  <c r="BA11" i="75"/>
  <c r="BB11" i="75"/>
  <c r="BG11" i="75"/>
  <c r="BH11" i="75"/>
  <c r="BI11" i="75"/>
  <c r="BJ11" i="75"/>
  <c r="BK11" i="75"/>
  <c r="BL11" i="75"/>
  <c r="BM11" i="75"/>
  <c r="BN11" i="75"/>
  <c r="S12" i="75"/>
  <c r="V12" i="75"/>
  <c r="W12" i="75"/>
  <c r="X12" i="75"/>
  <c r="Z12" i="75"/>
  <c r="AB12" i="75"/>
  <c r="AC12" i="75"/>
  <c r="AD12" i="75"/>
  <c r="AE12" i="75"/>
  <c r="AG12" i="75"/>
  <c r="AH12" i="75"/>
  <c r="AI12" i="75"/>
  <c r="AJ12" i="75"/>
  <c r="AK12" i="75"/>
  <c r="AL12" i="75"/>
  <c r="AM12" i="75"/>
  <c r="AN12" i="75"/>
  <c r="AO12" i="75"/>
  <c r="AT12" i="75"/>
  <c r="AU12" i="75"/>
  <c r="AV12" i="75"/>
  <c r="BA12" i="75"/>
  <c r="BB12" i="75"/>
  <c r="BG12" i="75"/>
  <c r="BH12" i="75"/>
  <c r="BI12" i="75"/>
  <c r="BJ12" i="75"/>
  <c r="BK12" i="75"/>
  <c r="BL12" i="75"/>
  <c r="BM12" i="75"/>
  <c r="BN12" i="75"/>
  <c r="S13" i="75"/>
  <c r="V13" i="75"/>
  <c r="W13" i="75"/>
  <c r="X13" i="75"/>
  <c r="Z13" i="75"/>
  <c r="AB13" i="75"/>
  <c r="AC13" i="75"/>
  <c r="AD13" i="75"/>
  <c r="AE13" i="75"/>
  <c r="AG13" i="75"/>
  <c r="AH13" i="75"/>
  <c r="AI13" i="75"/>
  <c r="AJ13" i="75"/>
  <c r="AK13" i="75"/>
  <c r="AL13" i="75"/>
  <c r="AM13" i="75"/>
  <c r="AN13" i="75"/>
  <c r="AO13" i="75"/>
  <c r="AT13" i="75"/>
  <c r="AU13" i="75"/>
  <c r="AV13" i="75"/>
  <c r="BA13" i="75"/>
  <c r="BB13" i="75"/>
  <c r="BG13" i="75"/>
  <c r="BH13" i="75"/>
  <c r="BI13" i="75"/>
  <c r="BJ13" i="75"/>
  <c r="BK13" i="75"/>
  <c r="BL13" i="75"/>
  <c r="BM13" i="75"/>
  <c r="BN13" i="75"/>
  <c r="S14" i="75"/>
  <c r="V14" i="75"/>
  <c r="W14" i="75"/>
  <c r="X14" i="75"/>
  <c r="Z14" i="75"/>
  <c r="AB14" i="75"/>
  <c r="AC14" i="75"/>
  <c r="AD14" i="75"/>
  <c r="AE14" i="75"/>
  <c r="AG14" i="75"/>
  <c r="AH14" i="75"/>
  <c r="AI14" i="75"/>
  <c r="AJ14" i="75"/>
  <c r="AK14" i="75"/>
  <c r="AL14" i="75"/>
  <c r="AM14" i="75"/>
  <c r="AN14" i="75"/>
  <c r="AO14" i="75"/>
  <c r="AT14" i="75"/>
  <c r="AU14" i="75"/>
  <c r="AV14" i="75"/>
  <c r="BA14" i="75"/>
  <c r="BG14" i="75"/>
  <c r="BH14" i="75"/>
  <c r="BI14" i="75"/>
  <c r="BJ14" i="75"/>
  <c r="BK14" i="75"/>
  <c r="BL14" i="75"/>
  <c r="BM14" i="75"/>
  <c r="BN14" i="75"/>
  <c r="S15" i="75"/>
  <c r="V15" i="75"/>
  <c r="W15" i="75"/>
  <c r="X15" i="75"/>
  <c r="Z15" i="75"/>
  <c r="AB15" i="75"/>
  <c r="AC15" i="75"/>
  <c r="AD15" i="75"/>
  <c r="AE15" i="75"/>
  <c r="AG15" i="75"/>
  <c r="AH15" i="75"/>
  <c r="AI15" i="75"/>
  <c r="AJ15" i="75"/>
  <c r="AK15" i="75"/>
  <c r="AL15" i="75"/>
  <c r="AM15" i="75"/>
  <c r="AN15" i="75"/>
  <c r="AO15" i="75"/>
  <c r="AT15" i="75"/>
  <c r="AU15" i="75"/>
  <c r="AV15" i="75"/>
  <c r="BA15" i="75"/>
  <c r="BG15" i="75"/>
  <c r="BH15" i="75"/>
  <c r="BI15" i="75"/>
  <c r="BJ15" i="75"/>
  <c r="BK15" i="75"/>
  <c r="BL15" i="75"/>
  <c r="BM15" i="75"/>
  <c r="BN15" i="75"/>
  <c r="S16" i="75"/>
  <c r="V16" i="75"/>
  <c r="W16" i="75"/>
  <c r="X16" i="75"/>
  <c r="Z16" i="75"/>
  <c r="AB16" i="75"/>
  <c r="AC16" i="75"/>
  <c r="AD16" i="75"/>
  <c r="AE16" i="75"/>
  <c r="AG16" i="75"/>
  <c r="AH16" i="75"/>
  <c r="AI16" i="75"/>
  <c r="AJ16" i="75"/>
  <c r="AK16" i="75"/>
  <c r="AL16" i="75"/>
  <c r="AM16" i="75"/>
  <c r="AN16" i="75"/>
  <c r="AO16" i="75"/>
  <c r="AT16" i="75"/>
  <c r="AU16" i="75"/>
  <c r="AV16" i="75"/>
  <c r="BA16" i="75"/>
  <c r="BB16" i="75"/>
  <c r="BG16" i="75"/>
  <c r="BH16" i="75"/>
  <c r="BI16" i="75"/>
  <c r="BJ16" i="75"/>
  <c r="BK16" i="75"/>
  <c r="BL16" i="75"/>
  <c r="BM16" i="75"/>
  <c r="BN16" i="75"/>
  <c r="S17" i="75"/>
  <c r="V17" i="75"/>
  <c r="W17" i="75"/>
  <c r="X17" i="75"/>
  <c r="Z17" i="75"/>
  <c r="AB17" i="75"/>
  <c r="AC17" i="75"/>
  <c r="AD17" i="75"/>
  <c r="AE17" i="75"/>
  <c r="AG17" i="75"/>
  <c r="AH17" i="75"/>
  <c r="AI17" i="75"/>
  <c r="AK17" i="75"/>
  <c r="AL17" i="75"/>
  <c r="AM17" i="75"/>
  <c r="AN17" i="75"/>
  <c r="AO17" i="75"/>
  <c r="AT17" i="75"/>
  <c r="AU17" i="75"/>
  <c r="AV17" i="75"/>
  <c r="BA17" i="75"/>
  <c r="BB17" i="75"/>
  <c r="BG17" i="75"/>
  <c r="BH17" i="75"/>
  <c r="BI17" i="75"/>
  <c r="BJ17" i="75"/>
  <c r="BK17" i="75"/>
  <c r="BL17" i="75"/>
  <c r="BM17" i="75"/>
  <c r="BN17" i="75"/>
  <c r="S18" i="75"/>
  <c r="V18" i="75"/>
  <c r="W18" i="75"/>
  <c r="X18" i="75"/>
  <c r="Z18" i="75"/>
  <c r="AB18" i="75"/>
  <c r="AC18" i="75"/>
  <c r="AD18" i="75"/>
  <c r="AE18" i="75"/>
  <c r="AG18" i="75"/>
  <c r="AH18" i="75"/>
  <c r="AI18" i="75"/>
  <c r="AJ18" i="75"/>
  <c r="AK18" i="75"/>
  <c r="AL18" i="75"/>
  <c r="AM18" i="75"/>
  <c r="AN18" i="75"/>
  <c r="AO18" i="75"/>
  <c r="AT18" i="75"/>
  <c r="AU18" i="75"/>
  <c r="AV18" i="75"/>
  <c r="BA18" i="75"/>
  <c r="BB18" i="75"/>
  <c r="BG18" i="75"/>
  <c r="BH18" i="75"/>
  <c r="BI18" i="75"/>
  <c r="BJ18" i="75"/>
  <c r="BK18" i="75"/>
  <c r="BL18" i="75"/>
  <c r="BM18" i="75"/>
  <c r="BN18" i="75"/>
  <c r="S19" i="75"/>
  <c r="V19" i="75"/>
  <c r="W19" i="75"/>
  <c r="X19" i="75"/>
  <c r="Z19" i="75"/>
  <c r="AB19" i="75"/>
  <c r="AC19" i="75"/>
  <c r="AD19" i="75"/>
  <c r="AE19" i="75"/>
  <c r="AG19" i="75"/>
  <c r="AH19" i="75"/>
  <c r="AI19" i="75"/>
  <c r="AJ19" i="75"/>
  <c r="AK19" i="75"/>
  <c r="AL19" i="75"/>
  <c r="AM19" i="75"/>
  <c r="AN19" i="75"/>
  <c r="AO19" i="75"/>
  <c r="AT19" i="75"/>
  <c r="AU19" i="75"/>
  <c r="AV19" i="75"/>
  <c r="BA19" i="75"/>
  <c r="BB19" i="75"/>
  <c r="BG19" i="75"/>
  <c r="BH19" i="75"/>
  <c r="BI19" i="75"/>
  <c r="BJ19" i="75"/>
  <c r="BK19" i="75"/>
  <c r="BL19" i="75"/>
  <c r="BM19" i="75"/>
  <c r="BN19" i="75"/>
  <c r="S21" i="75"/>
  <c r="V21" i="75"/>
  <c r="W21" i="75"/>
  <c r="X21" i="75"/>
  <c r="Z21" i="75"/>
  <c r="AB21" i="75"/>
  <c r="AC21" i="75"/>
  <c r="AD21" i="75"/>
  <c r="AE21" i="75"/>
  <c r="AG21" i="75"/>
  <c r="AH21" i="75"/>
  <c r="AI21" i="75"/>
  <c r="AJ21" i="75"/>
  <c r="AK21" i="75"/>
  <c r="AL21" i="75"/>
  <c r="AM21" i="75"/>
  <c r="AN21" i="75"/>
  <c r="AO21" i="75"/>
  <c r="AT21" i="75"/>
  <c r="AU21" i="75"/>
  <c r="AV21" i="75"/>
  <c r="BA21" i="75"/>
  <c r="BB21" i="75"/>
  <c r="BG21" i="75"/>
  <c r="BH21" i="75"/>
  <c r="BI21" i="75"/>
  <c r="BJ21" i="75"/>
  <c r="BK21" i="75"/>
  <c r="BL21" i="75"/>
  <c r="BM21" i="75"/>
  <c r="BN21" i="75"/>
  <c r="S22" i="75"/>
  <c r="V22" i="75"/>
  <c r="W22" i="75"/>
  <c r="X22" i="75"/>
  <c r="Z22" i="75"/>
  <c r="AB22" i="75"/>
  <c r="AC22" i="75"/>
  <c r="AD22" i="75"/>
  <c r="AE22" i="75"/>
  <c r="AG22" i="75"/>
  <c r="AH22" i="75"/>
  <c r="AI22" i="75"/>
  <c r="AJ22" i="75"/>
  <c r="AK22" i="75"/>
  <c r="AL22" i="75"/>
  <c r="AM22" i="75"/>
  <c r="AN22" i="75"/>
  <c r="AO22" i="75"/>
  <c r="AT22" i="75"/>
  <c r="AU22" i="75"/>
  <c r="AV22" i="75"/>
  <c r="BA22" i="75"/>
  <c r="BB22" i="75"/>
  <c r="BG22" i="75"/>
  <c r="BH22" i="75"/>
  <c r="BI22" i="75"/>
  <c r="BJ22" i="75"/>
  <c r="BK22" i="75"/>
  <c r="BL22" i="75"/>
  <c r="BM22" i="75"/>
  <c r="BN22" i="75"/>
  <c r="S23" i="75"/>
  <c r="V23" i="75"/>
  <c r="W23" i="75"/>
  <c r="X23" i="75"/>
  <c r="Z23" i="75"/>
  <c r="AB23" i="75"/>
  <c r="AC23" i="75"/>
  <c r="AD23" i="75"/>
  <c r="AE23" i="75"/>
  <c r="AG23" i="75"/>
  <c r="AH23" i="75"/>
  <c r="AI23" i="75"/>
  <c r="AJ23" i="75"/>
  <c r="AK23" i="75"/>
  <c r="AL23" i="75"/>
  <c r="AM23" i="75"/>
  <c r="AN23" i="75"/>
  <c r="AO23" i="75"/>
  <c r="AT23" i="75"/>
  <c r="AU23" i="75"/>
  <c r="AV23" i="75"/>
  <c r="BA23" i="75"/>
  <c r="BB23" i="75"/>
  <c r="BG23" i="75"/>
  <c r="BH23" i="75"/>
  <c r="BI23" i="75"/>
  <c r="BJ23" i="75"/>
  <c r="BK23" i="75"/>
  <c r="BL23" i="75"/>
  <c r="BM23" i="75"/>
  <c r="BN23" i="75"/>
  <c r="S24" i="75"/>
  <c r="V24" i="75"/>
  <c r="W24" i="75"/>
  <c r="X24" i="75"/>
  <c r="Z24" i="75"/>
  <c r="AB24" i="75"/>
  <c r="AC24" i="75"/>
  <c r="AD24" i="75"/>
  <c r="AE24" i="75"/>
  <c r="AG24" i="75"/>
  <c r="AH24" i="75"/>
  <c r="AI24" i="75"/>
  <c r="AJ24" i="75"/>
  <c r="AK24" i="75"/>
  <c r="AL24" i="75"/>
  <c r="AM24" i="75"/>
  <c r="AN24" i="75"/>
  <c r="AO24" i="75"/>
  <c r="AT24" i="75"/>
  <c r="AU24" i="75"/>
  <c r="AV24" i="75"/>
  <c r="BA24" i="75"/>
  <c r="BB24" i="75"/>
  <c r="BG24" i="75"/>
  <c r="BH24" i="75"/>
  <c r="BI24" i="75"/>
  <c r="BJ24" i="75"/>
  <c r="BK24" i="75"/>
  <c r="BL24" i="75"/>
  <c r="BM24" i="75"/>
  <c r="BN24" i="75"/>
  <c r="S25" i="75"/>
  <c r="V25" i="75"/>
  <c r="W25" i="75"/>
  <c r="X25" i="75"/>
  <c r="Z25" i="75"/>
  <c r="AB25" i="75"/>
  <c r="AC25" i="75"/>
  <c r="AD25" i="75"/>
  <c r="AE25" i="75"/>
  <c r="AG25" i="75"/>
  <c r="AH25" i="75"/>
  <c r="AI25" i="75"/>
  <c r="AJ25" i="75"/>
  <c r="AK25" i="75"/>
  <c r="AL25" i="75"/>
  <c r="AM25" i="75"/>
  <c r="AN25" i="75"/>
  <c r="AO25" i="75"/>
  <c r="AT25" i="75"/>
  <c r="AU25" i="75"/>
  <c r="AV25" i="75"/>
  <c r="BA25" i="75"/>
  <c r="BB25" i="75"/>
  <c r="BG25" i="75"/>
  <c r="BH25" i="75"/>
  <c r="BI25" i="75"/>
  <c r="BJ25" i="75"/>
  <c r="BK25" i="75"/>
  <c r="BL25" i="75"/>
  <c r="BM25" i="75"/>
  <c r="BN25" i="75"/>
  <c r="S26" i="75"/>
  <c r="V26" i="75"/>
  <c r="W26" i="75"/>
  <c r="X26" i="75"/>
  <c r="Z26" i="75"/>
  <c r="AB26" i="75"/>
  <c r="AC26" i="75"/>
  <c r="AD26" i="75"/>
  <c r="AE26" i="75"/>
  <c r="AG26" i="75"/>
  <c r="AH26" i="75"/>
  <c r="AI26" i="75"/>
  <c r="AJ26" i="75"/>
  <c r="AK26" i="75"/>
  <c r="AL26" i="75"/>
  <c r="AM26" i="75"/>
  <c r="AN26" i="75"/>
  <c r="AO26" i="75"/>
  <c r="AT26" i="75"/>
  <c r="AU26" i="75"/>
  <c r="AV26" i="75"/>
  <c r="BA26" i="75"/>
  <c r="BB26" i="75"/>
  <c r="BG26" i="75"/>
  <c r="BH26" i="75"/>
  <c r="BI26" i="75"/>
  <c r="BJ26" i="75"/>
  <c r="BK26" i="75"/>
  <c r="BL26" i="75"/>
  <c r="BM26" i="75"/>
  <c r="BN26" i="75"/>
  <c r="S27" i="75"/>
  <c r="V27" i="75"/>
  <c r="W27" i="75"/>
  <c r="X27" i="75"/>
  <c r="Z27" i="75"/>
  <c r="AB27" i="75"/>
  <c r="AC27" i="75"/>
  <c r="AD27" i="75"/>
  <c r="AE27" i="75"/>
  <c r="AG27" i="75"/>
  <c r="AH27" i="75"/>
  <c r="AI27" i="75"/>
  <c r="AJ27" i="75"/>
  <c r="AK27" i="75"/>
  <c r="AL27" i="75"/>
  <c r="AM27" i="75"/>
  <c r="AO27" i="75"/>
  <c r="AT27" i="75"/>
  <c r="AU27" i="75"/>
  <c r="AV27" i="75"/>
  <c r="BA27" i="75"/>
  <c r="BG27" i="75"/>
  <c r="BH27" i="75"/>
  <c r="BI27" i="75"/>
  <c r="BJ27" i="75"/>
  <c r="BK27" i="75"/>
  <c r="BL27" i="75"/>
  <c r="BM27" i="75"/>
  <c r="BN27" i="75"/>
  <c r="S28" i="75"/>
  <c r="V28" i="75"/>
  <c r="W28" i="75"/>
  <c r="X28" i="75"/>
  <c r="Z28" i="75"/>
  <c r="AB28" i="75"/>
  <c r="AC28" i="75"/>
  <c r="AD28" i="75"/>
  <c r="AE28" i="75"/>
  <c r="AG28" i="75"/>
  <c r="AH28" i="75"/>
  <c r="AI28" i="75"/>
  <c r="AJ28" i="75"/>
  <c r="AK28" i="75"/>
  <c r="AL28" i="75"/>
  <c r="AM28" i="75"/>
  <c r="AN28" i="75"/>
  <c r="AO28" i="75"/>
  <c r="AT28" i="75"/>
  <c r="AU28" i="75"/>
  <c r="AV28" i="75"/>
  <c r="BA28" i="75"/>
  <c r="BB28" i="75"/>
  <c r="BG28" i="75"/>
  <c r="BH28" i="75"/>
  <c r="BI28" i="75"/>
  <c r="BJ28" i="75"/>
  <c r="BK28" i="75"/>
  <c r="BL28" i="75"/>
  <c r="BM28" i="75"/>
  <c r="BN28" i="75"/>
  <c r="S29" i="75"/>
  <c r="V29" i="75"/>
  <c r="W29" i="75"/>
  <c r="X29" i="75"/>
  <c r="Z29" i="75"/>
  <c r="AB29" i="75"/>
  <c r="AC29" i="75"/>
  <c r="AD29" i="75"/>
  <c r="AE29" i="75"/>
  <c r="AG29" i="75"/>
  <c r="AH29" i="75"/>
  <c r="AI29" i="75"/>
  <c r="AJ29" i="75"/>
  <c r="AK29" i="75"/>
  <c r="AL29" i="75"/>
  <c r="AM29" i="75"/>
  <c r="AN29" i="75"/>
  <c r="AO29" i="75"/>
  <c r="AT29" i="75"/>
  <c r="AU29" i="75"/>
  <c r="AV29" i="75"/>
  <c r="BA29" i="75"/>
  <c r="BB29" i="75"/>
  <c r="BG29" i="75"/>
  <c r="BH29" i="75"/>
  <c r="BI29" i="75"/>
  <c r="BJ29" i="75"/>
  <c r="BK29" i="75"/>
  <c r="BL29" i="75"/>
  <c r="BM29" i="75"/>
  <c r="BN29" i="75"/>
  <c r="S30" i="75"/>
  <c r="V30" i="75"/>
  <c r="W30" i="75"/>
  <c r="X30" i="75"/>
  <c r="Z30" i="75"/>
  <c r="AB30" i="75"/>
  <c r="AC30" i="75"/>
  <c r="AD30" i="75"/>
  <c r="AE30" i="75"/>
  <c r="AG30" i="75"/>
  <c r="AH30" i="75"/>
  <c r="AI30" i="75"/>
  <c r="AJ30" i="75"/>
  <c r="AK30" i="75"/>
  <c r="AL30" i="75"/>
  <c r="AM30" i="75"/>
  <c r="AN30" i="75"/>
  <c r="AO30" i="75"/>
  <c r="AT30" i="75"/>
  <c r="AU30" i="75"/>
  <c r="AV30" i="75"/>
  <c r="BA30" i="75"/>
  <c r="BB30" i="75"/>
  <c r="BG30" i="75"/>
  <c r="BH30" i="75"/>
  <c r="BI30" i="75"/>
  <c r="BJ30" i="75"/>
  <c r="BK30" i="75"/>
  <c r="BL30" i="75"/>
  <c r="BM30" i="75"/>
  <c r="BN30" i="75"/>
  <c r="S31" i="75"/>
  <c r="V31" i="75"/>
  <c r="W31" i="75"/>
  <c r="X31" i="75"/>
  <c r="Z31" i="75"/>
  <c r="AB31" i="75"/>
  <c r="AC31" i="75"/>
  <c r="AD31" i="75"/>
  <c r="AE31" i="75"/>
  <c r="AG31" i="75"/>
  <c r="AH31" i="75"/>
  <c r="AI31" i="75"/>
  <c r="AJ31" i="75"/>
  <c r="AK31" i="75"/>
  <c r="AL31" i="75"/>
  <c r="AM31" i="75"/>
  <c r="AN31" i="75"/>
  <c r="AO31" i="75"/>
  <c r="AT31" i="75"/>
  <c r="AU31" i="75"/>
  <c r="AV31" i="75"/>
  <c r="BA31" i="75"/>
  <c r="BB31" i="75"/>
  <c r="BG31" i="75"/>
  <c r="BH31" i="75"/>
  <c r="BI31" i="75"/>
  <c r="BJ31" i="75"/>
  <c r="BK31" i="75"/>
  <c r="BL31" i="75"/>
  <c r="BM31" i="75"/>
  <c r="BN31" i="75"/>
  <c r="S32" i="75"/>
  <c r="V32" i="75"/>
  <c r="W32" i="75"/>
  <c r="X32" i="75"/>
  <c r="Z32" i="75"/>
  <c r="AB32" i="75"/>
  <c r="AC32" i="75"/>
  <c r="AD32" i="75"/>
  <c r="AE32" i="75"/>
  <c r="AG32" i="75"/>
  <c r="AH32" i="75"/>
  <c r="AI32" i="75"/>
  <c r="AJ32" i="75"/>
  <c r="AK32" i="75"/>
  <c r="AL32" i="75"/>
  <c r="AM32" i="75"/>
  <c r="AN32" i="75"/>
  <c r="AO32" i="75"/>
  <c r="AT32" i="75"/>
  <c r="AU32" i="75"/>
  <c r="AV32" i="75"/>
  <c r="BA32" i="75"/>
  <c r="BB32" i="75"/>
  <c r="BG32" i="75"/>
  <c r="BH32" i="75"/>
  <c r="BI32" i="75"/>
  <c r="BJ32" i="75"/>
  <c r="BK32" i="75"/>
  <c r="BL32" i="75"/>
  <c r="BM32" i="75"/>
  <c r="BN32" i="75"/>
  <c r="S33" i="75"/>
  <c r="V33" i="75"/>
  <c r="W33" i="75"/>
  <c r="X33" i="75"/>
  <c r="Z33" i="75"/>
  <c r="AB33" i="75"/>
  <c r="AC33" i="75"/>
  <c r="AD33" i="75"/>
  <c r="AE33" i="75"/>
  <c r="AG33" i="75"/>
  <c r="AH33" i="75"/>
  <c r="AI33" i="75"/>
  <c r="AJ33" i="75"/>
  <c r="AK33" i="75"/>
  <c r="AL33" i="75"/>
  <c r="AM33" i="75"/>
  <c r="AN33" i="75"/>
  <c r="AO33" i="75"/>
  <c r="AT33" i="75"/>
  <c r="AU33" i="75"/>
  <c r="AV33" i="75"/>
  <c r="BA33" i="75"/>
  <c r="BB33" i="75"/>
  <c r="BG33" i="75"/>
  <c r="BH33" i="75"/>
  <c r="BI33" i="75"/>
  <c r="BJ33" i="75"/>
  <c r="BK33" i="75"/>
  <c r="BL33" i="75"/>
  <c r="BM33" i="75"/>
  <c r="BN33" i="75"/>
  <c r="S34" i="75"/>
  <c r="V34" i="75"/>
  <c r="W34" i="75"/>
  <c r="X34" i="75"/>
  <c r="Z34" i="75"/>
  <c r="AB34" i="75"/>
  <c r="AC34" i="75"/>
  <c r="AD34" i="75"/>
  <c r="AE34" i="75"/>
  <c r="AG34" i="75"/>
  <c r="AH34" i="75"/>
  <c r="AI34" i="75"/>
  <c r="AJ34" i="75"/>
  <c r="AK34" i="75"/>
  <c r="AL34" i="75"/>
  <c r="AM34" i="75"/>
  <c r="AN34" i="75"/>
  <c r="AO34" i="75"/>
  <c r="AT34" i="75"/>
  <c r="AU34" i="75"/>
  <c r="AV34" i="75"/>
  <c r="BA34" i="75"/>
  <c r="BB34" i="75"/>
  <c r="BG34" i="75"/>
  <c r="BH34" i="75"/>
  <c r="BI34" i="75"/>
  <c r="BJ34" i="75"/>
  <c r="BK34" i="75"/>
  <c r="BL34" i="75"/>
  <c r="BM34" i="75"/>
  <c r="BN34" i="75"/>
  <c r="S35" i="75"/>
  <c r="V35" i="75"/>
  <c r="W35" i="75"/>
  <c r="X35" i="75"/>
  <c r="Z35" i="75"/>
  <c r="AB35" i="75"/>
  <c r="AC35" i="75"/>
  <c r="AD35" i="75"/>
  <c r="AE35" i="75"/>
  <c r="AG35" i="75"/>
  <c r="AH35" i="75"/>
  <c r="AI35" i="75"/>
  <c r="AJ35" i="75"/>
  <c r="AK35" i="75"/>
  <c r="AL35" i="75"/>
  <c r="AM35" i="75"/>
  <c r="AN35" i="75"/>
  <c r="AO35" i="75"/>
  <c r="AT35" i="75"/>
  <c r="AU35" i="75"/>
  <c r="AV35" i="75"/>
  <c r="BA35" i="75"/>
  <c r="BB35" i="75"/>
  <c r="BG35" i="75"/>
  <c r="BH35" i="75"/>
  <c r="BI35" i="75"/>
  <c r="BJ35" i="75"/>
  <c r="BK35" i="75"/>
  <c r="BL35" i="75"/>
  <c r="BM35" i="75"/>
  <c r="BN35" i="75"/>
  <c r="S36" i="75"/>
  <c r="V36" i="75"/>
  <c r="W36" i="75"/>
  <c r="X36" i="75"/>
  <c r="Z36" i="75"/>
  <c r="AB36" i="75"/>
  <c r="AC36" i="75"/>
  <c r="AD36" i="75"/>
  <c r="AE36" i="75"/>
  <c r="AG36" i="75"/>
  <c r="AH36" i="75"/>
  <c r="AI36" i="75"/>
  <c r="AJ36" i="75"/>
  <c r="AK36" i="75"/>
  <c r="AL36" i="75"/>
  <c r="AM36" i="75"/>
  <c r="AN36" i="75"/>
  <c r="AO36" i="75"/>
  <c r="AT36" i="75"/>
  <c r="AU36" i="75"/>
  <c r="AV36" i="75"/>
  <c r="BA36" i="75"/>
  <c r="BB36" i="75"/>
  <c r="BG36" i="75"/>
  <c r="BH36" i="75"/>
  <c r="BI36" i="75"/>
  <c r="BJ36" i="75"/>
  <c r="BK36" i="75"/>
  <c r="BL36" i="75"/>
  <c r="BM36" i="75"/>
  <c r="BN36" i="75"/>
  <c r="S37" i="75"/>
  <c r="V37" i="75"/>
  <c r="W37" i="75"/>
  <c r="X37" i="75"/>
  <c r="Z37" i="75"/>
  <c r="AB37" i="75"/>
  <c r="AC37" i="75"/>
  <c r="AD37" i="75"/>
  <c r="AE37" i="75"/>
  <c r="AG37" i="75"/>
  <c r="AH37" i="75"/>
  <c r="AI37" i="75"/>
  <c r="AJ37" i="75"/>
  <c r="AK37" i="75"/>
  <c r="AL37" i="75"/>
  <c r="AM37" i="75"/>
  <c r="AN37" i="75"/>
  <c r="AO37" i="75"/>
  <c r="AT37" i="75"/>
  <c r="AU37" i="75"/>
  <c r="AV37" i="75"/>
  <c r="BA37" i="75"/>
  <c r="BB37" i="75"/>
  <c r="BG37" i="75"/>
  <c r="BH37" i="75"/>
  <c r="BI37" i="75"/>
  <c r="BJ37" i="75"/>
  <c r="BK37" i="75"/>
  <c r="BL37" i="75"/>
  <c r="BM37" i="75"/>
  <c r="BN37" i="75"/>
  <c r="S38" i="75"/>
  <c r="V38" i="75"/>
  <c r="W38" i="75"/>
  <c r="X38" i="75"/>
  <c r="Z38" i="75"/>
  <c r="AB38" i="75"/>
  <c r="AC38" i="75"/>
  <c r="AD38" i="75"/>
  <c r="AE38" i="75"/>
  <c r="AG38" i="75"/>
  <c r="AH38" i="75"/>
  <c r="AI38" i="75"/>
  <c r="AJ38" i="75"/>
  <c r="AK38" i="75"/>
  <c r="AL38" i="75"/>
  <c r="AM38" i="75"/>
  <c r="AN38" i="75"/>
  <c r="AO38" i="75"/>
  <c r="AT38" i="75"/>
  <c r="AU38" i="75"/>
  <c r="AV38" i="75"/>
  <c r="BA38" i="75"/>
  <c r="BB38" i="75"/>
  <c r="BG38" i="75"/>
  <c r="BH38" i="75"/>
  <c r="BI38" i="75"/>
  <c r="BJ38" i="75"/>
  <c r="BK38" i="75"/>
  <c r="BL38" i="75"/>
  <c r="BM38" i="75"/>
  <c r="BN38" i="75"/>
  <c r="S39" i="75"/>
  <c r="V39" i="75"/>
  <c r="W39" i="75"/>
  <c r="X39" i="75"/>
  <c r="Z39" i="75"/>
  <c r="AB39" i="75"/>
  <c r="AC39" i="75"/>
  <c r="AD39" i="75"/>
  <c r="AE39" i="75"/>
  <c r="AG39" i="75"/>
  <c r="AH39" i="75"/>
  <c r="AI39" i="75"/>
  <c r="AJ39" i="75"/>
  <c r="AK39" i="75"/>
  <c r="AL39" i="75"/>
  <c r="AM39" i="75"/>
  <c r="AN39" i="75"/>
  <c r="AO39" i="75"/>
  <c r="AT39" i="75"/>
  <c r="AU39" i="75"/>
  <c r="AV39" i="75"/>
  <c r="BA39" i="75"/>
  <c r="BB39" i="75"/>
  <c r="BG39" i="75"/>
  <c r="BH39" i="75"/>
  <c r="BI39" i="75"/>
  <c r="BJ39" i="75"/>
  <c r="BK39" i="75"/>
  <c r="BL39" i="75"/>
  <c r="BM39" i="75"/>
  <c r="BN39" i="75"/>
  <c r="S40" i="75"/>
  <c r="V40" i="75"/>
  <c r="W40" i="75"/>
  <c r="X40" i="75"/>
  <c r="Z40" i="75"/>
  <c r="AB40" i="75"/>
  <c r="AC40" i="75"/>
  <c r="AD40" i="75"/>
  <c r="AE40" i="75"/>
  <c r="AG40" i="75"/>
  <c r="AH40" i="75"/>
  <c r="AI40" i="75"/>
  <c r="AJ40" i="75"/>
  <c r="AK40" i="75"/>
  <c r="AL40" i="75"/>
  <c r="AM40" i="75"/>
  <c r="AN40" i="75"/>
  <c r="AO40" i="75"/>
  <c r="AT40" i="75"/>
  <c r="AU40" i="75"/>
  <c r="AV40" i="75"/>
  <c r="BA40" i="75"/>
  <c r="BB40" i="75"/>
  <c r="BG40" i="75"/>
  <c r="BH40" i="75"/>
  <c r="BI40" i="75"/>
  <c r="BJ40" i="75"/>
  <c r="BK40" i="75"/>
  <c r="BL40" i="75"/>
  <c r="BM40" i="75"/>
  <c r="BN40" i="75"/>
  <c r="S41" i="75"/>
  <c r="V41" i="75"/>
  <c r="W41" i="75"/>
  <c r="X41" i="75"/>
  <c r="Z41" i="75"/>
  <c r="AB41" i="75"/>
  <c r="AC41" i="75"/>
  <c r="AD41" i="75"/>
  <c r="AE41" i="75"/>
  <c r="AG41" i="75"/>
  <c r="AH41" i="75"/>
  <c r="AI41" i="75"/>
  <c r="AJ41" i="75"/>
  <c r="AK41" i="75"/>
  <c r="AL41" i="75"/>
  <c r="AM41" i="75"/>
  <c r="AN41" i="75"/>
  <c r="AO41" i="75"/>
  <c r="AT41" i="75"/>
  <c r="AU41" i="75"/>
  <c r="AV41" i="75"/>
  <c r="BA41" i="75"/>
  <c r="BB41" i="75"/>
  <c r="BG41" i="75"/>
  <c r="BH41" i="75"/>
  <c r="BI41" i="75"/>
  <c r="BJ41" i="75"/>
  <c r="BK41" i="75"/>
  <c r="BL41" i="75"/>
  <c r="BM41" i="75"/>
  <c r="BN41" i="75"/>
  <c r="S42" i="75"/>
  <c r="V42" i="75"/>
  <c r="W42" i="75"/>
  <c r="X42" i="75"/>
  <c r="Z42" i="75"/>
  <c r="AB42" i="75"/>
  <c r="AC42" i="75"/>
  <c r="AD42" i="75"/>
  <c r="AE42" i="75"/>
  <c r="AG42" i="75"/>
  <c r="AH42" i="75"/>
  <c r="AI42" i="75"/>
  <c r="AJ42" i="75"/>
  <c r="AK42" i="75"/>
  <c r="AL42" i="75"/>
  <c r="AM42" i="75"/>
  <c r="AN42" i="75"/>
  <c r="AO42" i="75"/>
  <c r="AT42" i="75"/>
  <c r="AU42" i="75"/>
  <c r="AV42" i="75"/>
  <c r="BA42" i="75"/>
  <c r="BB42" i="75"/>
  <c r="BG42" i="75"/>
  <c r="BH42" i="75"/>
  <c r="BI42" i="75"/>
  <c r="BJ42" i="75"/>
  <c r="BK42" i="75"/>
  <c r="BL42" i="75"/>
  <c r="BM42" i="75"/>
  <c r="BN42" i="75"/>
  <c r="S6" i="75"/>
  <c r="V6" i="75"/>
  <c r="W6" i="75"/>
  <c r="X6" i="75"/>
  <c r="Z6" i="75"/>
  <c r="AB6" i="75"/>
  <c r="AC6" i="75"/>
  <c r="AD6" i="75"/>
  <c r="AE6" i="75"/>
  <c r="AG6" i="75"/>
  <c r="AH6" i="75"/>
  <c r="AI6" i="75"/>
  <c r="AJ6" i="75"/>
  <c r="AK6" i="75"/>
  <c r="AL6" i="75"/>
  <c r="AM6" i="75"/>
  <c r="AN6" i="75"/>
  <c r="AO6" i="75"/>
  <c r="AS6" i="75"/>
  <c r="AT6" i="75"/>
  <c r="AU6" i="75"/>
  <c r="AV6" i="75"/>
  <c r="BB6" i="75"/>
  <c r="BG6" i="75"/>
  <c r="BK6" i="75"/>
  <c r="BL6" i="75"/>
  <c r="BM6" i="75"/>
  <c r="O33" i="75"/>
  <c r="N7" i="75"/>
  <c r="N8" i="75"/>
  <c r="N9" i="75"/>
  <c r="N10" i="75"/>
  <c r="N11" i="75"/>
  <c r="N12" i="75"/>
  <c r="N13" i="75"/>
  <c r="N14" i="75"/>
  <c r="N15" i="75"/>
  <c r="N16" i="75"/>
  <c r="N17" i="75"/>
  <c r="N18" i="75"/>
  <c r="N19" i="75"/>
  <c r="N21" i="75"/>
  <c r="N22" i="75"/>
  <c r="N23" i="75"/>
  <c r="N24" i="75"/>
  <c r="N25" i="75"/>
  <c r="N26" i="75"/>
  <c r="N27" i="75"/>
  <c r="N28" i="75"/>
  <c r="N29" i="75"/>
  <c r="N30" i="75"/>
  <c r="N31" i="75"/>
  <c r="N32" i="75"/>
  <c r="N33" i="75"/>
  <c r="N34" i="75"/>
  <c r="N35" i="75"/>
  <c r="N36" i="75"/>
  <c r="N37" i="75"/>
  <c r="N38" i="75"/>
  <c r="N39" i="75"/>
  <c r="N40" i="75"/>
  <c r="N41" i="75"/>
  <c r="N42" i="75"/>
  <c r="N6" i="75"/>
  <c r="M33" i="75"/>
  <c r="L7" i="75"/>
  <c r="L8" i="75"/>
  <c r="L9" i="75"/>
  <c r="L10" i="75"/>
  <c r="L11" i="75"/>
  <c r="L12" i="75"/>
  <c r="L13" i="75"/>
  <c r="L14" i="75"/>
  <c r="L15" i="75"/>
  <c r="L16" i="75"/>
  <c r="L17" i="75"/>
  <c r="L18" i="75"/>
  <c r="L19" i="75"/>
  <c r="L21" i="75"/>
  <c r="L22" i="75"/>
  <c r="L23" i="75"/>
  <c r="L24" i="75"/>
  <c r="L25" i="75"/>
  <c r="L26" i="75"/>
  <c r="L27" i="75"/>
  <c r="L28" i="75"/>
  <c r="L29" i="75"/>
  <c r="L30" i="75"/>
  <c r="L31" i="75"/>
  <c r="L32" i="75"/>
  <c r="L33" i="75"/>
  <c r="L34" i="75"/>
  <c r="L35" i="75"/>
  <c r="L36" i="75"/>
  <c r="L37" i="75"/>
  <c r="L38" i="75"/>
  <c r="L39" i="75"/>
  <c r="L40" i="75"/>
  <c r="L41" i="75"/>
  <c r="L42" i="75"/>
  <c r="L6" i="75"/>
  <c r="J7" i="75"/>
  <c r="J8" i="75"/>
  <c r="J9" i="75"/>
  <c r="J10" i="75"/>
  <c r="J11" i="75"/>
  <c r="J12" i="75"/>
  <c r="J13" i="75"/>
  <c r="J14" i="75"/>
  <c r="J15" i="75"/>
  <c r="J16" i="75"/>
  <c r="J17" i="75"/>
  <c r="J18" i="75"/>
  <c r="J19" i="75"/>
  <c r="J21" i="75"/>
  <c r="J22" i="75"/>
  <c r="J23" i="75"/>
  <c r="J24" i="75"/>
  <c r="J25" i="75"/>
  <c r="J26" i="75"/>
  <c r="J27" i="75"/>
  <c r="J28" i="75"/>
  <c r="J29" i="75"/>
  <c r="J30" i="75"/>
  <c r="J31" i="75"/>
  <c r="J32" i="75"/>
  <c r="J33" i="75"/>
  <c r="J34" i="75"/>
  <c r="J35" i="75"/>
  <c r="J36" i="75"/>
  <c r="J37" i="75"/>
  <c r="J38" i="75"/>
  <c r="J39" i="75"/>
  <c r="J40" i="75"/>
  <c r="J41" i="75"/>
  <c r="J42" i="75"/>
  <c r="J6" i="75"/>
  <c r="G7" i="75"/>
  <c r="G8" i="75"/>
  <c r="G9" i="75"/>
  <c r="G10" i="75"/>
  <c r="G11" i="75"/>
  <c r="G12" i="75"/>
  <c r="G13" i="75"/>
  <c r="G14" i="75"/>
  <c r="G15" i="75"/>
  <c r="G16" i="75"/>
  <c r="G17" i="75"/>
  <c r="G18" i="75"/>
  <c r="G19" i="75"/>
  <c r="G21" i="75"/>
  <c r="G22" i="75"/>
  <c r="G23" i="75"/>
  <c r="G24" i="75"/>
  <c r="G25" i="75"/>
  <c r="G26" i="75"/>
  <c r="G27" i="75"/>
  <c r="G28" i="75"/>
  <c r="G29" i="75"/>
  <c r="G30" i="75"/>
  <c r="G31" i="75"/>
  <c r="G32" i="75"/>
  <c r="G33" i="75"/>
  <c r="G34" i="75"/>
  <c r="G35" i="75"/>
  <c r="G36" i="75"/>
  <c r="G37" i="75"/>
  <c r="G38" i="75"/>
  <c r="G39" i="75"/>
  <c r="G40" i="75"/>
  <c r="G41" i="75"/>
  <c r="G42" i="75"/>
  <c r="G6" i="75"/>
  <c r="I44" i="75"/>
  <c r="AA44" i="75"/>
  <c r="AP44" i="75"/>
  <c r="BE44" i="75"/>
  <c r="BQ48" i="75"/>
  <c r="BQ44" i="75"/>
  <c r="B42" i="75"/>
  <c r="B41" i="75"/>
  <c r="B40" i="75"/>
  <c r="B39" i="75"/>
  <c r="B38" i="75"/>
  <c r="B37" i="75"/>
  <c r="BQ36" i="75"/>
  <c r="BQ37" i="75" s="1"/>
  <c r="B36" i="75"/>
  <c r="B35" i="75"/>
  <c r="B34" i="75"/>
  <c r="B33" i="75"/>
  <c r="B32" i="75"/>
  <c r="B31" i="75"/>
  <c r="BQ30" i="75"/>
  <c r="B30" i="75"/>
  <c r="B29" i="75"/>
  <c r="B28" i="75"/>
  <c r="B27" i="75"/>
  <c r="B26" i="75"/>
  <c r="B25" i="75"/>
  <c r="BQ24" i="75"/>
  <c r="B24" i="75"/>
  <c r="B23" i="75"/>
  <c r="B22" i="75"/>
  <c r="B21" i="75"/>
  <c r="B19" i="75"/>
  <c r="B18" i="75"/>
  <c r="BQ17" i="75"/>
  <c r="B17" i="75"/>
  <c r="B16" i="75"/>
  <c r="B15" i="75"/>
  <c r="B14" i="75"/>
  <c r="B13" i="75"/>
  <c r="B12" i="75"/>
  <c r="B11" i="75"/>
  <c r="B10" i="75"/>
  <c r="B9" i="75"/>
  <c r="B8" i="75"/>
  <c r="B7" i="75"/>
  <c r="B6" i="75"/>
  <c r="O16" i="72"/>
  <c r="O10" i="70"/>
  <c r="M24" i="69"/>
  <c r="D7" i="66"/>
  <c r="D8" i="66"/>
  <c r="D9" i="66"/>
  <c r="D10" i="66"/>
  <c r="D11" i="66"/>
  <c r="D12" i="66"/>
  <c r="D13" i="66"/>
  <c r="D14" i="66"/>
  <c r="D15" i="66"/>
  <c r="D16" i="66"/>
  <c r="D17" i="66"/>
  <c r="D19" i="66"/>
  <c r="D21" i="66"/>
  <c r="D22" i="66"/>
  <c r="D23" i="66"/>
  <c r="D24" i="66"/>
  <c r="D25" i="66"/>
  <c r="D26" i="66"/>
  <c r="D27" i="66"/>
  <c r="D28" i="66"/>
  <c r="D29" i="66"/>
  <c r="D30" i="66"/>
  <c r="D31" i="66"/>
  <c r="D32" i="66"/>
  <c r="D33" i="66"/>
  <c r="D34" i="66"/>
  <c r="D35" i="66"/>
  <c r="D36" i="66"/>
  <c r="D37" i="66"/>
  <c r="D38" i="66"/>
  <c r="D39" i="66"/>
  <c r="D40" i="66"/>
  <c r="D41" i="66"/>
  <c r="D42" i="66"/>
  <c r="BQ48" i="73"/>
  <c r="BQ44" i="73"/>
  <c r="BM44" i="73"/>
  <c r="BL44" i="73"/>
  <c r="BK44" i="73"/>
  <c r="BE44" i="73"/>
  <c r="BB44" i="73"/>
  <c r="BA44" i="73"/>
  <c r="AV44" i="73"/>
  <c r="AU44" i="73"/>
  <c r="AT44" i="73"/>
  <c r="AO44" i="73"/>
  <c r="AN44" i="73"/>
  <c r="AM44" i="73"/>
  <c r="AL44" i="73"/>
  <c r="AK44" i="73"/>
  <c r="AJ44" i="73"/>
  <c r="AI44" i="73"/>
  <c r="AG44" i="73"/>
  <c r="AF44" i="73"/>
  <c r="AE44" i="73"/>
  <c r="AD44" i="73"/>
  <c r="AC44" i="73"/>
  <c r="AA44" i="73"/>
  <c r="Z44" i="73"/>
  <c r="X44" i="73"/>
  <c r="W44" i="73"/>
  <c r="V44" i="73"/>
  <c r="S44" i="73"/>
  <c r="N44" i="73"/>
  <c r="L44" i="73"/>
  <c r="J44" i="73"/>
  <c r="G44" i="73"/>
  <c r="BF42" i="73"/>
  <c r="AY42" i="73"/>
  <c r="AX42" i="73"/>
  <c r="AW42" i="73"/>
  <c r="BC42" i="73"/>
  <c r="I42" i="73"/>
  <c r="B42" i="73"/>
  <c r="BF41" i="73"/>
  <c r="AY41" i="73"/>
  <c r="AX41" i="73"/>
  <c r="AW41" i="73"/>
  <c r="BC41" i="73"/>
  <c r="B41" i="73"/>
  <c r="BF40" i="73"/>
  <c r="AY40" i="73"/>
  <c r="AX40" i="73"/>
  <c r="AW40" i="73"/>
  <c r="BC40" i="73"/>
  <c r="O40" i="73"/>
  <c r="B40" i="73"/>
  <c r="BF39" i="73"/>
  <c r="AY39" i="73"/>
  <c r="AX39" i="73"/>
  <c r="AW39" i="73"/>
  <c r="BC39" i="73"/>
  <c r="B39" i="73"/>
  <c r="BF38" i="73"/>
  <c r="AY38" i="73"/>
  <c r="AX38" i="73"/>
  <c r="AW38" i="73"/>
  <c r="BC38" i="73"/>
  <c r="B38" i="73"/>
  <c r="BF37" i="73"/>
  <c r="AY37" i="73"/>
  <c r="AX37" i="73"/>
  <c r="AW37" i="73"/>
  <c r="BC37" i="73"/>
  <c r="O37" i="73"/>
  <c r="B37" i="73"/>
  <c r="BQ36" i="73"/>
  <c r="BQ37" i="73" s="1"/>
  <c r="BF36" i="73"/>
  <c r="AY36" i="73"/>
  <c r="AX36" i="73"/>
  <c r="AW36" i="73"/>
  <c r="BC36" i="73"/>
  <c r="B36" i="73"/>
  <c r="BF35" i="73"/>
  <c r="AY35" i="73"/>
  <c r="AX35" i="73"/>
  <c r="AW35" i="73"/>
  <c r="BC35" i="73"/>
  <c r="O35" i="73"/>
  <c r="B35" i="73"/>
  <c r="BF34" i="73"/>
  <c r="AY34" i="73"/>
  <c r="AX34" i="73"/>
  <c r="AW34" i="73"/>
  <c r="BC34" i="73"/>
  <c r="B34" i="73"/>
  <c r="BF33" i="73"/>
  <c r="AY33" i="73"/>
  <c r="AX33" i="73"/>
  <c r="AW33" i="73"/>
  <c r="BC33" i="73"/>
  <c r="K33" i="73"/>
  <c r="Y33" i="73" s="1"/>
  <c r="B33" i="73"/>
  <c r="BF32" i="73"/>
  <c r="AY32" i="73"/>
  <c r="AX32" i="73"/>
  <c r="AW32" i="73"/>
  <c r="BC32" i="73"/>
  <c r="O32" i="73"/>
  <c r="B32" i="73"/>
  <c r="AY31" i="73"/>
  <c r="AX31" i="73"/>
  <c r="AW31" i="73"/>
  <c r="BC31" i="73"/>
  <c r="B31" i="73"/>
  <c r="BQ30" i="73"/>
  <c r="BF30" i="73"/>
  <c r="AY30" i="73"/>
  <c r="AX30" i="73"/>
  <c r="AW30" i="73"/>
  <c r="BC30" i="73"/>
  <c r="M30" i="73"/>
  <c r="B30" i="73"/>
  <c r="BF29" i="73"/>
  <c r="AY29" i="73"/>
  <c r="AX29" i="73"/>
  <c r="AW29" i="73"/>
  <c r="BC29" i="73"/>
  <c r="M29" i="73"/>
  <c r="B29" i="73"/>
  <c r="BF28" i="73"/>
  <c r="AY28" i="73"/>
  <c r="AX28" i="73"/>
  <c r="AW28" i="73"/>
  <c r="BC28" i="73"/>
  <c r="B28" i="73"/>
  <c r="AY27" i="73"/>
  <c r="AX27" i="73"/>
  <c r="AW27" i="73"/>
  <c r="BC27" i="73"/>
  <c r="K27" i="73"/>
  <c r="B27" i="73"/>
  <c r="BF26" i="73"/>
  <c r="AY26" i="73"/>
  <c r="AX26" i="73"/>
  <c r="AW26" i="73"/>
  <c r="BC26" i="73"/>
  <c r="B26" i="73"/>
  <c r="BF25" i="73"/>
  <c r="AY25" i="73"/>
  <c r="AX25" i="73"/>
  <c r="AW25" i="73"/>
  <c r="BC25" i="73"/>
  <c r="B25" i="73"/>
  <c r="BQ24" i="73"/>
  <c r="BN6" i="73" s="1"/>
  <c r="BF24" i="73"/>
  <c r="AY24" i="73"/>
  <c r="AX24" i="73"/>
  <c r="AW24" i="73"/>
  <c r="M24" i="73"/>
  <c r="BC24" i="73"/>
  <c r="K24" i="73"/>
  <c r="B24" i="73"/>
  <c r="BF23" i="73"/>
  <c r="AY23" i="73"/>
  <c r="AX23" i="73"/>
  <c r="AW23" i="73"/>
  <c r="BC23" i="73"/>
  <c r="K23" i="73"/>
  <c r="B23" i="73"/>
  <c r="BF22" i="73"/>
  <c r="AY22" i="73"/>
  <c r="AX22" i="73"/>
  <c r="AW22" i="73"/>
  <c r="BC22" i="73"/>
  <c r="K22" i="73"/>
  <c r="B22" i="73"/>
  <c r="BF21" i="73"/>
  <c r="AY21" i="73"/>
  <c r="AX21" i="73"/>
  <c r="AW21" i="73"/>
  <c r="BC21" i="73"/>
  <c r="B21" i="73"/>
  <c r="BF19" i="73"/>
  <c r="AY19" i="73"/>
  <c r="AX19" i="73"/>
  <c r="AW19" i="73"/>
  <c r="BC19" i="73"/>
  <c r="B19" i="73"/>
  <c r="AY18" i="73"/>
  <c r="AX18" i="73"/>
  <c r="AW18" i="73"/>
  <c r="BC18" i="73"/>
  <c r="M18" i="73"/>
  <c r="B18" i="73"/>
  <c r="BQ17" i="73"/>
  <c r="BH6" i="73" s="1"/>
  <c r="BF17" i="73"/>
  <c r="AY17" i="73"/>
  <c r="AX17" i="73"/>
  <c r="AW17" i="73"/>
  <c r="BC17" i="73"/>
  <c r="B17" i="73"/>
  <c r="BF16" i="73"/>
  <c r="AY16" i="73"/>
  <c r="AX16" i="73"/>
  <c r="AW16" i="73"/>
  <c r="BC16" i="73"/>
  <c r="B16" i="73"/>
  <c r="BF15" i="73"/>
  <c r="AY15" i="73"/>
  <c r="AX15" i="73"/>
  <c r="AW15" i="73"/>
  <c r="BC15" i="73"/>
  <c r="O15" i="73"/>
  <c r="B15" i="73"/>
  <c r="BF14" i="73"/>
  <c r="AY14" i="73"/>
  <c r="AX14" i="73"/>
  <c r="AW14" i="73"/>
  <c r="BC14" i="73"/>
  <c r="O14" i="73"/>
  <c r="B14" i="73"/>
  <c r="BF13" i="73"/>
  <c r="AY13" i="73"/>
  <c r="AX13" i="73"/>
  <c r="AW13" i="73"/>
  <c r="BC13" i="73"/>
  <c r="O13" i="73"/>
  <c r="B13" i="73"/>
  <c r="BF12" i="73"/>
  <c r="AY12" i="73"/>
  <c r="AX12" i="73"/>
  <c r="AW12" i="73"/>
  <c r="BC12" i="73"/>
  <c r="I12" i="73"/>
  <c r="B12" i="73"/>
  <c r="BF11" i="73"/>
  <c r="AY11" i="73"/>
  <c r="AX11" i="73"/>
  <c r="AW11" i="73"/>
  <c r="BC11" i="73"/>
  <c r="B11" i="73"/>
  <c r="BF10" i="73"/>
  <c r="AY10" i="73"/>
  <c r="AX10" i="73"/>
  <c r="AW10" i="73"/>
  <c r="BC10" i="73"/>
  <c r="B10" i="73"/>
  <c r="BF9" i="73"/>
  <c r="AZ9" i="73" s="1"/>
  <c r="AY9" i="73"/>
  <c r="AX9" i="73"/>
  <c r="AW9" i="73"/>
  <c r="BC9" i="73"/>
  <c r="B9" i="73"/>
  <c r="BF8" i="73"/>
  <c r="AY8" i="73"/>
  <c r="AX8" i="73"/>
  <c r="AW8" i="73"/>
  <c r="BC8" i="73"/>
  <c r="B8" i="73"/>
  <c r="BF7" i="73"/>
  <c r="AY7" i="73"/>
  <c r="AX7" i="73"/>
  <c r="AW7" i="73"/>
  <c r="BC7" i="73"/>
  <c r="B7" i="73"/>
  <c r="BJ6" i="73"/>
  <c r="BJ44" i="73" s="1"/>
  <c r="BI6" i="73"/>
  <c r="BI44" i="73" s="1"/>
  <c r="BF6" i="73"/>
  <c r="AY6" i="73"/>
  <c r="AX6" i="73"/>
  <c r="AW6" i="73"/>
  <c r="B6" i="73"/>
  <c r="BQ48" i="72"/>
  <c r="BQ44" i="72"/>
  <c r="BM44" i="72"/>
  <c r="BL44" i="72"/>
  <c r="BK44" i="72"/>
  <c r="BE44" i="72"/>
  <c r="BB44" i="72"/>
  <c r="BA44" i="72"/>
  <c r="H50" i="72" s="1"/>
  <c r="AV44" i="72"/>
  <c r="AU44" i="72"/>
  <c r="AT44" i="72"/>
  <c r="AO44" i="72"/>
  <c r="AN44" i="72"/>
  <c r="AM44" i="72"/>
  <c r="AL44" i="72"/>
  <c r="AK44" i="72"/>
  <c r="AJ44" i="72"/>
  <c r="AI44" i="72"/>
  <c r="AG44" i="72"/>
  <c r="AF44" i="72"/>
  <c r="AE44" i="72"/>
  <c r="AD44" i="72"/>
  <c r="AC44" i="72"/>
  <c r="AA44" i="72"/>
  <c r="Z44" i="72"/>
  <c r="X44" i="72"/>
  <c r="W44" i="72"/>
  <c r="V44" i="72"/>
  <c r="S44" i="72"/>
  <c r="N44" i="72"/>
  <c r="L44" i="72"/>
  <c r="J44" i="72"/>
  <c r="G44" i="72"/>
  <c r="BF42" i="72"/>
  <c r="AY42" i="72"/>
  <c r="AX42" i="72"/>
  <c r="AW42" i="72"/>
  <c r="BC42" i="72"/>
  <c r="M42" i="72"/>
  <c r="B42" i="72"/>
  <c r="BF41" i="72"/>
  <c r="AY41" i="72"/>
  <c r="AX41" i="72"/>
  <c r="AW41" i="72"/>
  <c r="BC41" i="72"/>
  <c r="B41" i="72"/>
  <c r="BF40" i="72"/>
  <c r="AY40" i="72"/>
  <c r="AX40" i="72"/>
  <c r="AW40" i="72"/>
  <c r="BC40" i="72"/>
  <c r="I40" i="72"/>
  <c r="B40" i="72"/>
  <c r="BF39" i="72"/>
  <c r="AZ39" i="72" s="1"/>
  <c r="AY39" i="72"/>
  <c r="AX39" i="72"/>
  <c r="AW39" i="72"/>
  <c r="BC39" i="72"/>
  <c r="B39" i="72"/>
  <c r="BF38" i="72"/>
  <c r="AY38" i="72"/>
  <c r="AX38" i="72"/>
  <c r="AW38" i="72"/>
  <c r="BC38" i="72"/>
  <c r="B38" i="72"/>
  <c r="BF37" i="72"/>
  <c r="AY37" i="72"/>
  <c r="AX37" i="72"/>
  <c r="AW37" i="72"/>
  <c r="BC37" i="72"/>
  <c r="O37" i="72"/>
  <c r="B37" i="72"/>
  <c r="BQ36" i="72"/>
  <c r="BQ37" i="72" s="1"/>
  <c r="BF36" i="72"/>
  <c r="AY36" i="72"/>
  <c r="AX36" i="72"/>
  <c r="AW36" i="72"/>
  <c r="BC36" i="72"/>
  <c r="O36" i="72"/>
  <c r="B36" i="72"/>
  <c r="BF35" i="72"/>
  <c r="AY35" i="72"/>
  <c r="AX35" i="72"/>
  <c r="AW35" i="72"/>
  <c r="BC35" i="72"/>
  <c r="B35" i="72"/>
  <c r="BF34" i="72"/>
  <c r="AY34" i="72"/>
  <c r="AX34" i="72"/>
  <c r="AW34" i="72"/>
  <c r="BC34" i="72"/>
  <c r="K34" i="72"/>
  <c r="B34" i="72"/>
  <c r="BF33" i="72"/>
  <c r="AY33" i="72"/>
  <c r="AX33" i="72"/>
  <c r="AW33" i="72"/>
  <c r="BC33" i="72"/>
  <c r="B33" i="72"/>
  <c r="BF32" i="72"/>
  <c r="AY32" i="72"/>
  <c r="AX32" i="72"/>
  <c r="AW32" i="72"/>
  <c r="BC32" i="72"/>
  <c r="K32" i="72"/>
  <c r="B32" i="72"/>
  <c r="BF31" i="72"/>
  <c r="AY31" i="72"/>
  <c r="AX31" i="72"/>
  <c r="AW31" i="72"/>
  <c r="BC31" i="72"/>
  <c r="M31" i="72"/>
  <c r="B31" i="72"/>
  <c r="BQ30" i="72"/>
  <c r="BF30" i="72"/>
  <c r="AY30" i="72"/>
  <c r="AX30" i="72"/>
  <c r="AW30" i="72"/>
  <c r="BC30" i="72"/>
  <c r="B30" i="72"/>
  <c r="BF29" i="72"/>
  <c r="AY29" i="72"/>
  <c r="AX29" i="72"/>
  <c r="AW29" i="72"/>
  <c r="BC29" i="72"/>
  <c r="M29" i="72"/>
  <c r="B29" i="72"/>
  <c r="BF28" i="72"/>
  <c r="AY28" i="72"/>
  <c r="AX28" i="72"/>
  <c r="AW28" i="72"/>
  <c r="BC28" i="72"/>
  <c r="M28" i="72"/>
  <c r="B28" i="72"/>
  <c r="BF27" i="72"/>
  <c r="AY27" i="72"/>
  <c r="AX27" i="72"/>
  <c r="AW27" i="72"/>
  <c r="BC27" i="72"/>
  <c r="M27" i="72"/>
  <c r="B27" i="72"/>
  <c r="BF26" i="72"/>
  <c r="AY26" i="72"/>
  <c r="AX26" i="72"/>
  <c r="AW26" i="72"/>
  <c r="BC26" i="72"/>
  <c r="I26" i="72"/>
  <c r="B26" i="72"/>
  <c r="BF25" i="72"/>
  <c r="AY25" i="72"/>
  <c r="AX25" i="72"/>
  <c r="AW25" i="72"/>
  <c r="BC25" i="72"/>
  <c r="B25" i="72"/>
  <c r="BQ24" i="72"/>
  <c r="BN6" i="72" s="1"/>
  <c r="BF24" i="72"/>
  <c r="AY24" i="72"/>
  <c r="AX24" i="72"/>
  <c r="AW24" i="72"/>
  <c r="BC24" i="72"/>
  <c r="B24" i="72"/>
  <c r="BF23" i="72"/>
  <c r="AY23" i="72"/>
  <c r="AX23" i="72"/>
  <c r="AW23" i="72"/>
  <c r="BC23" i="72"/>
  <c r="B23" i="72"/>
  <c r="BF22" i="72"/>
  <c r="AY22" i="72"/>
  <c r="AX22" i="72"/>
  <c r="AW22" i="72"/>
  <c r="BC22" i="72"/>
  <c r="B22" i="72"/>
  <c r="BF21" i="72"/>
  <c r="AY21" i="72"/>
  <c r="AX21" i="72"/>
  <c r="AW21" i="72"/>
  <c r="O21" i="72"/>
  <c r="B21" i="72"/>
  <c r="BF19" i="72"/>
  <c r="AY19" i="72"/>
  <c r="AX19" i="72"/>
  <c r="AW19" i="72"/>
  <c r="BC19" i="72"/>
  <c r="M19" i="72"/>
  <c r="B19" i="72"/>
  <c r="BF18" i="72"/>
  <c r="AY18" i="72"/>
  <c r="AX18" i="72"/>
  <c r="AW18" i="72"/>
  <c r="BC18" i="72"/>
  <c r="I18" i="72"/>
  <c r="B18" i="72"/>
  <c r="BQ17" i="72"/>
  <c r="AY17" i="72"/>
  <c r="AX17" i="72"/>
  <c r="AW17" i="72"/>
  <c r="BC17" i="72"/>
  <c r="M17" i="72"/>
  <c r="B17" i="72"/>
  <c r="BF16" i="72"/>
  <c r="AY16" i="72"/>
  <c r="AX16" i="72"/>
  <c r="AW16" i="72"/>
  <c r="BC16" i="72"/>
  <c r="B16" i="72"/>
  <c r="BF15" i="72"/>
  <c r="AY15" i="72"/>
  <c r="AX15" i="72"/>
  <c r="AW15" i="72"/>
  <c r="BC15" i="72"/>
  <c r="I15" i="72"/>
  <c r="B15" i="72"/>
  <c r="BF14" i="72"/>
  <c r="AY14" i="72"/>
  <c r="AX14" i="72"/>
  <c r="AW14" i="72"/>
  <c r="BC14" i="72"/>
  <c r="I14" i="72"/>
  <c r="B14" i="72"/>
  <c r="BF13" i="72"/>
  <c r="AY13" i="72"/>
  <c r="AX13" i="72"/>
  <c r="AW13" i="72"/>
  <c r="BC13" i="72"/>
  <c r="B13" i="72"/>
  <c r="AY12" i="72"/>
  <c r="AX12" i="72"/>
  <c r="AW12" i="72"/>
  <c r="BC12" i="72"/>
  <c r="B12" i="72"/>
  <c r="BF11" i="72"/>
  <c r="AY11" i="72"/>
  <c r="AX11" i="72"/>
  <c r="AW11" i="72"/>
  <c r="BC11" i="72"/>
  <c r="I11" i="72"/>
  <c r="B11" i="72"/>
  <c r="BF10" i="72"/>
  <c r="AY10" i="72"/>
  <c r="AX10" i="72"/>
  <c r="AW10" i="72"/>
  <c r="BC10" i="72"/>
  <c r="B10" i="72"/>
  <c r="BF9" i="72"/>
  <c r="AY9" i="72"/>
  <c r="AZ9" i="72" s="1"/>
  <c r="AX9" i="72"/>
  <c r="AW9" i="72"/>
  <c r="BC9" i="72"/>
  <c r="O9" i="72"/>
  <c r="B9" i="72"/>
  <c r="BF8" i="72"/>
  <c r="AY8" i="72"/>
  <c r="AZ8" i="72" s="1"/>
  <c r="AX8" i="72"/>
  <c r="AW8" i="72"/>
  <c r="BC8" i="72"/>
  <c r="B8" i="72"/>
  <c r="BF7" i="72"/>
  <c r="AY7" i="72"/>
  <c r="AX7" i="72"/>
  <c r="AW7" i="72"/>
  <c r="K7" i="72"/>
  <c r="BC7" i="72"/>
  <c r="I7" i="72"/>
  <c r="B7" i="72"/>
  <c r="BJ6" i="72"/>
  <c r="BJ44" i="72" s="1"/>
  <c r="BI6" i="72"/>
  <c r="BI44" i="72" s="1"/>
  <c r="BH6" i="72"/>
  <c r="BH44" i="72" s="1"/>
  <c r="BF6" i="72"/>
  <c r="AY6" i="72"/>
  <c r="AX6" i="72"/>
  <c r="AW6" i="72"/>
  <c r="I6" i="72"/>
  <c r="B6" i="72"/>
  <c r="BQ48" i="71"/>
  <c r="BQ44" i="71"/>
  <c r="BM44" i="71"/>
  <c r="BL44" i="71"/>
  <c r="BK44" i="71"/>
  <c r="BE44" i="71"/>
  <c r="BB44" i="71"/>
  <c r="BA44" i="71"/>
  <c r="H50" i="71" s="1"/>
  <c r="AV44" i="71"/>
  <c r="AU44" i="71"/>
  <c r="AT44" i="71"/>
  <c r="AO44" i="71"/>
  <c r="AN44" i="71"/>
  <c r="AM44" i="71"/>
  <c r="AL44" i="71"/>
  <c r="AK44" i="71"/>
  <c r="AJ44" i="71"/>
  <c r="AI44" i="71"/>
  <c r="AG44" i="71"/>
  <c r="AF44" i="71"/>
  <c r="AE44" i="71"/>
  <c r="AD44" i="71"/>
  <c r="AC44" i="71"/>
  <c r="AA44" i="71"/>
  <c r="Z44" i="71"/>
  <c r="X44" i="71"/>
  <c r="W44" i="71"/>
  <c r="V44" i="71"/>
  <c r="S44" i="71"/>
  <c r="N44" i="71"/>
  <c r="L44" i="71"/>
  <c r="J44" i="71"/>
  <c r="G44" i="71"/>
  <c r="BF42" i="71"/>
  <c r="AY42" i="71"/>
  <c r="AX42" i="71"/>
  <c r="AW42" i="71"/>
  <c r="BC42" i="71"/>
  <c r="M42" i="71"/>
  <c r="B42" i="71"/>
  <c r="BF41" i="71"/>
  <c r="AY41" i="71"/>
  <c r="AX41" i="71"/>
  <c r="AW41" i="71"/>
  <c r="BC41" i="71"/>
  <c r="B41" i="71"/>
  <c r="BF40" i="71"/>
  <c r="AY40" i="71"/>
  <c r="AX40" i="71"/>
  <c r="AW40" i="71"/>
  <c r="BC40" i="71"/>
  <c r="B40" i="71"/>
  <c r="BF39" i="71"/>
  <c r="AY39" i="71"/>
  <c r="AX39" i="71"/>
  <c r="AW39" i="71"/>
  <c r="BC39" i="71"/>
  <c r="O39" i="71"/>
  <c r="B39" i="71"/>
  <c r="BF38" i="71"/>
  <c r="AY38" i="71"/>
  <c r="AX38" i="71"/>
  <c r="AW38" i="71"/>
  <c r="BC38" i="71"/>
  <c r="B38" i="71"/>
  <c r="BF37" i="71"/>
  <c r="AY37" i="71"/>
  <c r="AX37" i="71"/>
  <c r="AW37" i="71"/>
  <c r="BC37" i="71"/>
  <c r="K37" i="71"/>
  <c r="B37" i="71"/>
  <c r="BQ36" i="71"/>
  <c r="BQ37" i="71" s="1"/>
  <c r="BF36" i="71"/>
  <c r="AY36" i="71"/>
  <c r="AX36" i="71"/>
  <c r="AW36" i="71"/>
  <c r="BC36" i="71"/>
  <c r="M36" i="71"/>
  <c r="B36" i="71"/>
  <c r="BF35" i="71"/>
  <c r="AY35" i="71"/>
  <c r="AX35" i="71"/>
  <c r="AW35" i="71"/>
  <c r="BC35" i="71"/>
  <c r="B35" i="71"/>
  <c r="BF34" i="71"/>
  <c r="AY34" i="71"/>
  <c r="AX34" i="71"/>
  <c r="AW34" i="71"/>
  <c r="BC34" i="71"/>
  <c r="O34" i="71"/>
  <c r="B34" i="71"/>
  <c r="BF33" i="71"/>
  <c r="AY33" i="71"/>
  <c r="AX33" i="71"/>
  <c r="AW33" i="71"/>
  <c r="BC33" i="71"/>
  <c r="B33" i="71"/>
  <c r="BF32" i="71"/>
  <c r="AY32" i="71"/>
  <c r="AX32" i="71"/>
  <c r="AW32" i="71"/>
  <c r="BC32" i="71"/>
  <c r="O32" i="71"/>
  <c r="B32" i="71"/>
  <c r="BF31" i="71"/>
  <c r="AY31" i="71"/>
  <c r="AX31" i="71"/>
  <c r="AW31" i="71"/>
  <c r="BC31" i="71"/>
  <c r="B31" i="71"/>
  <c r="BQ30" i="71"/>
  <c r="BF30" i="71"/>
  <c r="AY30" i="71"/>
  <c r="AX30" i="71"/>
  <c r="AW30" i="71"/>
  <c r="BC30" i="71"/>
  <c r="B30" i="71"/>
  <c r="BF29" i="71"/>
  <c r="AY29" i="71"/>
  <c r="AX29" i="71"/>
  <c r="AW29" i="71"/>
  <c r="BC29" i="71"/>
  <c r="O29" i="71"/>
  <c r="B29" i="71"/>
  <c r="BF28" i="71"/>
  <c r="AY28" i="71"/>
  <c r="AX28" i="71"/>
  <c r="AW28" i="71"/>
  <c r="BC28" i="71"/>
  <c r="B28" i="71"/>
  <c r="BF27" i="71"/>
  <c r="AY27" i="71"/>
  <c r="AX27" i="71"/>
  <c r="AW27" i="71"/>
  <c r="BC27" i="71"/>
  <c r="B27" i="71"/>
  <c r="BF26" i="71"/>
  <c r="AY26" i="71"/>
  <c r="AX26" i="71"/>
  <c r="AW26" i="71"/>
  <c r="BC26" i="71"/>
  <c r="O26" i="71"/>
  <c r="B26" i="71"/>
  <c r="AY25" i="71"/>
  <c r="AX25" i="71"/>
  <c r="AW25" i="71"/>
  <c r="BC25" i="71"/>
  <c r="B25" i="71"/>
  <c r="BQ24" i="71"/>
  <c r="BN6" i="71" s="1"/>
  <c r="BF24" i="71"/>
  <c r="AY24" i="71"/>
  <c r="AX24" i="71"/>
  <c r="AW24" i="71"/>
  <c r="BC24" i="71"/>
  <c r="I24" i="71"/>
  <c r="B24" i="71"/>
  <c r="BF23" i="71"/>
  <c r="AY23" i="71"/>
  <c r="AX23" i="71"/>
  <c r="AW23" i="71"/>
  <c r="BC23" i="71"/>
  <c r="I23" i="71"/>
  <c r="B23" i="71"/>
  <c r="BF22" i="71"/>
  <c r="AY22" i="71"/>
  <c r="AX22" i="71"/>
  <c r="AW22" i="71"/>
  <c r="BC22" i="71"/>
  <c r="B22" i="71"/>
  <c r="BF21" i="71"/>
  <c r="AY21" i="71"/>
  <c r="AX21" i="71"/>
  <c r="AW21" i="71"/>
  <c r="M21" i="71"/>
  <c r="BC21" i="71"/>
  <c r="K21" i="71"/>
  <c r="B21" i="71"/>
  <c r="BF19" i="71"/>
  <c r="AY19" i="71"/>
  <c r="AX19" i="71"/>
  <c r="AW19" i="71"/>
  <c r="BC19" i="71"/>
  <c r="K19" i="71"/>
  <c r="B19" i="71"/>
  <c r="BF18" i="71"/>
  <c r="AY18" i="71"/>
  <c r="AX18" i="71"/>
  <c r="AW18" i="71"/>
  <c r="BC18" i="71"/>
  <c r="B18" i="71"/>
  <c r="BQ17" i="71"/>
  <c r="BF17" i="71"/>
  <c r="AY17" i="71"/>
  <c r="AX17" i="71"/>
  <c r="AW17" i="71"/>
  <c r="O17" i="71"/>
  <c r="BC17" i="71"/>
  <c r="M17" i="71"/>
  <c r="B17" i="71"/>
  <c r="BF16" i="71"/>
  <c r="AY16" i="71"/>
  <c r="AX16" i="71"/>
  <c r="AW16" i="71"/>
  <c r="BC16" i="71"/>
  <c r="O16" i="71"/>
  <c r="B16" i="71"/>
  <c r="BF15" i="71"/>
  <c r="AY15" i="71"/>
  <c r="AX15" i="71"/>
  <c r="AW15" i="71"/>
  <c r="BC15" i="71"/>
  <c r="M15" i="71"/>
  <c r="B15" i="71"/>
  <c r="BF14" i="71"/>
  <c r="AY14" i="71"/>
  <c r="AX14" i="71"/>
  <c r="AW14" i="71"/>
  <c r="BC14" i="71"/>
  <c r="B14" i="71"/>
  <c r="BF13" i="71"/>
  <c r="AY13" i="71"/>
  <c r="AX13" i="71"/>
  <c r="AW13" i="71"/>
  <c r="BC13" i="71"/>
  <c r="B13" i="71"/>
  <c r="AY12" i="71"/>
  <c r="AX12" i="71"/>
  <c r="AW12" i="71"/>
  <c r="AZ12" i="71" s="1"/>
  <c r="BC12" i="71"/>
  <c r="I12" i="71"/>
  <c r="B12" i="71"/>
  <c r="BF11" i="71"/>
  <c r="AY11" i="71"/>
  <c r="AX11" i="71"/>
  <c r="AW11" i="71"/>
  <c r="BC11" i="71"/>
  <c r="B11" i="71"/>
  <c r="BF10" i="71"/>
  <c r="AY10" i="71"/>
  <c r="AX10" i="71"/>
  <c r="AW10" i="71"/>
  <c r="BC10" i="71"/>
  <c r="B10" i="71"/>
  <c r="BF9" i="71"/>
  <c r="AY9" i="71"/>
  <c r="AX9" i="71"/>
  <c r="AW9" i="71"/>
  <c r="BC9" i="71"/>
  <c r="K9" i="71"/>
  <c r="B9" i="71"/>
  <c r="BF8" i="71"/>
  <c r="AY8" i="71"/>
  <c r="AX8" i="71"/>
  <c r="AW8" i="71"/>
  <c r="BC8" i="71"/>
  <c r="I8" i="71"/>
  <c r="B8" i="71"/>
  <c r="BF7" i="71"/>
  <c r="AY7" i="71"/>
  <c r="AX7" i="71"/>
  <c r="AW7" i="71"/>
  <c r="BC7" i="71"/>
  <c r="O7" i="71"/>
  <c r="B7" i="71"/>
  <c r="BI6" i="71"/>
  <c r="BI44" i="71" s="1"/>
  <c r="BH6" i="71"/>
  <c r="BH44" i="71" s="1"/>
  <c r="BF6" i="71"/>
  <c r="AY6" i="71"/>
  <c r="AX6" i="71"/>
  <c r="AW6" i="71"/>
  <c r="BC6" i="71"/>
  <c r="O6" i="71"/>
  <c r="B6" i="71"/>
  <c r="BQ48" i="70"/>
  <c r="BQ44" i="70"/>
  <c r="BM44" i="70"/>
  <c r="BL44" i="70"/>
  <c r="BK44" i="70"/>
  <c r="BE44" i="70"/>
  <c r="BB44" i="70"/>
  <c r="BA44" i="70"/>
  <c r="H50" i="70" s="1"/>
  <c r="AV44" i="70"/>
  <c r="AU44" i="70"/>
  <c r="AT44" i="70"/>
  <c r="AO44" i="70"/>
  <c r="AN44" i="70"/>
  <c r="AM44" i="70"/>
  <c r="AL44" i="70"/>
  <c r="AK44" i="70"/>
  <c r="AJ44" i="70"/>
  <c r="AI44" i="70"/>
  <c r="AG44" i="70"/>
  <c r="AF44" i="70"/>
  <c r="AE44" i="70"/>
  <c r="AD44" i="70"/>
  <c r="AC44" i="70"/>
  <c r="AA44" i="70"/>
  <c r="Z44" i="70"/>
  <c r="X44" i="70"/>
  <c r="W44" i="70"/>
  <c r="V44" i="70"/>
  <c r="S44" i="70"/>
  <c r="N44" i="70"/>
  <c r="L44" i="70"/>
  <c r="J44" i="70"/>
  <c r="G44" i="70"/>
  <c r="BF42" i="70"/>
  <c r="AY42" i="70"/>
  <c r="AX42" i="70"/>
  <c r="AW42" i="70"/>
  <c r="BC42" i="70"/>
  <c r="I42" i="70"/>
  <c r="B42" i="70"/>
  <c r="BF41" i="70"/>
  <c r="AY41" i="70"/>
  <c r="AX41" i="70"/>
  <c r="AW41" i="70"/>
  <c r="BC41" i="70"/>
  <c r="B41" i="70"/>
  <c r="BF40" i="70"/>
  <c r="AY40" i="70"/>
  <c r="AX40" i="70"/>
  <c r="AW40" i="70"/>
  <c r="BC40" i="70"/>
  <c r="B40" i="70"/>
  <c r="BF39" i="70"/>
  <c r="AY39" i="70"/>
  <c r="AX39" i="70"/>
  <c r="AW39" i="70"/>
  <c r="BC39" i="70"/>
  <c r="B39" i="70"/>
  <c r="BF38" i="70"/>
  <c r="AY38" i="70"/>
  <c r="AX38" i="70"/>
  <c r="AW38" i="70"/>
  <c r="BC38" i="70"/>
  <c r="B38" i="70"/>
  <c r="BF37" i="70"/>
  <c r="AY37" i="70"/>
  <c r="AX37" i="70"/>
  <c r="AW37" i="70"/>
  <c r="BC37" i="70"/>
  <c r="I37" i="70"/>
  <c r="B37" i="70"/>
  <c r="BQ36" i="70"/>
  <c r="BQ37" i="70" s="1"/>
  <c r="BF36" i="70"/>
  <c r="AY36" i="70"/>
  <c r="AX36" i="70"/>
  <c r="AW36" i="70"/>
  <c r="BC36" i="70"/>
  <c r="B36" i="70"/>
  <c r="BF35" i="70"/>
  <c r="AY35" i="70"/>
  <c r="AX35" i="70"/>
  <c r="AW35" i="70"/>
  <c r="BC35" i="70"/>
  <c r="B35" i="70"/>
  <c r="BF34" i="70"/>
  <c r="AY34" i="70"/>
  <c r="AX34" i="70"/>
  <c r="AW34" i="70"/>
  <c r="BC34" i="70"/>
  <c r="M34" i="70"/>
  <c r="B34" i="70"/>
  <c r="BF33" i="70"/>
  <c r="AY33" i="70"/>
  <c r="AX33" i="70"/>
  <c r="AW33" i="70"/>
  <c r="BC33" i="70"/>
  <c r="B33" i="70"/>
  <c r="BF32" i="70"/>
  <c r="AY32" i="70"/>
  <c r="AX32" i="70"/>
  <c r="AW32" i="70"/>
  <c r="BC32" i="70"/>
  <c r="B32" i="70"/>
  <c r="BF31" i="70"/>
  <c r="AY31" i="70"/>
  <c r="AX31" i="70"/>
  <c r="AW31" i="70"/>
  <c r="BC31" i="70"/>
  <c r="B31" i="70"/>
  <c r="BQ30" i="70"/>
  <c r="BI6" i="70" s="1"/>
  <c r="BI44" i="70" s="1"/>
  <c r="BF30" i="70"/>
  <c r="AY30" i="70"/>
  <c r="AX30" i="70"/>
  <c r="AW30" i="70"/>
  <c r="BC30" i="70"/>
  <c r="O30" i="70"/>
  <c r="B30" i="70"/>
  <c r="BF29" i="70"/>
  <c r="AY29" i="70"/>
  <c r="AX29" i="70"/>
  <c r="AW29" i="70"/>
  <c r="BC29" i="70"/>
  <c r="I29" i="70"/>
  <c r="B29" i="70"/>
  <c r="BF28" i="70"/>
  <c r="AY28" i="70"/>
  <c r="AX28" i="70"/>
  <c r="AW28" i="70"/>
  <c r="BC28" i="70"/>
  <c r="K28" i="70"/>
  <c r="B28" i="70"/>
  <c r="BF27" i="70"/>
  <c r="AY27" i="70"/>
  <c r="AX27" i="70"/>
  <c r="AW27" i="70"/>
  <c r="BC27" i="70"/>
  <c r="B27" i="70"/>
  <c r="BF26" i="70"/>
  <c r="AY26" i="70"/>
  <c r="AX26" i="70"/>
  <c r="AW26" i="70"/>
  <c r="BC26" i="70"/>
  <c r="B26" i="70"/>
  <c r="BF25" i="70"/>
  <c r="AY25" i="70"/>
  <c r="AX25" i="70"/>
  <c r="AW25" i="70"/>
  <c r="BC25" i="70"/>
  <c r="M25" i="70"/>
  <c r="B25" i="70"/>
  <c r="BQ24" i="70"/>
  <c r="BN6" i="70" s="1"/>
  <c r="BF24" i="70"/>
  <c r="AY24" i="70"/>
  <c r="AX24" i="70"/>
  <c r="AW24" i="70"/>
  <c r="BC24" i="70"/>
  <c r="B24" i="70"/>
  <c r="BF23" i="70"/>
  <c r="AZ23" i="70" s="1"/>
  <c r="AY23" i="70"/>
  <c r="AX23" i="70"/>
  <c r="AW23" i="70"/>
  <c r="BC23" i="70"/>
  <c r="B23" i="70"/>
  <c r="BF22" i="70"/>
  <c r="AY22" i="70"/>
  <c r="AX22" i="70"/>
  <c r="AW22" i="70"/>
  <c r="BC22" i="70"/>
  <c r="M22" i="70"/>
  <c r="B22" i="70"/>
  <c r="BF21" i="70"/>
  <c r="AY21" i="70"/>
  <c r="AX21" i="70"/>
  <c r="AW21" i="70"/>
  <c r="BC21" i="70"/>
  <c r="M21" i="70"/>
  <c r="B21" i="70"/>
  <c r="BF19" i="70"/>
  <c r="AY19" i="70"/>
  <c r="AX19" i="70"/>
  <c r="AW19" i="70"/>
  <c r="BC19" i="70"/>
  <c r="B19" i="70"/>
  <c r="BF18" i="70"/>
  <c r="AY18" i="70"/>
  <c r="AX18" i="70"/>
  <c r="AW18" i="70"/>
  <c r="BC18" i="70"/>
  <c r="B18" i="70"/>
  <c r="BQ17" i="70"/>
  <c r="BH6" i="70" s="1"/>
  <c r="BF17" i="70"/>
  <c r="AY17" i="70"/>
  <c r="AX17" i="70"/>
  <c r="AW17" i="70"/>
  <c r="BC17" i="70"/>
  <c r="O17" i="70"/>
  <c r="B17" i="70"/>
  <c r="BF16" i="70"/>
  <c r="AY16" i="70"/>
  <c r="AX16" i="70"/>
  <c r="AW16" i="70"/>
  <c r="BC16" i="70"/>
  <c r="K16" i="70"/>
  <c r="B16" i="70"/>
  <c r="BF15" i="70"/>
  <c r="AZ15" i="70" s="1"/>
  <c r="AY15" i="70"/>
  <c r="AX15" i="70"/>
  <c r="AW15" i="70"/>
  <c r="BC15" i="70"/>
  <c r="B15" i="70"/>
  <c r="BF14" i="70"/>
  <c r="AY14" i="70"/>
  <c r="AX14" i="70"/>
  <c r="AW14" i="70"/>
  <c r="BC14" i="70"/>
  <c r="O14" i="70"/>
  <c r="B14" i="70"/>
  <c r="BF13" i="70"/>
  <c r="AY13" i="70"/>
  <c r="AX13" i="70"/>
  <c r="AW13" i="70"/>
  <c r="BC13" i="70"/>
  <c r="I13" i="70"/>
  <c r="B13" i="70"/>
  <c r="BF12" i="70"/>
  <c r="AY12" i="70"/>
  <c r="AX12" i="70"/>
  <c r="AW12" i="70"/>
  <c r="BC12" i="70"/>
  <c r="B12" i="70"/>
  <c r="BF11" i="70"/>
  <c r="AY11" i="70"/>
  <c r="AX11" i="70"/>
  <c r="AW11" i="70"/>
  <c r="BC11" i="70"/>
  <c r="O11" i="70"/>
  <c r="B11" i="70"/>
  <c r="BF10" i="70"/>
  <c r="AY10" i="70"/>
  <c r="AX10" i="70"/>
  <c r="AW10" i="70"/>
  <c r="BC10" i="70"/>
  <c r="I10" i="70"/>
  <c r="B10" i="70"/>
  <c r="BF9" i="70"/>
  <c r="AY9" i="70"/>
  <c r="AX9" i="70"/>
  <c r="AW9" i="70"/>
  <c r="BC9" i="70"/>
  <c r="O9" i="70"/>
  <c r="B9" i="70"/>
  <c r="BF8" i="70"/>
  <c r="AY8" i="70"/>
  <c r="AX8" i="70"/>
  <c r="AW8" i="70"/>
  <c r="BC8" i="70"/>
  <c r="K8" i="70"/>
  <c r="B8" i="70"/>
  <c r="BF7" i="70"/>
  <c r="AY7" i="70"/>
  <c r="AX7" i="70"/>
  <c r="AW7" i="70"/>
  <c r="BC7" i="70"/>
  <c r="B7" i="70"/>
  <c r="BF6" i="70"/>
  <c r="AY6" i="70"/>
  <c r="AX6" i="70"/>
  <c r="AW6" i="70"/>
  <c r="BC6" i="70"/>
  <c r="B6" i="70"/>
  <c r="BQ48" i="69"/>
  <c r="BQ44" i="69"/>
  <c r="BM44" i="69"/>
  <c r="BL44" i="69"/>
  <c r="BK44" i="69"/>
  <c r="BE44" i="69"/>
  <c r="BB44" i="69"/>
  <c r="BA44" i="69"/>
  <c r="H50" i="69" s="1"/>
  <c r="AV44" i="69"/>
  <c r="AU44" i="69"/>
  <c r="AT44" i="69"/>
  <c r="AO44" i="69"/>
  <c r="AN44" i="69"/>
  <c r="AM44" i="69"/>
  <c r="AL44" i="69"/>
  <c r="AK44" i="69"/>
  <c r="AJ44" i="69"/>
  <c r="AI44" i="69"/>
  <c r="AG44" i="69"/>
  <c r="AF44" i="69"/>
  <c r="AE44" i="69"/>
  <c r="AD44" i="69"/>
  <c r="AC44" i="69"/>
  <c r="AA44" i="69"/>
  <c r="Z44" i="69"/>
  <c r="X44" i="69"/>
  <c r="W44" i="69"/>
  <c r="V44" i="69"/>
  <c r="S44" i="69"/>
  <c r="N44" i="69"/>
  <c r="L44" i="69"/>
  <c r="J44" i="69"/>
  <c r="G44" i="69"/>
  <c r="BF42" i="69"/>
  <c r="AY42" i="69"/>
  <c r="AX42" i="69"/>
  <c r="AW42" i="69"/>
  <c r="BC42" i="69"/>
  <c r="O42" i="69"/>
  <c r="B42" i="69"/>
  <c r="BF41" i="69"/>
  <c r="AY41" i="69"/>
  <c r="AX41" i="69"/>
  <c r="AW41" i="69"/>
  <c r="BC41" i="69"/>
  <c r="O41" i="69"/>
  <c r="B41" i="69"/>
  <c r="BF40" i="69"/>
  <c r="AY40" i="69"/>
  <c r="AX40" i="69"/>
  <c r="AW40" i="69"/>
  <c r="BC40" i="69"/>
  <c r="O40" i="69"/>
  <c r="B40" i="69"/>
  <c r="BF39" i="69"/>
  <c r="AY39" i="69"/>
  <c r="AX39" i="69"/>
  <c r="AW39" i="69"/>
  <c r="BC39" i="69"/>
  <c r="I39" i="69"/>
  <c r="B39" i="69"/>
  <c r="BF38" i="69"/>
  <c r="AY38" i="69"/>
  <c r="AX38" i="69"/>
  <c r="AW38" i="69"/>
  <c r="BC38" i="69"/>
  <c r="O38" i="69"/>
  <c r="B38" i="69"/>
  <c r="BF37" i="69"/>
  <c r="AY37" i="69"/>
  <c r="AX37" i="69"/>
  <c r="AW37" i="69"/>
  <c r="BC37" i="69"/>
  <c r="B37" i="69"/>
  <c r="BQ36" i="69"/>
  <c r="BF36" i="69"/>
  <c r="AY36" i="69"/>
  <c r="AX36" i="69"/>
  <c r="AW36" i="69"/>
  <c r="AZ36" i="69" s="1"/>
  <c r="BC36" i="69"/>
  <c r="O36" i="69"/>
  <c r="B36" i="69"/>
  <c r="BF35" i="69"/>
  <c r="AY35" i="69"/>
  <c r="AX35" i="69"/>
  <c r="AW35" i="69"/>
  <c r="BC35" i="69"/>
  <c r="M35" i="69"/>
  <c r="B35" i="69"/>
  <c r="BF34" i="69"/>
  <c r="BC34" i="69"/>
  <c r="AY34" i="69"/>
  <c r="AX34" i="69"/>
  <c r="AW34" i="69"/>
  <c r="O34" i="69"/>
  <c r="B34" i="69"/>
  <c r="BF33" i="69"/>
  <c r="AZ33" i="69" s="1"/>
  <c r="AY33" i="69"/>
  <c r="AX33" i="69"/>
  <c r="AW33" i="69"/>
  <c r="BC33" i="69"/>
  <c r="K33" i="69"/>
  <c r="Y33" i="69" s="1"/>
  <c r="B33" i="69"/>
  <c r="BF32" i="69"/>
  <c r="AY32" i="69"/>
  <c r="AX32" i="69"/>
  <c r="AW32" i="69"/>
  <c r="BC32" i="69"/>
  <c r="B32" i="69"/>
  <c r="BF31" i="69"/>
  <c r="AY31" i="69"/>
  <c r="AX31" i="69"/>
  <c r="AW31" i="69"/>
  <c r="BC31" i="69"/>
  <c r="O31" i="69"/>
  <c r="B31" i="69"/>
  <c r="BQ30" i="69"/>
  <c r="BI6" i="69" s="1"/>
  <c r="BI44" i="69" s="1"/>
  <c r="BF30" i="69"/>
  <c r="AY30" i="69"/>
  <c r="AX30" i="69"/>
  <c r="AW30" i="69"/>
  <c r="BC30" i="69"/>
  <c r="B30" i="69"/>
  <c r="BF29" i="69"/>
  <c r="AY29" i="69"/>
  <c r="AX29" i="69"/>
  <c r="AW29" i="69"/>
  <c r="BC29" i="69"/>
  <c r="B29" i="69"/>
  <c r="BF28" i="69"/>
  <c r="AY28" i="69"/>
  <c r="AX28" i="69"/>
  <c r="AW28" i="69"/>
  <c r="BC28" i="69"/>
  <c r="B28" i="69"/>
  <c r="BF27" i="69"/>
  <c r="AY27" i="69"/>
  <c r="AX27" i="69"/>
  <c r="AW27" i="69"/>
  <c r="BC27" i="69"/>
  <c r="I27" i="69"/>
  <c r="B27" i="69"/>
  <c r="BF26" i="69"/>
  <c r="AY26" i="69"/>
  <c r="AX26" i="69"/>
  <c r="AW26" i="69"/>
  <c r="BC26" i="69"/>
  <c r="K26" i="69"/>
  <c r="B26" i="69"/>
  <c r="BF25" i="69"/>
  <c r="AY25" i="69"/>
  <c r="AX25" i="69"/>
  <c r="AW25" i="69"/>
  <c r="BC25" i="69"/>
  <c r="O25" i="69"/>
  <c r="B25" i="69"/>
  <c r="BQ24" i="69"/>
  <c r="BN6" i="69" s="1"/>
  <c r="BF24" i="69"/>
  <c r="AY24" i="69"/>
  <c r="AX24" i="69"/>
  <c r="AW24" i="69"/>
  <c r="BC24" i="69"/>
  <c r="B24" i="69"/>
  <c r="BF23" i="69"/>
  <c r="AY23" i="69"/>
  <c r="AX23" i="69"/>
  <c r="AW23" i="69"/>
  <c r="BC23" i="69"/>
  <c r="B23" i="69"/>
  <c r="BF22" i="69"/>
  <c r="AY22" i="69"/>
  <c r="AX22" i="69"/>
  <c r="AW22" i="69"/>
  <c r="BC22" i="69"/>
  <c r="M22" i="69"/>
  <c r="B22" i="69"/>
  <c r="BF21" i="69"/>
  <c r="AY21" i="69"/>
  <c r="AX21" i="69"/>
  <c r="AW21" i="69"/>
  <c r="BC21" i="69"/>
  <c r="B21" i="69"/>
  <c r="BF19" i="69"/>
  <c r="AY19" i="69"/>
  <c r="AX19" i="69"/>
  <c r="AW19" i="69"/>
  <c r="BC19" i="69"/>
  <c r="O19" i="69"/>
  <c r="B19" i="69"/>
  <c r="BF18" i="69"/>
  <c r="AY18" i="69"/>
  <c r="AX18" i="69"/>
  <c r="AW18" i="69"/>
  <c r="BC18" i="69"/>
  <c r="O18" i="69"/>
  <c r="B18" i="69"/>
  <c r="BQ17" i="69"/>
  <c r="BH6" i="69" s="1"/>
  <c r="BH44" i="69" s="1"/>
  <c r="BF17" i="69"/>
  <c r="AY17" i="69"/>
  <c r="AX17" i="69"/>
  <c r="AW17" i="69"/>
  <c r="BC17" i="69"/>
  <c r="M17" i="69"/>
  <c r="B17" i="69"/>
  <c r="BF16" i="69"/>
  <c r="AY16" i="69"/>
  <c r="AX16" i="69"/>
  <c r="AW16" i="69"/>
  <c r="BC16" i="69"/>
  <c r="I16" i="69"/>
  <c r="B16" i="69"/>
  <c r="BF15" i="69"/>
  <c r="AY15" i="69"/>
  <c r="AX15" i="69"/>
  <c r="AW15" i="69"/>
  <c r="BC15" i="69"/>
  <c r="B15" i="69"/>
  <c r="BF14" i="69"/>
  <c r="AY14" i="69"/>
  <c r="AX14" i="69"/>
  <c r="AW14" i="69"/>
  <c r="BC14" i="69"/>
  <c r="O14" i="69"/>
  <c r="B14" i="69"/>
  <c r="BF13" i="69"/>
  <c r="AY13" i="69"/>
  <c r="AX13" i="69"/>
  <c r="AW13" i="69"/>
  <c r="BC13" i="69"/>
  <c r="K13" i="69"/>
  <c r="B13" i="69"/>
  <c r="AY12" i="69"/>
  <c r="AX12" i="69"/>
  <c r="AW12" i="69"/>
  <c r="BC12" i="69"/>
  <c r="O12" i="69"/>
  <c r="B12" i="69"/>
  <c r="BF11" i="69"/>
  <c r="AY11" i="69"/>
  <c r="AX11" i="69"/>
  <c r="AW11" i="69"/>
  <c r="BC11" i="69"/>
  <c r="O11" i="69"/>
  <c r="B11" i="69"/>
  <c r="BF10" i="69"/>
  <c r="AY10" i="69"/>
  <c r="AX10" i="69"/>
  <c r="AW10" i="69"/>
  <c r="BC10" i="69"/>
  <c r="O10" i="69"/>
  <c r="B10" i="69"/>
  <c r="BF9" i="69"/>
  <c r="AY9" i="69"/>
  <c r="AX9" i="69"/>
  <c r="AW9" i="69"/>
  <c r="BC9" i="69"/>
  <c r="B9" i="69"/>
  <c r="BF8" i="69"/>
  <c r="AY8" i="69"/>
  <c r="AX8" i="69"/>
  <c r="AW8" i="69"/>
  <c r="O8" i="69"/>
  <c r="BC8" i="69"/>
  <c r="M8" i="69"/>
  <c r="B8" i="69"/>
  <c r="BF7" i="69"/>
  <c r="AY7" i="69"/>
  <c r="AX7" i="69"/>
  <c r="AW7" i="69"/>
  <c r="BC7" i="69"/>
  <c r="B7" i="69"/>
  <c r="BF6" i="69"/>
  <c r="AY6" i="69"/>
  <c r="AX6" i="69"/>
  <c r="AW6" i="69"/>
  <c r="B6" i="69"/>
  <c r="BQ48" i="68"/>
  <c r="BQ44" i="68"/>
  <c r="BM44" i="68"/>
  <c r="BL44" i="68"/>
  <c r="BK44" i="68"/>
  <c r="BE44" i="68"/>
  <c r="BB44" i="68"/>
  <c r="BA44" i="68"/>
  <c r="H50" i="68" s="1"/>
  <c r="AV44" i="68"/>
  <c r="AU44" i="68"/>
  <c r="AT44" i="68"/>
  <c r="AO44" i="68"/>
  <c r="AN44" i="68"/>
  <c r="AM44" i="68"/>
  <c r="AL44" i="68"/>
  <c r="AK44" i="68"/>
  <c r="AJ44" i="68"/>
  <c r="AI44" i="68"/>
  <c r="AG44" i="68"/>
  <c r="AF44" i="68"/>
  <c r="AE44" i="68"/>
  <c r="AD44" i="68"/>
  <c r="AC44" i="68"/>
  <c r="AA44" i="68"/>
  <c r="Z44" i="68"/>
  <c r="X44" i="68"/>
  <c r="W44" i="68"/>
  <c r="V44" i="68"/>
  <c r="S44" i="68"/>
  <c r="N44" i="68"/>
  <c r="L44" i="68"/>
  <c r="J44" i="68"/>
  <c r="G44" i="68"/>
  <c r="BF42" i="68"/>
  <c r="AY42" i="68"/>
  <c r="AX42" i="68"/>
  <c r="AW42" i="68"/>
  <c r="BC42" i="68"/>
  <c r="B42" i="68"/>
  <c r="BF41" i="68"/>
  <c r="AY41" i="68"/>
  <c r="AX41" i="68"/>
  <c r="AW41" i="68"/>
  <c r="BC41" i="68"/>
  <c r="M41" i="68"/>
  <c r="B41" i="68"/>
  <c r="BF40" i="68"/>
  <c r="AY40" i="68"/>
  <c r="AX40" i="68"/>
  <c r="AW40" i="68"/>
  <c r="BC40" i="68"/>
  <c r="O40" i="68"/>
  <c r="B40" i="68"/>
  <c r="BF39" i="68"/>
  <c r="AY39" i="68"/>
  <c r="AX39" i="68"/>
  <c r="AW39" i="68"/>
  <c r="BC39" i="68"/>
  <c r="B39" i="68"/>
  <c r="BF38" i="68"/>
  <c r="AY38" i="68"/>
  <c r="AX38" i="68"/>
  <c r="AW38" i="68"/>
  <c r="BC38" i="68"/>
  <c r="B38" i="68"/>
  <c r="BF37" i="68"/>
  <c r="AY37" i="68"/>
  <c r="AX37" i="68"/>
  <c r="AW37" i="68"/>
  <c r="BC37" i="68"/>
  <c r="B37" i="68"/>
  <c r="BQ36" i="68"/>
  <c r="BQ37" i="68" s="1"/>
  <c r="BF36" i="68"/>
  <c r="AY36" i="68"/>
  <c r="AX36" i="68"/>
  <c r="AW36" i="68"/>
  <c r="BC36" i="68"/>
  <c r="O36" i="68"/>
  <c r="B36" i="68"/>
  <c r="BF35" i="68"/>
  <c r="AY35" i="68"/>
  <c r="AX35" i="68"/>
  <c r="AW35" i="68"/>
  <c r="BC35" i="68"/>
  <c r="M35" i="68"/>
  <c r="B35" i="68"/>
  <c r="BF34" i="68"/>
  <c r="AY34" i="68"/>
  <c r="AX34" i="68"/>
  <c r="AW34" i="68"/>
  <c r="BC34" i="68"/>
  <c r="M34" i="68"/>
  <c r="B34" i="68"/>
  <c r="BF33" i="68"/>
  <c r="AY33" i="68"/>
  <c r="AX33" i="68"/>
  <c r="AW33" i="68"/>
  <c r="BC33" i="68"/>
  <c r="B33" i="68"/>
  <c r="BF32" i="68"/>
  <c r="AY32" i="68"/>
  <c r="AX32" i="68"/>
  <c r="AW32" i="68"/>
  <c r="BC32" i="68"/>
  <c r="B32" i="68"/>
  <c r="BF31" i="68"/>
  <c r="AY31" i="68"/>
  <c r="AX31" i="68"/>
  <c r="AW31" i="68"/>
  <c r="BC31" i="68"/>
  <c r="B31" i="68"/>
  <c r="BQ30" i="68"/>
  <c r="BF30" i="68"/>
  <c r="AY30" i="68"/>
  <c r="AX30" i="68"/>
  <c r="AW30" i="68"/>
  <c r="BC30" i="68"/>
  <c r="O30" i="68"/>
  <c r="B30" i="68"/>
  <c r="BF29" i="68"/>
  <c r="AY29" i="68"/>
  <c r="AX29" i="68"/>
  <c r="AW29" i="68"/>
  <c r="BC29" i="68"/>
  <c r="B29" i="68"/>
  <c r="BF28" i="68"/>
  <c r="AY28" i="68"/>
  <c r="AX28" i="68"/>
  <c r="AW28" i="68"/>
  <c r="BC28" i="68"/>
  <c r="O28" i="68"/>
  <c r="B28" i="68"/>
  <c r="BF27" i="68"/>
  <c r="AY27" i="68"/>
  <c r="AX27" i="68"/>
  <c r="AW27" i="68"/>
  <c r="BC27" i="68"/>
  <c r="O27" i="68"/>
  <c r="B27" i="68"/>
  <c r="BF26" i="68"/>
  <c r="AY26" i="68"/>
  <c r="AX26" i="68"/>
  <c r="AW26" i="68"/>
  <c r="BC26" i="68"/>
  <c r="B26" i="68"/>
  <c r="AY25" i="68"/>
  <c r="AX25" i="68"/>
  <c r="AW25" i="68"/>
  <c r="BC25" i="68"/>
  <c r="M25" i="68"/>
  <c r="B25" i="68"/>
  <c r="BQ24" i="68"/>
  <c r="BF24" i="68"/>
  <c r="AY24" i="68"/>
  <c r="AX24" i="68"/>
  <c r="AW24" i="68"/>
  <c r="BC24" i="68"/>
  <c r="I24" i="68"/>
  <c r="B24" i="68"/>
  <c r="BF23" i="68"/>
  <c r="AY23" i="68"/>
  <c r="AX23" i="68"/>
  <c r="AW23" i="68"/>
  <c r="BC23" i="68"/>
  <c r="I23" i="68"/>
  <c r="B23" i="68"/>
  <c r="BF22" i="68"/>
  <c r="AY22" i="68"/>
  <c r="AX22" i="68"/>
  <c r="AW22" i="68"/>
  <c r="BC22" i="68"/>
  <c r="M22" i="68"/>
  <c r="B22" i="68"/>
  <c r="BF21" i="68"/>
  <c r="AY21" i="68"/>
  <c r="AX21" i="68"/>
  <c r="AW21" i="68"/>
  <c r="BC21" i="68"/>
  <c r="B21" i="68"/>
  <c r="BF19" i="68"/>
  <c r="AY19" i="68"/>
  <c r="AX19" i="68"/>
  <c r="AW19" i="68"/>
  <c r="BC19" i="68"/>
  <c r="O19" i="68"/>
  <c r="B19" i="68"/>
  <c r="BF18" i="68"/>
  <c r="AY18" i="68"/>
  <c r="AX18" i="68"/>
  <c r="AW18" i="68"/>
  <c r="BC18" i="68"/>
  <c r="M18" i="68"/>
  <c r="B18" i="68"/>
  <c r="BQ17" i="68"/>
  <c r="BH6" i="68" s="1"/>
  <c r="BH44" i="68" s="1"/>
  <c r="BF17" i="68"/>
  <c r="AY17" i="68"/>
  <c r="AX17" i="68"/>
  <c r="AW17" i="68"/>
  <c r="BC17" i="68"/>
  <c r="B17" i="68"/>
  <c r="BF16" i="68"/>
  <c r="AY16" i="68"/>
  <c r="AX16" i="68"/>
  <c r="AW16" i="68"/>
  <c r="I16" i="68"/>
  <c r="BC16" i="68"/>
  <c r="M16" i="68"/>
  <c r="B16" i="68"/>
  <c r="BF15" i="68"/>
  <c r="AY15" i="68"/>
  <c r="AX15" i="68"/>
  <c r="AW15" i="68"/>
  <c r="BC15" i="68"/>
  <c r="O15" i="68"/>
  <c r="B15" i="68"/>
  <c r="BF14" i="68"/>
  <c r="AZ14" i="68" s="1"/>
  <c r="AY14" i="68"/>
  <c r="AX14" i="68"/>
  <c r="AW14" i="68"/>
  <c r="BC14" i="68"/>
  <c r="B14" i="68"/>
  <c r="BF13" i="68"/>
  <c r="AY13" i="68"/>
  <c r="AX13" i="68"/>
  <c r="AW13" i="68"/>
  <c r="BC13" i="68"/>
  <c r="B13" i="68"/>
  <c r="BF12" i="68"/>
  <c r="AY12" i="68"/>
  <c r="AX12" i="68"/>
  <c r="AW12" i="68"/>
  <c r="BC12" i="68"/>
  <c r="B12" i="68"/>
  <c r="BF11" i="68"/>
  <c r="AY11" i="68"/>
  <c r="AX11" i="68"/>
  <c r="AW11" i="68"/>
  <c r="BC11" i="68"/>
  <c r="M11" i="68"/>
  <c r="B11" i="68"/>
  <c r="BF10" i="68"/>
  <c r="AY10" i="68"/>
  <c r="AX10" i="68"/>
  <c r="AW10" i="68"/>
  <c r="BC10" i="68"/>
  <c r="K10" i="68"/>
  <c r="B10" i="68"/>
  <c r="BF9" i="68"/>
  <c r="AY9" i="68"/>
  <c r="AX9" i="68"/>
  <c r="AW9" i="68"/>
  <c r="BC9" i="68"/>
  <c r="B9" i="68"/>
  <c r="BF8" i="68"/>
  <c r="AY8" i="68"/>
  <c r="AX8" i="68"/>
  <c r="AW8" i="68"/>
  <c r="BC8" i="68"/>
  <c r="I8" i="68"/>
  <c r="B8" i="68"/>
  <c r="BF7" i="68"/>
  <c r="AY7" i="68"/>
  <c r="AX7" i="68"/>
  <c r="AW7" i="68"/>
  <c r="BC7" i="68"/>
  <c r="O7" i="68"/>
  <c r="B7" i="68"/>
  <c r="BN6" i="68"/>
  <c r="BJ6" i="68"/>
  <c r="BJ44" i="68" s="1"/>
  <c r="BI6" i="68"/>
  <c r="BI44" i="68" s="1"/>
  <c r="BF6" i="68"/>
  <c r="AY6" i="68"/>
  <c r="AX6" i="68"/>
  <c r="AW6" i="68"/>
  <c r="B6" i="68"/>
  <c r="F6" i="67"/>
  <c r="BC6" i="67" s="1"/>
  <c r="E6" i="67"/>
  <c r="D6" i="67"/>
  <c r="BQ48" i="67"/>
  <c r="BQ44" i="67"/>
  <c r="BM44" i="67"/>
  <c r="BL44" i="67"/>
  <c r="BK44" i="67"/>
  <c r="BE44" i="67"/>
  <c r="BB44" i="67"/>
  <c r="BA44" i="67"/>
  <c r="H50" i="67" s="1"/>
  <c r="AV44" i="67"/>
  <c r="AU44" i="67"/>
  <c r="AT44" i="67"/>
  <c r="AO44" i="67"/>
  <c r="AN44" i="67"/>
  <c r="AM44" i="67"/>
  <c r="AL44" i="67"/>
  <c r="AK44" i="67"/>
  <c r="AJ44" i="67"/>
  <c r="AI44" i="67"/>
  <c r="AG44" i="67"/>
  <c r="AF44" i="67"/>
  <c r="AE44" i="67"/>
  <c r="AD44" i="67"/>
  <c r="AC44" i="67"/>
  <c r="AA44" i="67"/>
  <c r="Z44" i="67"/>
  <c r="X44" i="67"/>
  <c r="W44" i="67"/>
  <c r="V44" i="67"/>
  <c r="S44" i="67"/>
  <c r="N44" i="67"/>
  <c r="L44" i="67"/>
  <c r="J44" i="67"/>
  <c r="G44" i="67"/>
  <c r="BF42" i="67"/>
  <c r="AY42" i="67"/>
  <c r="AX42" i="67"/>
  <c r="AW42" i="67"/>
  <c r="BC42" i="67"/>
  <c r="B42" i="67"/>
  <c r="BF41" i="67"/>
  <c r="AY41" i="67"/>
  <c r="AX41" i="67"/>
  <c r="AW41" i="67"/>
  <c r="BC41" i="67"/>
  <c r="K41" i="67"/>
  <c r="B41" i="67"/>
  <c r="BF40" i="67"/>
  <c r="AY40" i="67"/>
  <c r="AX40" i="67"/>
  <c r="AW40" i="67"/>
  <c r="BC40" i="67"/>
  <c r="B40" i="67"/>
  <c r="BF39" i="67"/>
  <c r="AY39" i="67"/>
  <c r="AX39" i="67"/>
  <c r="AW39" i="67"/>
  <c r="BC39" i="67"/>
  <c r="B39" i="67"/>
  <c r="BF38" i="67"/>
  <c r="AY38" i="67"/>
  <c r="AX38" i="67"/>
  <c r="AW38" i="67"/>
  <c r="BC38" i="67"/>
  <c r="B38" i="67"/>
  <c r="BF37" i="67"/>
  <c r="AY37" i="67"/>
  <c r="AX37" i="67"/>
  <c r="AZ37" i="67" s="1"/>
  <c r="AW37" i="67"/>
  <c r="BC37" i="67"/>
  <c r="O37" i="67"/>
  <c r="B37" i="67"/>
  <c r="BQ36" i="67"/>
  <c r="BQ37" i="67" s="1"/>
  <c r="BF36" i="67"/>
  <c r="AY36" i="67"/>
  <c r="AX36" i="67"/>
  <c r="AW36" i="67"/>
  <c r="BC36" i="67"/>
  <c r="B36" i="67"/>
  <c r="BF35" i="67"/>
  <c r="AY35" i="67"/>
  <c r="AX35" i="67"/>
  <c r="AW35" i="67"/>
  <c r="BC35" i="67"/>
  <c r="M35" i="67"/>
  <c r="K35" i="67"/>
  <c r="B35" i="67"/>
  <c r="BF34" i="67"/>
  <c r="AY34" i="67"/>
  <c r="AX34" i="67"/>
  <c r="AW34" i="67"/>
  <c r="BC34" i="67"/>
  <c r="O34" i="67"/>
  <c r="B34" i="67"/>
  <c r="BF33" i="67"/>
  <c r="AY33" i="67"/>
  <c r="AX33" i="67"/>
  <c r="AW33" i="67"/>
  <c r="BC33" i="67"/>
  <c r="K33" i="67"/>
  <c r="Y33" i="67" s="1"/>
  <c r="B33" i="67"/>
  <c r="BF32" i="67"/>
  <c r="AY32" i="67"/>
  <c r="AX32" i="67"/>
  <c r="AW32" i="67"/>
  <c r="BC32" i="67"/>
  <c r="B32" i="67"/>
  <c r="BF31" i="67"/>
  <c r="AY31" i="67"/>
  <c r="AX31" i="67"/>
  <c r="AW31" i="67"/>
  <c r="BC31" i="67"/>
  <c r="B31" i="67"/>
  <c r="BQ30" i="67"/>
  <c r="BI6" i="67" s="1"/>
  <c r="BI44" i="67" s="1"/>
  <c r="BF30" i="67"/>
  <c r="AY30" i="67"/>
  <c r="AX30" i="67"/>
  <c r="AW30" i="67"/>
  <c r="O30" i="67"/>
  <c r="M30" i="67"/>
  <c r="K30" i="67"/>
  <c r="BC30" i="67"/>
  <c r="I30" i="67"/>
  <c r="B30" i="67"/>
  <c r="BF29" i="67"/>
  <c r="AY29" i="67"/>
  <c r="AX29" i="67"/>
  <c r="AW29" i="67"/>
  <c r="BC29" i="67"/>
  <c r="K29" i="67"/>
  <c r="B29" i="67"/>
  <c r="BF28" i="67"/>
  <c r="AY28" i="67"/>
  <c r="AX28" i="67"/>
  <c r="AW28" i="67"/>
  <c r="BC28" i="67"/>
  <c r="B28" i="67"/>
  <c r="BF27" i="67"/>
  <c r="AY27" i="67"/>
  <c r="AX27" i="67"/>
  <c r="AW27" i="67"/>
  <c r="BC27" i="67"/>
  <c r="K27" i="67"/>
  <c r="I27" i="67"/>
  <c r="B27" i="67"/>
  <c r="BF26" i="67"/>
  <c r="AY26" i="67"/>
  <c r="AX26" i="67"/>
  <c r="AW26" i="67"/>
  <c r="BC26" i="67"/>
  <c r="B26" i="67"/>
  <c r="BF25" i="67"/>
  <c r="AY25" i="67"/>
  <c r="AX25" i="67"/>
  <c r="AW25" i="67"/>
  <c r="BC25" i="67"/>
  <c r="M25" i="67"/>
  <c r="B25" i="67"/>
  <c r="BQ24" i="67"/>
  <c r="BF24" i="67"/>
  <c r="AY24" i="67"/>
  <c r="AX24" i="67"/>
  <c r="AW24" i="67"/>
  <c r="BC24" i="67"/>
  <c r="B24" i="67"/>
  <c r="BF23" i="67"/>
  <c r="AY23" i="67"/>
  <c r="AX23" i="67"/>
  <c r="AW23" i="67"/>
  <c r="BC23" i="67"/>
  <c r="B23" i="67"/>
  <c r="BF22" i="67"/>
  <c r="AY22" i="67"/>
  <c r="AX22" i="67"/>
  <c r="AW22" i="67"/>
  <c r="BC22" i="67"/>
  <c r="O22" i="67"/>
  <c r="B22" i="67"/>
  <c r="BF21" i="67"/>
  <c r="AY21" i="67"/>
  <c r="AX21" i="67"/>
  <c r="AW21" i="67"/>
  <c r="BC21" i="67"/>
  <c r="K21" i="67"/>
  <c r="B21" i="67"/>
  <c r="BF19" i="67"/>
  <c r="AY19" i="67"/>
  <c r="AX19" i="67"/>
  <c r="AW19" i="67"/>
  <c r="BC19" i="67"/>
  <c r="B19" i="67"/>
  <c r="BF18" i="67"/>
  <c r="AY18" i="67"/>
  <c r="AX18" i="67"/>
  <c r="AW18" i="67"/>
  <c r="BC18" i="67"/>
  <c r="M18" i="67"/>
  <c r="B18" i="67"/>
  <c r="BQ17" i="67"/>
  <c r="BF17" i="67"/>
  <c r="AY17" i="67"/>
  <c r="AX17" i="67"/>
  <c r="AW17" i="67"/>
  <c r="BC17" i="67"/>
  <c r="B17" i="67"/>
  <c r="BF16" i="67"/>
  <c r="AY16" i="67"/>
  <c r="AX16" i="67"/>
  <c r="AW16" i="67"/>
  <c r="BC16" i="67"/>
  <c r="M16" i="67"/>
  <c r="B16" i="67"/>
  <c r="BF15" i="67"/>
  <c r="AY15" i="67"/>
  <c r="AX15" i="67"/>
  <c r="AW15" i="67"/>
  <c r="BC15" i="67"/>
  <c r="B15" i="67"/>
  <c r="BF14" i="67"/>
  <c r="AY14" i="67"/>
  <c r="AX14" i="67"/>
  <c r="AW14" i="67"/>
  <c r="BC14" i="67"/>
  <c r="B14" i="67"/>
  <c r="BF13" i="67"/>
  <c r="AY13" i="67"/>
  <c r="AX13" i="67"/>
  <c r="AW13" i="67"/>
  <c r="BC13" i="67"/>
  <c r="K13" i="67"/>
  <c r="B13" i="67"/>
  <c r="BF12" i="67"/>
  <c r="AY12" i="67"/>
  <c r="AX12" i="67"/>
  <c r="AW12" i="67"/>
  <c r="BC12" i="67"/>
  <c r="B12" i="67"/>
  <c r="BF11" i="67"/>
  <c r="AY11" i="67"/>
  <c r="AX11" i="67"/>
  <c r="AW11" i="67"/>
  <c r="BC11" i="67"/>
  <c r="B11" i="67"/>
  <c r="BF10" i="67"/>
  <c r="AY10" i="67"/>
  <c r="AX10" i="67"/>
  <c r="AW10" i="67"/>
  <c r="BC10" i="67"/>
  <c r="B10" i="67"/>
  <c r="BF9" i="67"/>
  <c r="AY9" i="67"/>
  <c r="AX9" i="67"/>
  <c r="AW9" i="67"/>
  <c r="BC9" i="67"/>
  <c r="B9" i="67"/>
  <c r="BF8" i="67"/>
  <c r="AY8" i="67"/>
  <c r="AX8" i="67"/>
  <c r="AW8" i="67"/>
  <c r="BC8" i="67"/>
  <c r="K8" i="67"/>
  <c r="B8" i="67"/>
  <c r="BF7" i="67"/>
  <c r="AY7" i="67"/>
  <c r="AX7" i="67"/>
  <c r="AW7" i="67"/>
  <c r="BC7" i="67"/>
  <c r="B7" i="67"/>
  <c r="BN6" i="67"/>
  <c r="BH6" i="67"/>
  <c r="BH44" i="67" s="1"/>
  <c r="BF6" i="67"/>
  <c r="AY6" i="67"/>
  <c r="AX6" i="67"/>
  <c r="AW6" i="67"/>
  <c r="B6" i="67"/>
  <c r="AZ24" i="73" l="1"/>
  <c r="AZ22" i="73"/>
  <c r="BD22" i="73" s="1"/>
  <c r="H50" i="73"/>
  <c r="BA56" i="73"/>
  <c r="BA58" i="73" s="1"/>
  <c r="BB61" i="73" s="1"/>
  <c r="AZ12" i="73"/>
  <c r="BD12" i="73" s="1"/>
  <c r="AZ23" i="73"/>
  <c r="BD23" i="73" s="1"/>
  <c r="AZ29" i="73"/>
  <c r="AZ34" i="73"/>
  <c r="BD34" i="73" s="1"/>
  <c r="AZ8" i="73"/>
  <c r="AZ14" i="73"/>
  <c r="AZ12" i="72"/>
  <c r="AZ16" i="72"/>
  <c r="AZ38" i="72"/>
  <c r="BD38" i="72" s="1"/>
  <c r="BD26" i="72"/>
  <c r="AZ27" i="72"/>
  <c r="AZ25" i="71"/>
  <c r="AZ42" i="71"/>
  <c r="AZ29" i="71"/>
  <c r="BD12" i="71"/>
  <c r="AZ23" i="71"/>
  <c r="AZ13" i="71"/>
  <c r="AZ22" i="71"/>
  <c r="AZ30" i="71"/>
  <c r="AZ38" i="71"/>
  <c r="AZ10" i="70"/>
  <c r="AZ30" i="70"/>
  <c r="AZ30" i="69"/>
  <c r="AZ12" i="69"/>
  <c r="AZ11" i="69"/>
  <c r="AZ18" i="69"/>
  <c r="AZ10" i="68"/>
  <c r="AZ8" i="68"/>
  <c r="BD8" i="68" s="1"/>
  <c r="AZ21" i="68"/>
  <c r="AZ28" i="67"/>
  <c r="AZ14" i="67"/>
  <c r="AZ21" i="67"/>
  <c r="AZ25" i="67"/>
  <c r="AZ30" i="67"/>
  <c r="AZ33" i="67"/>
  <c r="BD33" i="67" s="1"/>
  <c r="BQ37" i="69"/>
  <c r="BD25" i="71"/>
  <c r="BD39" i="72"/>
  <c r="AZ36" i="72"/>
  <c r="BD36" i="72" s="1"/>
  <c r="BD12" i="72"/>
  <c r="AZ19" i="72"/>
  <c r="BD19" i="72" s="1"/>
  <c r="AZ24" i="72"/>
  <c r="H7" i="72"/>
  <c r="BD36" i="69"/>
  <c r="AZ18" i="71"/>
  <c r="BD18" i="71" s="1"/>
  <c r="BH44" i="70"/>
  <c r="H10" i="70"/>
  <c r="AW44" i="69"/>
  <c r="BD12" i="69"/>
  <c r="AZ27" i="69"/>
  <c r="AZ26" i="69"/>
  <c r="BD26" i="69" s="1"/>
  <c r="AZ39" i="69"/>
  <c r="BD39" i="69" s="1"/>
  <c r="AZ35" i="69"/>
  <c r="BD35" i="69" s="1"/>
  <c r="AZ25" i="68"/>
  <c r="BD25" i="68" s="1"/>
  <c r="AZ17" i="67"/>
  <c r="AZ22" i="67"/>
  <c r="AZ36" i="68"/>
  <c r="AZ40" i="68"/>
  <c r="BJ6" i="69"/>
  <c r="AZ13" i="69"/>
  <c r="BD13" i="69" s="1"/>
  <c r="AZ24" i="70"/>
  <c r="BD24" i="70" s="1"/>
  <c r="AZ35" i="70"/>
  <c r="AZ41" i="71"/>
  <c r="AZ33" i="72"/>
  <c r="AZ18" i="73"/>
  <c r="BD18" i="73" s="1"/>
  <c r="AZ26" i="73"/>
  <c r="BD26" i="73" s="1"/>
  <c r="AZ31" i="73"/>
  <c r="BD31" i="73" s="1"/>
  <c r="AZ38" i="73"/>
  <c r="BD38" i="73" s="1"/>
  <c r="AC44" i="75"/>
  <c r="AU44" i="75"/>
  <c r="BM44" i="75"/>
  <c r="AZ13" i="67"/>
  <c r="AZ24" i="67"/>
  <c r="AZ26" i="67"/>
  <c r="BD26" i="67" s="1"/>
  <c r="AZ36" i="67"/>
  <c r="BD36" i="67" s="1"/>
  <c r="AZ29" i="67"/>
  <c r="BD29" i="67" s="1"/>
  <c r="AZ13" i="68"/>
  <c r="AZ22" i="68"/>
  <c r="BD22" i="68" s="1"/>
  <c r="AZ29" i="68"/>
  <c r="BD29" i="68" s="1"/>
  <c r="AZ21" i="69"/>
  <c r="AZ28" i="69"/>
  <c r="AZ34" i="69"/>
  <c r="BD34" i="69" s="1"/>
  <c r="BD40" i="69"/>
  <c r="AZ11" i="70"/>
  <c r="AZ36" i="70"/>
  <c r="AZ37" i="70"/>
  <c r="AZ9" i="71"/>
  <c r="BD9" i="71" s="1"/>
  <c r="AZ24" i="71"/>
  <c r="AZ36" i="71"/>
  <c r="BD36" i="71" s="1"/>
  <c r="AZ37" i="71"/>
  <c r="BD37" i="71" s="1"/>
  <c r="AT44" i="75"/>
  <c r="BL44" i="75"/>
  <c r="X44" i="75"/>
  <c r="AW44" i="68"/>
  <c r="AZ28" i="68"/>
  <c r="BD28" i="68" s="1"/>
  <c r="AZ32" i="69"/>
  <c r="AZ42" i="69"/>
  <c r="AZ29" i="70"/>
  <c r="BD29" i="70" s="1"/>
  <c r="BJ6" i="71"/>
  <c r="BJ44" i="71" s="1"/>
  <c r="AZ7" i="71"/>
  <c r="AZ11" i="71"/>
  <c r="AZ28" i="71"/>
  <c r="AZ31" i="72"/>
  <c r="BD31" i="72" s="1"/>
  <c r="AZ37" i="72"/>
  <c r="BD37" i="72" s="1"/>
  <c r="AB44" i="75"/>
  <c r="AF44" i="75"/>
  <c r="AO44" i="75"/>
  <c r="AG44" i="75"/>
  <c r="AZ9" i="69"/>
  <c r="AZ24" i="69"/>
  <c r="AZ41" i="69"/>
  <c r="AZ8" i="70"/>
  <c r="AZ22" i="70"/>
  <c r="BD22" i="70" s="1"/>
  <c r="AZ28" i="70"/>
  <c r="BD28" i="70" s="1"/>
  <c r="AZ19" i="71"/>
  <c r="AZ21" i="71"/>
  <c r="BD21" i="71" s="1"/>
  <c r="AZ13" i="72"/>
  <c r="AZ22" i="72"/>
  <c r="BD22" i="72" s="1"/>
  <c r="AZ26" i="72"/>
  <c r="AZ34" i="72"/>
  <c r="AZ15" i="73"/>
  <c r="BD15" i="73" s="1"/>
  <c r="AZ21" i="73"/>
  <c r="BD21" i="73" s="1"/>
  <c r="AZ36" i="73"/>
  <c r="BD36" i="73" s="1"/>
  <c r="AZ37" i="73"/>
  <c r="BD37" i="73" s="1"/>
  <c r="AZ42" i="73"/>
  <c r="BB44" i="75"/>
  <c r="BK44" i="75"/>
  <c r="W44" i="75"/>
  <c r="AZ27" i="67"/>
  <c r="BD27" i="67" s="1"/>
  <c r="AZ42" i="67"/>
  <c r="BD42" i="67" s="1"/>
  <c r="AZ17" i="68"/>
  <c r="AZ38" i="68"/>
  <c r="AZ31" i="69"/>
  <c r="BD31" i="69" s="1"/>
  <c r="AZ40" i="69"/>
  <c r="AZ7" i="70"/>
  <c r="AZ14" i="70"/>
  <c r="AZ21" i="70"/>
  <c r="BD21" i="70" s="1"/>
  <c r="AZ27" i="70"/>
  <c r="BD27" i="70" s="1"/>
  <c r="AZ32" i="70"/>
  <c r="AW44" i="71"/>
  <c r="AZ14" i="71"/>
  <c r="BD14" i="71" s="1"/>
  <c r="AZ27" i="71"/>
  <c r="AZ18" i="72"/>
  <c r="BD18" i="72" s="1"/>
  <c r="AZ13" i="73"/>
  <c r="AZ17" i="73"/>
  <c r="BD17" i="73" s="1"/>
  <c r="AZ28" i="73"/>
  <c r="BD28" i="73" s="1"/>
  <c r="AZ39" i="73"/>
  <c r="BD39" i="73" s="1"/>
  <c r="AZ41" i="73"/>
  <c r="BD41" i="73" s="1"/>
  <c r="T44" i="75"/>
  <c r="AZ12" i="67"/>
  <c r="AZ10" i="67"/>
  <c r="AZ41" i="67"/>
  <c r="BJ6" i="70"/>
  <c r="AZ13" i="70"/>
  <c r="BD13" i="70" s="1"/>
  <c r="BD22" i="71"/>
  <c r="AW44" i="72"/>
  <c r="AZ7" i="73"/>
  <c r="BD7" i="73" s="1"/>
  <c r="AZ19" i="73"/>
  <c r="BD19" i="73" s="1"/>
  <c r="AZ33" i="73"/>
  <c r="BD33" i="73" s="1"/>
  <c r="AZ35" i="73"/>
  <c r="AV44" i="75"/>
  <c r="AZ19" i="67"/>
  <c r="BD19" i="67" s="1"/>
  <c r="AZ27" i="68"/>
  <c r="BD27" i="68" s="1"/>
  <c r="AZ18" i="67"/>
  <c r="BD18" i="67" s="1"/>
  <c r="AZ35" i="67"/>
  <c r="BJ6" i="67"/>
  <c r="BJ44" i="67" s="1"/>
  <c r="AZ11" i="67"/>
  <c r="AZ15" i="67"/>
  <c r="AZ31" i="67"/>
  <c r="BD31" i="67" s="1"/>
  <c r="AZ15" i="68"/>
  <c r="BD15" i="68" s="1"/>
  <c r="AZ16" i="68"/>
  <c r="BD16" i="68" s="1"/>
  <c r="AZ37" i="68"/>
  <c r="AZ42" i="68"/>
  <c r="BD42" i="68" s="1"/>
  <c r="AZ14" i="69"/>
  <c r="AZ38" i="69"/>
  <c r="AZ12" i="70"/>
  <c r="AZ38" i="70"/>
  <c r="BD38" i="70" s="1"/>
  <c r="AZ15" i="71"/>
  <c r="BD15" i="71" s="1"/>
  <c r="AZ35" i="71"/>
  <c r="BD35" i="71" s="1"/>
  <c r="AZ23" i="72"/>
  <c r="AZ32" i="72"/>
  <c r="BD32" i="72" s="1"/>
  <c r="AZ25" i="73"/>
  <c r="AZ27" i="73"/>
  <c r="BD27" i="73" s="1"/>
  <c r="AZ40" i="73"/>
  <c r="N44" i="75"/>
  <c r="AH44" i="75"/>
  <c r="AE44" i="75"/>
  <c r="AD44" i="75"/>
  <c r="AL44" i="75"/>
  <c r="AI44" i="75"/>
  <c r="AM44" i="75"/>
  <c r="V44" i="75"/>
  <c r="S44" i="75"/>
  <c r="BG44" i="75"/>
  <c r="Z44" i="75"/>
  <c r="BD42" i="69"/>
  <c r="I6" i="69"/>
  <c r="I32" i="69"/>
  <c r="M15" i="69"/>
  <c r="K25" i="72"/>
  <c r="I15" i="73"/>
  <c r="I24" i="69"/>
  <c r="O6" i="70"/>
  <c r="BD27" i="71"/>
  <c r="K15" i="73"/>
  <c r="O22" i="71"/>
  <c r="O14" i="67"/>
  <c r="I7" i="69"/>
  <c r="K18" i="67"/>
  <c r="O21" i="68"/>
  <c r="O37" i="68"/>
  <c r="O22" i="70"/>
  <c r="O27" i="70"/>
  <c r="O9" i="71"/>
  <c r="I23" i="67"/>
  <c r="O24" i="68"/>
  <c r="M30" i="71"/>
  <c r="K19" i="73"/>
  <c r="K36" i="73"/>
  <c r="O13" i="69"/>
  <c r="BD14" i="69"/>
  <c r="K13" i="70"/>
  <c r="AS13" i="70" s="1"/>
  <c r="O19" i="72"/>
  <c r="I41" i="72"/>
  <c r="I42" i="72"/>
  <c r="M15" i="73"/>
  <c r="O28" i="70"/>
  <c r="O11" i="73"/>
  <c r="M28" i="73"/>
  <c r="K29" i="70"/>
  <c r="AS29" i="70" s="1"/>
  <c r="I7" i="71"/>
  <c r="K23" i="67"/>
  <c r="K16" i="68"/>
  <c r="AS16" i="68" s="1"/>
  <c r="K36" i="68"/>
  <c r="K15" i="69"/>
  <c r="I17" i="70"/>
  <c r="K21" i="70"/>
  <c r="K7" i="71"/>
  <c r="M16" i="72"/>
  <c r="I28" i="72"/>
  <c r="O16" i="67"/>
  <c r="I6" i="68"/>
  <c r="O8" i="68"/>
  <c r="BD13" i="68"/>
  <c r="I42" i="69"/>
  <c r="I9" i="70"/>
  <c r="O21" i="70"/>
  <c r="O42" i="70"/>
  <c r="BD13" i="71"/>
  <c r="K24" i="71"/>
  <c r="AS24" i="71" s="1"/>
  <c r="O28" i="72"/>
  <c r="K16" i="69"/>
  <c r="AS16" i="69" s="1"/>
  <c r="I34" i="69"/>
  <c r="I22" i="70"/>
  <c r="I30" i="70"/>
  <c r="O12" i="71"/>
  <c r="I29" i="72"/>
  <c r="K6" i="70"/>
  <c r="K30" i="70"/>
  <c r="O37" i="71"/>
  <c r="M41" i="67"/>
  <c r="O35" i="69"/>
  <c r="M30" i="70"/>
  <c r="K37" i="72"/>
  <c r="M21" i="67"/>
  <c r="O25" i="67"/>
  <c r="I36" i="68"/>
  <c r="I13" i="69"/>
  <c r="O16" i="69"/>
  <c r="K24" i="69"/>
  <c r="K15" i="72"/>
  <c r="AS15" i="72" s="1"/>
  <c r="K29" i="73"/>
  <c r="I36" i="67"/>
  <c r="O28" i="67"/>
  <c r="I19" i="67"/>
  <c r="M11" i="67"/>
  <c r="I42" i="68"/>
  <c r="O34" i="68"/>
  <c r="M26" i="68"/>
  <c r="I9" i="68"/>
  <c r="M37" i="69"/>
  <c r="M29" i="69"/>
  <c r="M21" i="69"/>
  <c r="K12" i="69"/>
  <c r="K24" i="70"/>
  <c r="K7" i="70"/>
  <c r="K18" i="71"/>
  <c r="I13" i="72"/>
  <c r="K41" i="73"/>
  <c r="O16" i="73"/>
  <c r="O8" i="73"/>
  <c r="O21" i="67"/>
  <c r="I7" i="68"/>
  <c r="K24" i="68"/>
  <c r="AS24" i="68" s="1"/>
  <c r="K28" i="68"/>
  <c r="M13" i="69"/>
  <c r="K29" i="71"/>
  <c r="M36" i="72"/>
  <c r="O40" i="72"/>
  <c r="K7" i="68"/>
  <c r="O25" i="68"/>
  <c r="K32" i="69"/>
  <c r="M13" i="70"/>
  <c r="I30" i="73"/>
  <c r="K8" i="68"/>
  <c r="AS8" i="68" s="1"/>
  <c r="M28" i="68"/>
  <c r="BD28" i="69"/>
  <c r="O13" i="70"/>
  <c r="O24" i="71"/>
  <c r="O6" i="73"/>
  <c r="M12" i="69"/>
  <c r="K15" i="70"/>
  <c r="M24" i="70"/>
  <c r="O28" i="73"/>
  <c r="M41" i="73"/>
  <c r="I13" i="67"/>
  <c r="O29" i="67"/>
  <c r="M6" i="68"/>
  <c r="K28" i="67"/>
  <c r="M24" i="68"/>
  <c r="M34" i="69"/>
  <c r="K42" i="69"/>
  <c r="I7" i="70"/>
  <c r="M29" i="70"/>
  <c r="O10" i="71"/>
  <c r="I37" i="71"/>
  <c r="I21" i="72"/>
  <c r="K29" i="72"/>
  <c r="K30" i="73"/>
  <c r="I22" i="67"/>
  <c r="O13" i="67"/>
  <c r="K19" i="67"/>
  <c r="M22" i="67"/>
  <c r="M28" i="67"/>
  <c r="M8" i="68"/>
  <c r="I15" i="68"/>
  <c r="O16" i="68"/>
  <c r="M21" i="68"/>
  <c r="BD40" i="68"/>
  <c r="K10" i="69"/>
  <c r="O15" i="69"/>
  <c r="I21" i="70"/>
  <c r="K22" i="70"/>
  <c r="I28" i="70"/>
  <c r="O29" i="70"/>
  <c r="I17" i="71"/>
  <c r="M22" i="71"/>
  <c r="M9" i="72"/>
  <c r="K21" i="72"/>
  <c r="O27" i="72"/>
  <c r="I8" i="73"/>
  <c r="M22" i="73"/>
  <c r="O30" i="73"/>
  <c r="I37" i="73"/>
  <c r="M13" i="67"/>
  <c r="BD15" i="67"/>
  <c r="K22" i="67"/>
  <c r="O8" i="67"/>
  <c r="O19" i="67"/>
  <c r="I21" i="67"/>
  <c r="K36" i="67"/>
  <c r="K15" i="68"/>
  <c r="BD38" i="68"/>
  <c r="M10" i="69"/>
  <c r="K11" i="69"/>
  <c r="O21" i="69"/>
  <c r="O26" i="69"/>
  <c r="I35" i="69"/>
  <c r="O8" i="70"/>
  <c r="O24" i="70"/>
  <c r="M28" i="70"/>
  <c r="M32" i="70"/>
  <c r="K17" i="71"/>
  <c r="Y17" i="71" s="1"/>
  <c r="O18" i="71"/>
  <c r="I29" i="71"/>
  <c r="M21" i="72"/>
  <c r="K8" i="73"/>
  <c r="O22" i="73"/>
  <c r="I29" i="73"/>
  <c r="M32" i="73"/>
  <c r="M37" i="73"/>
  <c r="BD37" i="67"/>
  <c r="K21" i="69"/>
  <c r="I21" i="71"/>
  <c r="K6" i="72"/>
  <c r="O29" i="72"/>
  <c r="O25" i="73"/>
  <c r="O29" i="73"/>
  <c r="M40" i="73"/>
  <c r="K11" i="67"/>
  <c r="I29" i="67"/>
  <c r="I26" i="69"/>
  <c r="I8" i="70"/>
  <c r="I24" i="70"/>
  <c r="O36" i="71"/>
  <c r="I13" i="73"/>
  <c r="I28" i="73"/>
  <c r="I36" i="73"/>
  <c r="I37" i="67"/>
  <c r="BD22" i="67"/>
  <c r="I28" i="67"/>
  <c r="M29" i="67"/>
  <c r="K37" i="67"/>
  <c r="I28" i="68"/>
  <c r="O42" i="68"/>
  <c r="O6" i="69"/>
  <c r="O7" i="70"/>
  <c r="M8" i="70"/>
  <c r="BD12" i="70"/>
  <c r="I27" i="70"/>
  <c r="O8" i="71"/>
  <c r="O30" i="71"/>
  <c r="K9" i="72"/>
  <c r="BD23" i="72"/>
  <c r="O26" i="72"/>
  <c r="K13" i="73"/>
  <c r="K28" i="73"/>
  <c r="K9" i="69"/>
  <c r="O9" i="69"/>
  <c r="M9" i="69"/>
  <c r="M32" i="68"/>
  <c r="O32" i="68"/>
  <c r="H8" i="68"/>
  <c r="H16" i="69"/>
  <c r="M10" i="67"/>
  <c r="O10" i="67"/>
  <c r="I12" i="67"/>
  <c r="O12" i="67"/>
  <c r="K12" i="67"/>
  <c r="BD23" i="70"/>
  <c r="I28" i="71"/>
  <c r="M28" i="71"/>
  <c r="K28" i="71"/>
  <c r="BD28" i="67"/>
  <c r="BD14" i="68"/>
  <c r="M15" i="68"/>
  <c r="K6" i="69"/>
  <c r="BD9" i="69"/>
  <c r="K17" i="69"/>
  <c r="I25" i="69"/>
  <c r="BD33" i="69"/>
  <c r="I41" i="69"/>
  <c r="K9" i="70"/>
  <c r="I16" i="70"/>
  <c r="K37" i="70"/>
  <c r="AS37" i="70" s="1"/>
  <c r="BD37" i="70"/>
  <c r="K15" i="71"/>
  <c r="BD28" i="71"/>
  <c r="K42" i="73"/>
  <c r="AS42" i="73" s="1"/>
  <c r="BD21" i="67"/>
  <c r="BD30" i="69"/>
  <c r="BD12" i="67"/>
  <c r="M37" i="67"/>
  <c r="M7" i="68"/>
  <c r="I8" i="67"/>
  <c r="I16" i="67"/>
  <c r="BD17" i="68"/>
  <c r="K22" i="68"/>
  <c r="K27" i="68"/>
  <c r="K42" i="68"/>
  <c r="O17" i="69"/>
  <c r="K25" i="69"/>
  <c r="O32" i="69"/>
  <c r="I33" i="69"/>
  <c r="I36" i="69"/>
  <c r="I40" i="69"/>
  <c r="K41" i="69"/>
  <c r="BD41" i="69"/>
  <c r="I15" i="70"/>
  <c r="M16" i="70"/>
  <c r="M37" i="70"/>
  <c r="M8" i="71"/>
  <c r="H12" i="71"/>
  <c r="H24" i="71"/>
  <c r="O28" i="71"/>
  <c r="K42" i="71"/>
  <c r="BD9" i="72"/>
  <c r="I25" i="72"/>
  <c r="M16" i="73"/>
  <c r="K16" i="73"/>
  <c r="I16" i="73"/>
  <c r="K26" i="73"/>
  <c r="M26" i="73"/>
  <c r="BD14" i="67"/>
  <c r="K16" i="67"/>
  <c r="BD37" i="68"/>
  <c r="M11" i="69"/>
  <c r="BD24" i="69"/>
  <c r="M25" i="69"/>
  <c r="BD38" i="69"/>
  <c r="K40" i="69"/>
  <c r="M15" i="70"/>
  <c r="K38" i="70"/>
  <c r="I38" i="70"/>
  <c r="O38" i="70"/>
  <c r="M34" i="73"/>
  <c r="O34" i="73"/>
  <c r="K24" i="72"/>
  <c r="O24" i="72"/>
  <c r="M24" i="72"/>
  <c r="I24" i="72"/>
  <c r="BD24" i="67"/>
  <c r="AS30" i="67"/>
  <c r="BD41" i="67"/>
  <c r="H24" i="68"/>
  <c r="BD18" i="69"/>
  <c r="O27" i="69"/>
  <c r="K35" i="69"/>
  <c r="M40" i="69"/>
  <c r="O15" i="70"/>
  <c r="I36" i="70"/>
  <c r="O36" i="70"/>
  <c r="BD23" i="71"/>
  <c r="K36" i="71"/>
  <c r="K38" i="71"/>
  <c r="I38" i="71"/>
  <c r="K33" i="72"/>
  <c r="Y33" i="72" s="1"/>
  <c r="I33" i="72"/>
  <c r="O41" i="72"/>
  <c r="O15" i="71"/>
  <c r="I15" i="71"/>
  <c r="BD35" i="67"/>
  <c r="H27" i="69"/>
  <c r="H23" i="71"/>
  <c r="O42" i="71"/>
  <c r="K10" i="72"/>
  <c r="I10" i="72"/>
  <c r="O7" i="73"/>
  <c r="M7" i="73"/>
  <c r="K7" i="73"/>
  <c r="I7" i="73"/>
  <c r="H12" i="73"/>
  <c r="BD10" i="68"/>
  <c r="H16" i="68"/>
  <c r="BD36" i="68"/>
  <c r="I17" i="69"/>
  <c r="I21" i="69"/>
  <c r="M32" i="69"/>
  <c r="BD32" i="69"/>
  <c r="K34" i="69"/>
  <c r="M6" i="70"/>
  <c r="BD10" i="70"/>
  <c r="H13" i="70"/>
  <c r="BD14" i="70"/>
  <c r="O16" i="70"/>
  <c r="O37" i="70"/>
  <c r="O11" i="71"/>
  <c r="M11" i="71"/>
  <c r="O8" i="72"/>
  <c r="I8" i="72"/>
  <c r="M8" i="72"/>
  <c r="O35" i="72"/>
  <c r="I35" i="72"/>
  <c r="O21" i="73"/>
  <c r="M21" i="73"/>
  <c r="K21" i="73"/>
  <c r="I21" i="73"/>
  <c r="BD11" i="71"/>
  <c r="M29" i="71"/>
  <c r="K28" i="72"/>
  <c r="BD34" i="72"/>
  <c r="M13" i="73"/>
  <c r="I22" i="73"/>
  <c r="BD25" i="73"/>
  <c r="BD40" i="73"/>
  <c r="BD11" i="69"/>
  <c r="BD21" i="69"/>
  <c r="BD29" i="71"/>
  <c r="BD42" i="71"/>
  <c r="K16" i="72"/>
  <c r="I17" i="72"/>
  <c r="BD24" i="72"/>
  <c r="I32" i="72"/>
  <c r="I34" i="72"/>
  <c r="BD9" i="73"/>
  <c r="BD13" i="73"/>
  <c r="O24" i="73"/>
  <c r="Y24" i="73" s="1"/>
  <c r="M25" i="73"/>
  <c r="I27" i="73"/>
  <c r="BD29" i="73"/>
  <c r="K35" i="73"/>
  <c r="M39" i="72"/>
  <c r="K31" i="72"/>
  <c r="M14" i="72"/>
  <c r="BD7" i="71"/>
  <c r="BD38" i="71"/>
  <c r="I16" i="72"/>
  <c r="K17" i="72"/>
  <c r="BD14" i="73"/>
  <c r="I24" i="73"/>
  <c r="M35" i="73"/>
  <c r="E44" i="72"/>
  <c r="BA46" i="72" s="1"/>
  <c r="BA47" i="72" s="1"/>
  <c r="K40" i="72"/>
  <c r="AS40" i="72" s="1"/>
  <c r="O38" i="72"/>
  <c r="O13" i="72"/>
  <c r="I39" i="70"/>
  <c r="O31" i="70"/>
  <c r="M23" i="70"/>
  <c r="M14" i="70"/>
  <c r="K42" i="67"/>
  <c r="M34" i="67"/>
  <c r="M26" i="67"/>
  <c r="I23" i="73"/>
  <c r="M14" i="73"/>
  <c r="K23" i="68"/>
  <c r="AS23" i="68" s="1"/>
  <c r="M14" i="68"/>
  <c r="M40" i="67"/>
  <c r="O32" i="67"/>
  <c r="I24" i="67"/>
  <c r="O15" i="67"/>
  <c r="K7" i="67"/>
  <c r="M30" i="68"/>
  <c r="I22" i="68"/>
  <c r="K13" i="68"/>
  <c r="K39" i="71"/>
  <c r="M31" i="71"/>
  <c r="K23" i="71"/>
  <c r="AS23" i="71" s="1"/>
  <c r="O14" i="71"/>
  <c r="M37" i="68"/>
  <c r="O29" i="68"/>
  <c r="I21" i="68"/>
  <c r="O12" i="68"/>
  <c r="O38" i="71"/>
  <c r="K30" i="71"/>
  <c r="K22" i="71"/>
  <c r="K13" i="71"/>
  <c r="O39" i="69"/>
  <c r="M31" i="69"/>
  <c r="M23" i="69"/>
  <c r="K14" i="69"/>
  <c r="L44" i="75"/>
  <c r="J44" i="75"/>
  <c r="G44" i="75"/>
  <c r="M23" i="73"/>
  <c r="O23" i="73"/>
  <c r="I14" i="73"/>
  <c r="K14" i="73"/>
  <c r="K13" i="72"/>
  <c r="K14" i="72"/>
  <c r="AS14" i="72" s="1"/>
  <c r="M13" i="72"/>
  <c r="K39" i="72"/>
  <c r="M38" i="72"/>
  <c r="O13" i="71"/>
  <c r="M23" i="71"/>
  <c r="I31" i="71"/>
  <c r="D44" i="71"/>
  <c r="D50" i="71" s="1"/>
  <c r="K31" i="71"/>
  <c r="M39" i="71"/>
  <c r="O31" i="71"/>
  <c r="O23" i="71"/>
  <c r="I22" i="71"/>
  <c r="I30" i="71"/>
  <c r="I39" i="71"/>
  <c r="I23" i="70"/>
  <c r="O39" i="70"/>
  <c r="K23" i="70"/>
  <c r="I14" i="70"/>
  <c r="K14" i="70"/>
  <c r="O23" i="70"/>
  <c r="I14" i="69"/>
  <c r="I31" i="69"/>
  <c r="K39" i="69"/>
  <c r="AS39" i="69" s="1"/>
  <c r="M39" i="69"/>
  <c r="K31" i="69"/>
  <c r="O22" i="68"/>
  <c r="M13" i="68"/>
  <c r="O14" i="68"/>
  <c r="M23" i="68"/>
  <c r="O13" i="68"/>
  <c r="K21" i="68"/>
  <c r="I29" i="68"/>
  <c r="K12" i="68"/>
  <c r="K29" i="68"/>
  <c r="I30" i="68"/>
  <c r="I37" i="68"/>
  <c r="I13" i="68"/>
  <c r="O23" i="68"/>
  <c r="M29" i="68"/>
  <c r="K30" i="68"/>
  <c r="K37" i="68"/>
  <c r="K14" i="68"/>
  <c r="I14" i="68"/>
  <c r="K26" i="67"/>
  <c r="K24" i="67"/>
  <c r="I42" i="67"/>
  <c r="I14" i="67"/>
  <c r="M23" i="67"/>
  <c r="K14" i="67"/>
  <c r="M14" i="67"/>
  <c r="Y30" i="67"/>
  <c r="O23" i="67"/>
  <c r="M24" i="67"/>
  <c r="O40" i="67"/>
  <c r="O7" i="67"/>
  <c r="I7" i="67"/>
  <c r="O24" i="67"/>
  <c r="M32" i="67"/>
  <c r="K15" i="67"/>
  <c r="I15" i="67"/>
  <c r="M15" i="67"/>
  <c r="AZ30" i="73"/>
  <c r="BD30" i="73" s="1"/>
  <c r="AZ10" i="73"/>
  <c r="BD10" i="73" s="1"/>
  <c r="BD24" i="73"/>
  <c r="BD42" i="73"/>
  <c r="AZ32" i="73"/>
  <c r="BD32" i="73" s="1"/>
  <c r="AZ16" i="73"/>
  <c r="BD16" i="73" s="1"/>
  <c r="AZ41" i="72"/>
  <c r="BD41" i="72" s="1"/>
  <c r="AZ15" i="72"/>
  <c r="BD15" i="72" s="1"/>
  <c r="AZ30" i="72"/>
  <c r="BD30" i="72" s="1"/>
  <c r="AZ35" i="72"/>
  <c r="BD35" i="72" s="1"/>
  <c r="AZ25" i="72"/>
  <c r="BD25" i="72" s="1"/>
  <c r="AZ40" i="72"/>
  <c r="BD40" i="72" s="1"/>
  <c r="AZ7" i="72"/>
  <c r="BD7" i="72" s="1"/>
  <c r="AZ8" i="71"/>
  <c r="BD8" i="71" s="1"/>
  <c r="AZ40" i="71"/>
  <c r="BD40" i="71" s="1"/>
  <c r="AZ17" i="71"/>
  <c r="BD17" i="71" s="1"/>
  <c r="AZ10" i="71"/>
  <c r="BD10" i="71" s="1"/>
  <c r="AZ39" i="71"/>
  <c r="BD39" i="71" s="1"/>
  <c r="AZ16" i="71"/>
  <c r="BD16" i="71" s="1"/>
  <c r="BF44" i="71"/>
  <c r="AZ16" i="70"/>
  <c r="BD16" i="70" s="1"/>
  <c r="AZ18" i="70"/>
  <c r="BD18" i="70" s="1"/>
  <c r="AZ39" i="70"/>
  <c r="BD39" i="70" s="1"/>
  <c r="AZ42" i="70"/>
  <c r="BD42" i="70" s="1"/>
  <c r="AZ33" i="70"/>
  <c r="BD33" i="70" s="1"/>
  <c r="AZ40" i="70"/>
  <c r="AZ34" i="70"/>
  <c r="BD34" i="70" s="1"/>
  <c r="AZ9" i="70"/>
  <c r="BD9" i="70" s="1"/>
  <c r="AZ31" i="70"/>
  <c r="AZ41" i="70"/>
  <c r="BD41" i="70" s="1"/>
  <c r="AZ17" i="70"/>
  <c r="BD17" i="70" s="1"/>
  <c r="BD7" i="70"/>
  <c r="AZ16" i="69"/>
  <c r="BD16" i="69" s="1"/>
  <c r="AZ17" i="69"/>
  <c r="BD17" i="69" s="1"/>
  <c r="AZ8" i="69"/>
  <c r="AZ15" i="69"/>
  <c r="BD15" i="69" s="1"/>
  <c r="AZ19" i="69"/>
  <c r="BD19" i="69" s="1"/>
  <c r="AZ7" i="69"/>
  <c r="BD7" i="69" s="1"/>
  <c r="BF44" i="69"/>
  <c r="AZ24" i="68"/>
  <c r="BD24" i="68" s="1"/>
  <c r="AZ9" i="68"/>
  <c r="BD9" i="68" s="1"/>
  <c r="AZ32" i="68"/>
  <c r="BD32" i="68" s="1"/>
  <c r="AZ30" i="68"/>
  <c r="BD30" i="68" s="1"/>
  <c r="BC44" i="71"/>
  <c r="BD24" i="71"/>
  <c r="AX44" i="71"/>
  <c r="H8" i="71"/>
  <c r="O19" i="71"/>
  <c r="AZ32" i="71"/>
  <c r="BD32" i="71" s="1"/>
  <c r="AZ17" i="72"/>
  <c r="BD17" i="72" s="1"/>
  <c r="E44" i="71"/>
  <c r="AY44" i="71"/>
  <c r="F44" i="71"/>
  <c r="AZ6" i="71"/>
  <c r="M7" i="71"/>
  <c r="K8" i="71"/>
  <c r="I9" i="71"/>
  <c r="I13" i="71"/>
  <c r="K27" i="71"/>
  <c r="I27" i="71"/>
  <c r="M12" i="72"/>
  <c r="K12" i="72"/>
  <c r="I12" i="72"/>
  <c r="O12" i="72"/>
  <c r="I10" i="71"/>
  <c r="I14" i="71"/>
  <c r="BD19" i="71"/>
  <c r="O35" i="71"/>
  <c r="M35" i="71"/>
  <c r="K35" i="71"/>
  <c r="I35" i="71"/>
  <c r="H15" i="72"/>
  <c r="I6" i="71"/>
  <c r="M9" i="71"/>
  <c r="K10" i="71"/>
  <c r="I11" i="71"/>
  <c r="K12" i="71"/>
  <c r="AS12" i="71" s="1"/>
  <c r="M13" i="71"/>
  <c r="K14" i="71"/>
  <c r="I16" i="71"/>
  <c r="O21" i="71"/>
  <c r="Y21" i="71" s="1"/>
  <c r="M26" i="71"/>
  <c r="K26" i="71"/>
  <c r="I26" i="71"/>
  <c r="AZ26" i="71"/>
  <c r="BD26" i="71" s="1"/>
  <c r="AZ33" i="71"/>
  <c r="BD33" i="71" s="1"/>
  <c r="O40" i="71"/>
  <c r="M10" i="73"/>
  <c r="K10" i="73"/>
  <c r="I10" i="73"/>
  <c r="O10" i="73"/>
  <c r="K6" i="71"/>
  <c r="M10" i="71"/>
  <c r="K11" i="71"/>
  <c r="M12" i="71"/>
  <c r="M14" i="71"/>
  <c r="K16" i="71"/>
  <c r="O25" i="71"/>
  <c r="M25" i="71"/>
  <c r="K25" i="71"/>
  <c r="I25" i="71"/>
  <c r="M27" i="71"/>
  <c r="K33" i="71"/>
  <c r="Y33" i="71" s="1"/>
  <c r="I33" i="71"/>
  <c r="BD41" i="71"/>
  <c r="M6" i="71"/>
  <c r="M16" i="71"/>
  <c r="I19" i="71"/>
  <c r="O27" i="71"/>
  <c r="BD30" i="71"/>
  <c r="AZ31" i="71"/>
  <c r="BD31" i="71" s="1"/>
  <c r="AZ34" i="71"/>
  <c r="BD34" i="71" s="1"/>
  <c r="H11" i="72"/>
  <c r="H18" i="72"/>
  <c r="M18" i="71"/>
  <c r="I18" i="71"/>
  <c r="M19" i="71"/>
  <c r="O41" i="71"/>
  <c r="M41" i="71"/>
  <c r="K41" i="71"/>
  <c r="I41" i="71"/>
  <c r="M37" i="71"/>
  <c r="M6" i="72"/>
  <c r="O11" i="72"/>
  <c r="M11" i="72"/>
  <c r="K11" i="72"/>
  <c r="AS11" i="72" s="1"/>
  <c r="AZ11" i="72"/>
  <c r="BD11" i="72" s="1"/>
  <c r="O6" i="72"/>
  <c r="AX44" i="72"/>
  <c r="BD13" i="72"/>
  <c r="O23" i="72"/>
  <c r="M23" i="72"/>
  <c r="K23" i="72"/>
  <c r="I23" i="72"/>
  <c r="BD27" i="72"/>
  <c r="BD33" i="72"/>
  <c r="H40" i="72"/>
  <c r="M24" i="71"/>
  <c r="I32" i="71"/>
  <c r="I34" i="71"/>
  <c r="M38" i="71"/>
  <c r="I40" i="71"/>
  <c r="AY44" i="72"/>
  <c r="O7" i="72"/>
  <c r="M7" i="72"/>
  <c r="AZ14" i="72"/>
  <c r="BD14" i="72" s="1"/>
  <c r="H26" i="72"/>
  <c r="I9" i="73"/>
  <c r="K32" i="71"/>
  <c r="K40" i="71"/>
  <c r="D44" i="72"/>
  <c r="D50" i="72" s="1"/>
  <c r="AZ10" i="72"/>
  <c r="BD10" i="72" s="1"/>
  <c r="O14" i="72"/>
  <c r="AZ21" i="72"/>
  <c r="AZ28" i="72"/>
  <c r="BD28" i="72" s="1"/>
  <c r="M32" i="71"/>
  <c r="I36" i="71"/>
  <c r="M40" i="71"/>
  <c r="I42" i="71"/>
  <c r="BF44" i="72"/>
  <c r="AZ6" i="72"/>
  <c r="H14" i="72"/>
  <c r="O15" i="72"/>
  <c r="M15" i="72"/>
  <c r="O18" i="72"/>
  <c r="M18" i="72"/>
  <c r="K18" i="72"/>
  <c r="AS18" i="72" s="1"/>
  <c r="AZ29" i="72"/>
  <c r="BD29" i="72" s="1"/>
  <c r="BC21" i="72"/>
  <c r="BD21" i="72" s="1"/>
  <c r="O22" i="72"/>
  <c r="H6" i="72"/>
  <c r="AS7" i="72"/>
  <c r="BD8" i="72"/>
  <c r="BD16" i="72"/>
  <c r="M22" i="72"/>
  <c r="K22" i="72"/>
  <c r="I22" i="72"/>
  <c r="O30" i="72"/>
  <c r="M30" i="72"/>
  <c r="K30" i="72"/>
  <c r="I30" i="72"/>
  <c r="BH44" i="73"/>
  <c r="AZ6" i="73"/>
  <c r="BD8" i="73"/>
  <c r="M10" i="72"/>
  <c r="O17" i="72"/>
  <c r="I19" i="72"/>
  <c r="M25" i="72"/>
  <c r="K26" i="72"/>
  <c r="I27" i="72"/>
  <c r="O31" i="72"/>
  <c r="M32" i="72"/>
  <c r="M34" i="72"/>
  <c r="K35" i="72"/>
  <c r="I36" i="72"/>
  <c r="O39" i="72"/>
  <c r="M40" i="72"/>
  <c r="K41" i="72"/>
  <c r="O42" i="72"/>
  <c r="M11" i="73"/>
  <c r="K12" i="73"/>
  <c r="AS12" i="73" s="1"/>
  <c r="BD35" i="73"/>
  <c r="O10" i="72"/>
  <c r="K19" i="72"/>
  <c r="O25" i="72"/>
  <c r="M26" i="72"/>
  <c r="K27" i="72"/>
  <c r="O32" i="72"/>
  <c r="O34" i="72"/>
  <c r="M35" i="72"/>
  <c r="K36" i="72"/>
  <c r="M41" i="72"/>
  <c r="K6" i="73"/>
  <c r="I6" i="73"/>
  <c r="D44" i="73"/>
  <c r="D50" i="73" s="1"/>
  <c r="M12" i="73"/>
  <c r="I19" i="73"/>
  <c r="O19" i="73"/>
  <c r="M19" i="73"/>
  <c r="I37" i="72"/>
  <c r="E44" i="73"/>
  <c r="AW44" i="73"/>
  <c r="AZ11" i="73"/>
  <c r="BD11" i="73" s="1"/>
  <c r="O12" i="73"/>
  <c r="O31" i="73"/>
  <c r="M31" i="73"/>
  <c r="K31" i="73"/>
  <c r="I31" i="73"/>
  <c r="O38" i="73"/>
  <c r="AZ42" i="72"/>
  <c r="BD42" i="72" s="1"/>
  <c r="F44" i="73"/>
  <c r="BC6" i="73"/>
  <c r="BC44" i="73" s="1"/>
  <c r="AX44" i="73"/>
  <c r="K38" i="73"/>
  <c r="I38" i="73"/>
  <c r="M37" i="72"/>
  <c r="I38" i="72"/>
  <c r="M6" i="73"/>
  <c r="AY44" i="73"/>
  <c r="K18" i="73"/>
  <c r="H42" i="73"/>
  <c r="F44" i="72"/>
  <c r="K8" i="72"/>
  <c r="I9" i="72"/>
  <c r="I31" i="72"/>
  <c r="K38" i="72"/>
  <c r="I39" i="72"/>
  <c r="K11" i="73"/>
  <c r="I11" i="73"/>
  <c r="O17" i="73"/>
  <c r="M17" i="73"/>
  <c r="K17" i="73"/>
  <c r="I17" i="73"/>
  <c r="O39" i="73"/>
  <c r="M39" i="73"/>
  <c r="K39" i="73"/>
  <c r="I39" i="73"/>
  <c r="BC6" i="72"/>
  <c r="K42" i="72"/>
  <c r="BF44" i="73"/>
  <c r="O9" i="73"/>
  <c r="M9" i="73"/>
  <c r="K9" i="73"/>
  <c r="O18" i="73"/>
  <c r="O26" i="73"/>
  <c r="M27" i="73"/>
  <c r="M36" i="73"/>
  <c r="O41" i="73"/>
  <c r="M42" i="73"/>
  <c r="O27" i="73"/>
  <c r="O36" i="73"/>
  <c r="K37" i="73"/>
  <c r="O42" i="73"/>
  <c r="M8" i="73"/>
  <c r="I25" i="73"/>
  <c r="I32" i="73"/>
  <c r="I34" i="73"/>
  <c r="M38" i="73"/>
  <c r="I40" i="73"/>
  <c r="I18" i="73"/>
  <c r="K25" i="73"/>
  <c r="I26" i="73"/>
  <c r="K32" i="73"/>
  <c r="I33" i="73"/>
  <c r="K34" i="73"/>
  <c r="I35" i="73"/>
  <c r="K40" i="73"/>
  <c r="I41" i="73"/>
  <c r="BD8" i="69"/>
  <c r="BD27" i="69"/>
  <c r="D44" i="69"/>
  <c r="D50" i="69" s="1"/>
  <c r="AY44" i="69"/>
  <c r="K7" i="69"/>
  <c r="I8" i="69"/>
  <c r="F44" i="69"/>
  <c r="AZ6" i="69"/>
  <c r="M7" i="69"/>
  <c r="K8" i="69"/>
  <c r="Y8" i="69" s="1"/>
  <c r="I9" i="69"/>
  <c r="I11" i="69"/>
  <c r="M19" i="69"/>
  <c r="K19" i="69"/>
  <c r="K41" i="70"/>
  <c r="I41" i="70"/>
  <c r="O41" i="70"/>
  <c r="M41" i="70"/>
  <c r="AZ29" i="69"/>
  <c r="BD29" i="69" s="1"/>
  <c r="BC6" i="69"/>
  <c r="BC44" i="69" s="1"/>
  <c r="O7" i="69"/>
  <c r="I10" i="69"/>
  <c r="AZ10" i="69"/>
  <c r="BD10" i="69" s="1"/>
  <c r="I12" i="69"/>
  <c r="I15" i="69"/>
  <c r="M16" i="69"/>
  <c r="M18" i="69"/>
  <c r="I22" i="69"/>
  <c r="O22" i="69"/>
  <c r="K18" i="70"/>
  <c r="I18" i="70"/>
  <c r="M18" i="70"/>
  <c r="O18" i="70"/>
  <c r="M6" i="69"/>
  <c r="M14" i="69"/>
  <c r="I19" i="69"/>
  <c r="K22" i="69"/>
  <c r="O24" i="69"/>
  <c r="AZ37" i="69"/>
  <c r="BD37" i="69" s="1"/>
  <c r="AW44" i="70"/>
  <c r="K33" i="70"/>
  <c r="Y33" i="70" s="1"/>
  <c r="I33" i="70"/>
  <c r="I18" i="69"/>
  <c r="I23" i="69"/>
  <c r="AZ25" i="69"/>
  <c r="BD25" i="69" s="1"/>
  <c r="O28" i="69"/>
  <c r="M28" i="69"/>
  <c r="K28" i="69"/>
  <c r="I28" i="69"/>
  <c r="K30" i="69"/>
  <c r="I30" i="69"/>
  <c r="O30" i="69"/>
  <c r="M30" i="69"/>
  <c r="BC44" i="70"/>
  <c r="AX44" i="70"/>
  <c r="BD8" i="70"/>
  <c r="I12" i="70"/>
  <c r="M12" i="70"/>
  <c r="K12" i="70"/>
  <c r="O12" i="70"/>
  <c r="AX44" i="69"/>
  <c r="K18" i="69"/>
  <c r="K23" i="69"/>
  <c r="AZ23" i="69"/>
  <c r="BD23" i="69" s="1"/>
  <c r="H39" i="69"/>
  <c r="AZ26" i="70"/>
  <c r="BD26" i="70" s="1"/>
  <c r="AZ22" i="69"/>
  <c r="BD22" i="69" s="1"/>
  <c r="O23" i="69"/>
  <c r="I38" i="69"/>
  <c r="M38" i="69"/>
  <c r="K38" i="69"/>
  <c r="AZ6" i="70"/>
  <c r="O29" i="69"/>
  <c r="O37" i="69"/>
  <c r="K11" i="70"/>
  <c r="I11" i="70"/>
  <c r="BD30" i="70"/>
  <c r="BD36" i="70"/>
  <c r="M40" i="70"/>
  <c r="I19" i="70"/>
  <c r="K19" i="70"/>
  <c r="K35" i="70"/>
  <c r="I35" i="70"/>
  <c r="O35" i="70"/>
  <c r="M35" i="70"/>
  <c r="M26" i="69"/>
  <c r="K27" i="69"/>
  <c r="AS27" i="69" s="1"/>
  <c r="K36" i="69"/>
  <c r="M41" i="69"/>
  <c r="M42" i="69"/>
  <c r="AY44" i="70"/>
  <c r="M7" i="70"/>
  <c r="M10" i="70"/>
  <c r="K10" i="70"/>
  <c r="AS10" i="70" s="1"/>
  <c r="M11" i="70"/>
  <c r="M19" i="70"/>
  <c r="K26" i="70"/>
  <c r="I26" i="70"/>
  <c r="O26" i="70"/>
  <c r="M26" i="70"/>
  <c r="M27" i="69"/>
  <c r="I29" i="69"/>
  <c r="M36" i="69"/>
  <c r="I37" i="69"/>
  <c r="I6" i="70"/>
  <c r="D44" i="70"/>
  <c r="D50" i="70" s="1"/>
  <c r="M9" i="70"/>
  <c r="O19" i="70"/>
  <c r="BD31" i="70"/>
  <c r="K29" i="69"/>
  <c r="K37" i="69"/>
  <c r="E44" i="70"/>
  <c r="AZ19" i="70"/>
  <c r="BD19" i="70" s="1"/>
  <c r="BD32" i="70"/>
  <c r="F44" i="70"/>
  <c r="BF44" i="70"/>
  <c r="BD11" i="70"/>
  <c r="AZ25" i="70"/>
  <c r="BD25" i="70" s="1"/>
  <c r="BD35" i="70"/>
  <c r="BD40" i="70"/>
  <c r="H42" i="70"/>
  <c r="O25" i="70"/>
  <c r="K27" i="70"/>
  <c r="H29" i="70"/>
  <c r="O32" i="70"/>
  <c r="O34" i="70"/>
  <c r="K36" i="70"/>
  <c r="H37" i="70"/>
  <c r="O40" i="70"/>
  <c r="K42" i="70"/>
  <c r="M27" i="70"/>
  <c r="M36" i="70"/>
  <c r="M42" i="70"/>
  <c r="I31" i="70"/>
  <c r="K17" i="70"/>
  <c r="I25" i="70"/>
  <c r="K31" i="70"/>
  <c r="I32" i="70"/>
  <c r="I34" i="70"/>
  <c r="M38" i="70"/>
  <c r="K39" i="70"/>
  <c r="I40" i="70"/>
  <c r="M17" i="70"/>
  <c r="K25" i="70"/>
  <c r="M31" i="70"/>
  <c r="K32" i="70"/>
  <c r="K34" i="70"/>
  <c r="M39" i="70"/>
  <c r="K40" i="70"/>
  <c r="O39" i="68"/>
  <c r="M39" i="68"/>
  <c r="K39" i="68"/>
  <c r="I39" i="68"/>
  <c r="AZ6" i="68"/>
  <c r="O10" i="68"/>
  <c r="O17" i="68"/>
  <c r="M17" i="68"/>
  <c r="K17" i="68"/>
  <c r="I17" i="68"/>
  <c r="K19" i="68"/>
  <c r="AZ23" i="68"/>
  <c r="BD23" i="68" s="1"/>
  <c r="AZ34" i="68"/>
  <c r="BD34" i="68" s="1"/>
  <c r="AZ35" i="68"/>
  <c r="BD35" i="68" s="1"/>
  <c r="O38" i="68"/>
  <c r="AX44" i="68"/>
  <c r="AZ7" i="68"/>
  <c r="BD7" i="68" s="1"/>
  <c r="AZ31" i="68"/>
  <c r="BD31" i="68" s="1"/>
  <c r="K38" i="68"/>
  <c r="I38" i="68"/>
  <c r="AY44" i="68"/>
  <c r="AZ26" i="68"/>
  <c r="BD26" i="68" s="1"/>
  <c r="BF44" i="68"/>
  <c r="O9" i="68"/>
  <c r="M9" i="68"/>
  <c r="K9" i="68"/>
  <c r="I12" i="68"/>
  <c r="M12" i="68"/>
  <c r="AZ18" i="68"/>
  <c r="BD18" i="68" s="1"/>
  <c r="I27" i="68"/>
  <c r="M27" i="68"/>
  <c r="AZ33" i="68"/>
  <c r="BD33" i="68" s="1"/>
  <c r="M40" i="68"/>
  <c r="AZ41" i="68"/>
  <c r="BD41" i="68" s="1"/>
  <c r="F44" i="68"/>
  <c r="BC6" i="68"/>
  <c r="K18" i="68"/>
  <c r="I18" i="68"/>
  <c r="O18" i="68"/>
  <c r="K6" i="68"/>
  <c r="D44" i="68"/>
  <c r="D50" i="68" s="1"/>
  <c r="O6" i="68"/>
  <c r="AZ19" i="68"/>
  <c r="BD19" i="68" s="1"/>
  <c r="H23" i="68"/>
  <c r="O31" i="68"/>
  <c r="M31" i="68"/>
  <c r="K31" i="68"/>
  <c r="I31" i="68"/>
  <c r="I19" i="68"/>
  <c r="M19" i="68"/>
  <c r="K35" i="68"/>
  <c r="I35" i="68"/>
  <c r="O35" i="68"/>
  <c r="BD21" i="68"/>
  <c r="AZ11" i="68"/>
  <c r="BD11" i="68" s="1"/>
  <c r="K41" i="68"/>
  <c r="I41" i="68"/>
  <c r="O41" i="68"/>
  <c r="E44" i="68"/>
  <c r="M10" i="68"/>
  <c r="K11" i="68"/>
  <c r="I11" i="68"/>
  <c r="O11" i="68"/>
  <c r="AZ12" i="68"/>
  <c r="BD12" i="68" s="1"/>
  <c r="K26" i="68"/>
  <c r="I26" i="68"/>
  <c r="O26" i="68"/>
  <c r="K33" i="68"/>
  <c r="Y33" i="68" s="1"/>
  <c r="I33" i="68"/>
  <c r="AZ39" i="68"/>
  <c r="BD39" i="68" s="1"/>
  <c r="M36" i="68"/>
  <c r="M42" i="68"/>
  <c r="I10" i="68"/>
  <c r="I25" i="68"/>
  <c r="I32" i="68"/>
  <c r="I34" i="68"/>
  <c r="M38" i="68"/>
  <c r="I40" i="68"/>
  <c r="K25" i="68"/>
  <c r="K32" i="68"/>
  <c r="K34" i="68"/>
  <c r="K40" i="68"/>
  <c r="O6" i="67"/>
  <c r="M6" i="67"/>
  <c r="AZ8" i="67"/>
  <c r="BD8" i="67" s="1"/>
  <c r="AZ38" i="67"/>
  <c r="AZ40" i="67"/>
  <c r="AZ34" i="67"/>
  <c r="BD34" i="67" s="1"/>
  <c r="AZ9" i="67"/>
  <c r="BD9" i="67" s="1"/>
  <c r="AZ16" i="67"/>
  <c r="BD16" i="67" s="1"/>
  <c r="AZ32" i="67"/>
  <c r="BD32" i="67" s="1"/>
  <c r="AZ39" i="67"/>
  <c r="BD39" i="67" s="1"/>
  <c r="AZ23" i="67"/>
  <c r="BD23" i="67" s="1"/>
  <c r="BF44" i="67"/>
  <c r="AZ7" i="67"/>
  <c r="BD7" i="67" s="1"/>
  <c r="O39" i="67"/>
  <c r="M39" i="67"/>
  <c r="K39" i="67"/>
  <c r="I39" i="67"/>
  <c r="BD17" i="67"/>
  <c r="BD30" i="67"/>
  <c r="H27" i="67"/>
  <c r="AS27" i="67"/>
  <c r="O9" i="67"/>
  <c r="M9" i="67"/>
  <c r="K9" i="67"/>
  <c r="I9" i="67"/>
  <c r="O17" i="67"/>
  <c r="M17" i="67"/>
  <c r="K17" i="67"/>
  <c r="I17" i="67"/>
  <c r="K6" i="67"/>
  <c r="I6" i="67"/>
  <c r="D44" i="67"/>
  <c r="D50" i="67" s="1"/>
  <c r="E44" i="67"/>
  <c r="AW44" i="67"/>
  <c r="BC44" i="67"/>
  <c r="AX44" i="67"/>
  <c r="BD38" i="67"/>
  <c r="O31" i="67"/>
  <c r="M31" i="67"/>
  <c r="K31" i="67"/>
  <c r="I31" i="67"/>
  <c r="O38" i="67"/>
  <c r="AY44" i="67"/>
  <c r="BD10" i="67"/>
  <c r="BD13" i="67"/>
  <c r="BD25" i="67"/>
  <c r="K38" i="67"/>
  <c r="I38" i="67"/>
  <c r="BD40" i="67"/>
  <c r="BD11" i="67"/>
  <c r="O11" i="67"/>
  <c r="M12" i="67"/>
  <c r="O18" i="67"/>
  <c r="M19" i="67"/>
  <c r="O26" i="67"/>
  <c r="M27" i="67"/>
  <c r="H30" i="67"/>
  <c r="O35" i="67"/>
  <c r="Y35" i="67" s="1"/>
  <c r="M36" i="67"/>
  <c r="O41" i="67"/>
  <c r="M42" i="67"/>
  <c r="O27" i="67"/>
  <c r="O36" i="67"/>
  <c r="O42" i="67"/>
  <c r="AQ30" i="67"/>
  <c r="M7" i="67"/>
  <c r="AR30" i="67"/>
  <c r="AZ6" i="67"/>
  <c r="M8" i="67"/>
  <c r="I10" i="67"/>
  <c r="I25" i="67"/>
  <c r="I32" i="67"/>
  <c r="I34" i="67"/>
  <c r="M38" i="67"/>
  <c r="I40" i="67"/>
  <c r="F44" i="67"/>
  <c r="K10" i="67"/>
  <c r="I11" i="67"/>
  <c r="I18" i="67"/>
  <c r="K25" i="67"/>
  <c r="I26" i="67"/>
  <c r="K32" i="67"/>
  <c r="I33" i="67"/>
  <c r="K34" i="67"/>
  <c r="I35" i="67"/>
  <c r="K40" i="67"/>
  <c r="I41" i="67"/>
  <c r="H11" i="73" l="1"/>
  <c r="H41" i="73"/>
  <c r="H9" i="73"/>
  <c r="H33" i="73"/>
  <c r="H40" i="73"/>
  <c r="H14" i="73"/>
  <c r="H23" i="73"/>
  <c r="H22" i="73"/>
  <c r="H7" i="73"/>
  <c r="H11" i="71"/>
  <c r="H32" i="71"/>
  <c r="H38" i="71"/>
  <c r="H14" i="71"/>
  <c r="H9" i="71"/>
  <c r="H34" i="71"/>
  <c r="H22" i="71"/>
  <c r="H7" i="71"/>
  <c r="H9" i="70"/>
  <c r="H26" i="70"/>
  <c r="H22" i="70"/>
  <c r="H7" i="70"/>
  <c r="BJ44" i="69"/>
  <c r="BJ44" i="70"/>
  <c r="H9" i="69"/>
  <c r="AS7" i="68"/>
  <c r="H7" i="69"/>
  <c r="BC44" i="68"/>
  <c r="BD6" i="68"/>
  <c r="H12" i="67"/>
  <c r="H9" i="68"/>
  <c r="H7" i="68"/>
  <c r="H9" i="67"/>
  <c r="AS7" i="73"/>
  <c r="H13" i="67"/>
  <c r="H7" i="67"/>
  <c r="H33" i="69"/>
  <c r="AS28" i="73"/>
  <c r="AS34" i="69"/>
  <c r="AQ16" i="68"/>
  <c r="AS23" i="70"/>
  <c r="AS37" i="67"/>
  <c r="AS29" i="67"/>
  <c r="H29" i="71"/>
  <c r="AS28" i="70"/>
  <c r="H13" i="69"/>
  <c r="H33" i="72"/>
  <c r="H36" i="68"/>
  <c r="H34" i="69"/>
  <c r="AS23" i="67"/>
  <c r="AS15" i="68"/>
  <c r="AS13" i="69"/>
  <c r="H31" i="69"/>
  <c r="H21" i="68"/>
  <c r="H28" i="68"/>
  <c r="H13" i="73"/>
  <c r="AS21" i="72"/>
  <c r="H36" i="67"/>
  <c r="H28" i="72"/>
  <c r="AS25" i="69"/>
  <c r="AS29" i="73"/>
  <c r="H37" i="71"/>
  <c r="AS9" i="68"/>
  <c r="H27" i="70"/>
  <c r="H29" i="72"/>
  <c r="AR33" i="69"/>
  <c r="H15" i="73"/>
  <c r="AQ33" i="69"/>
  <c r="H21" i="73"/>
  <c r="H38" i="70"/>
  <c r="H28" i="67"/>
  <c r="AS37" i="73"/>
  <c r="H14" i="69"/>
  <c r="AS12" i="67"/>
  <c r="AS13" i="72"/>
  <c r="AS7" i="69"/>
  <c r="H21" i="71"/>
  <c r="AS13" i="67"/>
  <c r="H13" i="72"/>
  <c r="Y17" i="72"/>
  <c r="AS42" i="67"/>
  <c r="H42" i="67"/>
  <c r="H40" i="69"/>
  <c r="Y27" i="68"/>
  <c r="Y15" i="68"/>
  <c r="Y25" i="67"/>
  <c r="AS28" i="71"/>
  <c r="Y9" i="69"/>
  <c r="Y22" i="67"/>
  <c r="Y15" i="70"/>
  <c r="Y13" i="70"/>
  <c r="H29" i="73"/>
  <c r="AS36" i="67"/>
  <c r="Y9" i="71"/>
  <c r="Y35" i="73"/>
  <c r="H17" i="72"/>
  <c r="AS24" i="70"/>
  <c r="H28" i="71"/>
  <c r="Y6" i="70"/>
  <c r="H24" i="70"/>
  <c r="Y22" i="73"/>
  <c r="Y15" i="73"/>
  <c r="H17" i="70"/>
  <c r="H25" i="69"/>
  <c r="H30" i="73"/>
  <c r="AS37" i="71"/>
  <c r="Y22" i="71"/>
  <c r="Y8" i="71"/>
  <c r="AQ13" i="70"/>
  <c r="Y30" i="70"/>
  <c r="AR23" i="73"/>
  <c r="AS9" i="70"/>
  <c r="AS36" i="68"/>
  <c r="Y19" i="72"/>
  <c r="H23" i="67"/>
  <c r="AS33" i="72"/>
  <c r="Y28" i="67"/>
  <c r="AS13" i="73"/>
  <c r="AQ15" i="73"/>
  <c r="AR34" i="69"/>
  <c r="Y11" i="69"/>
  <c r="AS28" i="68"/>
  <c r="Y23" i="71"/>
  <c r="AQ21" i="67"/>
  <c r="AQ22" i="67"/>
  <c r="Y7" i="68"/>
  <c r="AQ37" i="70"/>
  <c r="AR7" i="68"/>
  <c r="AR16" i="68"/>
  <c r="AS16" i="72"/>
  <c r="AS30" i="73"/>
  <c r="AS42" i="68"/>
  <c r="AQ30" i="70"/>
  <c r="H42" i="68"/>
  <c r="AS21" i="68"/>
  <c r="H15" i="68"/>
  <c r="AR38" i="71"/>
  <c r="Y16" i="68"/>
  <c r="Y7" i="70"/>
  <c r="Y32" i="67"/>
  <c r="AR21" i="67"/>
  <c r="AS21" i="67"/>
  <c r="H21" i="67"/>
  <c r="AQ28" i="70"/>
  <c r="H24" i="69"/>
  <c r="H16" i="67"/>
  <c r="AS16" i="70"/>
  <c r="AS26" i="69"/>
  <c r="AR30" i="73"/>
  <c r="Y13" i="67"/>
  <c r="AR29" i="70"/>
  <c r="H6" i="68"/>
  <c r="Y28" i="70"/>
  <c r="AS24" i="69"/>
  <c r="Y11" i="67"/>
  <c r="AS42" i="72"/>
  <c r="AS29" i="71"/>
  <c r="AR21" i="70"/>
  <c r="Y29" i="72"/>
  <c r="Y24" i="70"/>
  <c r="H19" i="67"/>
  <c r="AS22" i="70"/>
  <c r="Y21" i="70"/>
  <c r="Y42" i="69"/>
  <c r="Y23" i="73"/>
  <c r="H28" i="70"/>
  <c r="Y15" i="71"/>
  <c r="AS22" i="67"/>
  <c r="Y42" i="71"/>
  <c r="AQ7" i="68"/>
  <c r="H30" i="70"/>
  <c r="AR41" i="69"/>
  <c r="AR24" i="69"/>
  <c r="AQ24" i="69"/>
  <c r="Y10" i="69"/>
  <c r="AS42" i="69"/>
  <c r="Y30" i="71"/>
  <c r="AS21" i="71"/>
  <c r="Y16" i="67"/>
  <c r="Y14" i="73"/>
  <c r="AR6" i="68"/>
  <c r="AR16" i="72"/>
  <c r="AR24" i="68"/>
  <c r="Y34" i="68"/>
  <c r="AQ16" i="67"/>
  <c r="AQ13" i="67"/>
  <c r="AR37" i="70"/>
  <c r="AS14" i="69"/>
  <c r="AQ21" i="68"/>
  <c r="AR16" i="67"/>
  <c r="AR13" i="67"/>
  <c r="Y25" i="68"/>
  <c r="Y36" i="68"/>
  <c r="Y37" i="70"/>
  <c r="Y24" i="71"/>
  <c r="Y39" i="69"/>
  <c r="Y12" i="68"/>
  <c r="AR26" i="69"/>
  <c r="AR29" i="73"/>
  <c r="AS21" i="73"/>
  <c r="AQ29" i="73"/>
  <c r="Y32" i="73"/>
  <c r="Y37" i="73"/>
  <c r="Y25" i="73"/>
  <c r="H8" i="73"/>
  <c r="AR15" i="73"/>
  <c r="Y29" i="73"/>
  <c r="Y40" i="73"/>
  <c r="H24" i="73"/>
  <c r="H28" i="73"/>
  <c r="AQ24" i="73"/>
  <c r="AQ30" i="73"/>
  <c r="AS10" i="72"/>
  <c r="H10" i="72"/>
  <c r="Y16" i="72"/>
  <c r="Y36" i="72"/>
  <c r="Y27" i="72"/>
  <c r="AS41" i="72"/>
  <c r="H21" i="72"/>
  <c r="Y42" i="72"/>
  <c r="H41" i="72"/>
  <c r="AR29" i="71"/>
  <c r="AQ28" i="71"/>
  <c r="H39" i="71"/>
  <c r="AS15" i="71"/>
  <c r="Y28" i="71"/>
  <c r="AS7" i="71"/>
  <c r="AQ29" i="71"/>
  <c r="Y13" i="71"/>
  <c r="Y29" i="71"/>
  <c r="AS21" i="70"/>
  <c r="Y14" i="70"/>
  <c r="H21" i="70"/>
  <c r="AQ24" i="70"/>
  <c r="AR24" i="70"/>
  <c r="AR23" i="70"/>
  <c r="Y29" i="70"/>
  <c r="AQ21" i="70"/>
  <c r="Y34" i="69"/>
  <c r="Y17" i="69"/>
  <c r="Y31" i="69"/>
  <c r="AQ17" i="69"/>
  <c r="H32" i="69"/>
  <c r="AS32" i="69"/>
  <c r="H42" i="69"/>
  <c r="Y16" i="69"/>
  <c r="AS31" i="69"/>
  <c r="AR40" i="69"/>
  <c r="Y21" i="69"/>
  <c r="AQ24" i="68"/>
  <c r="H30" i="68"/>
  <c r="AS30" i="68"/>
  <c r="H37" i="67"/>
  <c r="AS19" i="67"/>
  <c r="Y41" i="67"/>
  <c r="AR22" i="67"/>
  <c r="Y12" i="67"/>
  <c r="Y8" i="67"/>
  <c r="H29" i="67"/>
  <c r="AQ29" i="67"/>
  <c r="AS16" i="67"/>
  <c r="AS8" i="67"/>
  <c r="H22" i="67"/>
  <c r="AS22" i="68"/>
  <c r="Y24" i="68"/>
  <c r="Y21" i="68"/>
  <c r="AR15" i="68"/>
  <c r="Y28" i="68"/>
  <c r="Y8" i="68"/>
  <c r="AQ14" i="69"/>
  <c r="Y40" i="69"/>
  <c r="Y35" i="69"/>
  <c r="AQ40" i="69"/>
  <c r="AQ6" i="69"/>
  <c r="AQ34" i="69"/>
  <c r="Y12" i="69"/>
  <c r="Y32" i="69"/>
  <c r="AQ13" i="69"/>
  <c r="AR17" i="69"/>
  <c r="H26" i="69"/>
  <c r="H6" i="69"/>
  <c r="AS30" i="70"/>
  <c r="AQ29" i="70"/>
  <c r="AR30" i="70"/>
  <c r="AR13" i="70"/>
  <c r="AR28" i="70"/>
  <c r="Y22" i="70"/>
  <c r="AS15" i="70"/>
  <c r="Y39" i="71"/>
  <c r="Y36" i="71"/>
  <c r="H17" i="71"/>
  <c r="AQ16" i="72"/>
  <c r="Y31" i="72"/>
  <c r="G50" i="72"/>
  <c r="I50" i="72" s="1"/>
  <c r="AS34" i="72"/>
  <c r="Y37" i="72"/>
  <c r="H34" i="72"/>
  <c r="AS32" i="72"/>
  <c r="AS28" i="72"/>
  <c r="AS17" i="72"/>
  <c r="AR28" i="72"/>
  <c r="H32" i="72"/>
  <c r="AS24" i="72"/>
  <c r="H42" i="72"/>
  <c r="AS8" i="73"/>
  <c r="AR21" i="73"/>
  <c r="AQ16" i="73"/>
  <c r="H27" i="73"/>
  <c r="AS36" i="73"/>
  <c r="Y30" i="73"/>
  <c r="AR16" i="73"/>
  <c r="H36" i="73"/>
  <c r="AR22" i="73"/>
  <c r="Y28" i="73"/>
  <c r="AS16" i="73"/>
  <c r="AS15" i="73"/>
  <c r="AQ22" i="73"/>
  <c r="AQ38" i="70"/>
  <c r="Y42" i="73"/>
  <c r="AR29" i="67"/>
  <c r="AR29" i="72"/>
  <c r="AQ28" i="73"/>
  <c r="Y18" i="71"/>
  <c r="AR17" i="71"/>
  <c r="AR22" i="70"/>
  <c r="H37" i="73"/>
  <c r="AQ8" i="68"/>
  <c r="AR13" i="69"/>
  <c r="AR24" i="73"/>
  <c r="AR28" i="73"/>
  <c r="AS17" i="71"/>
  <c r="AQ17" i="71"/>
  <c r="Y29" i="67"/>
  <c r="H15" i="70"/>
  <c r="AQ29" i="72"/>
  <c r="AR19" i="67"/>
  <c r="AQ28" i="67"/>
  <c r="AR28" i="68"/>
  <c r="AR8" i="68"/>
  <c r="AQ22" i="70"/>
  <c r="AR33" i="72"/>
  <c r="AQ28" i="68"/>
  <c r="AQ15" i="68"/>
  <c r="Y8" i="73"/>
  <c r="AR8" i="72"/>
  <c r="H8" i="67"/>
  <c r="AS29" i="72"/>
  <c r="AS28" i="67"/>
  <c r="AQ21" i="73"/>
  <c r="AQ33" i="72"/>
  <c r="AQ28" i="72"/>
  <c r="Y15" i="69"/>
  <c r="Y28" i="72"/>
  <c r="AR16" i="70"/>
  <c r="AQ32" i="69"/>
  <c r="Y13" i="69"/>
  <c r="AR39" i="70"/>
  <c r="Y21" i="67"/>
  <c r="AQ23" i="70"/>
  <c r="Y8" i="70"/>
  <c r="AR21" i="69"/>
  <c r="AR32" i="69"/>
  <c r="Y10" i="68"/>
  <c r="AR25" i="69"/>
  <c r="AR42" i="70"/>
  <c r="AQ32" i="72"/>
  <c r="AQ8" i="72"/>
  <c r="AQ15" i="67"/>
  <c r="AQ23" i="71"/>
  <c r="Y9" i="72"/>
  <c r="AQ7" i="73"/>
  <c r="AR37" i="67"/>
  <c r="AQ22" i="68"/>
  <c r="AQ15" i="71"/>
  <c r="AQ13" i="73"/>
  <c r="AQ21" i="72"/>
  <c r="H17" i="69"/>
  <c r="Y41" i="73"/>
  <c r="Y6" i="72"/>
  <c r="AR8" i="70"/>
  <c r="Y13" i="72"/>
  <c r="AQ37" i="67"/>
  <c r="AR28" i="67"/>
  <c r="Y34" i="67"/>
  <c r="AR24" i="67"/>
  <c r="AQ27" i="67"/>
  <c r="AR27" i="67"/>
  <c r="H35" i="69"/>
  <c r="AQ36" i="73"/>
  <c r="AR24" i="71"/>
  <c r="Y37" i="68"/>
  <c r="AQ23" i="68"/>
  <c r="AR21" i="72"/>
  <c r="AQ27" i="73"/>
  <c r="Y21" i="72"/>
  <c r="AQ15" i="70"/>
  <c r="AQ27" i="69"/>
  <c r="AQ8" i="70"/>
  <c r="AR13" i="73"/>
  <c r="AQ40" i="72"/>
  <c r="AR22" i="71"/>
  <c r="Y37" i="67"/>
  <c r="AR7" i="73"/>
  <c r="AR24" i="72"/>
  <c r="AR35" i="69"/>
  <c r="H24" i="67"/>
  <c r="Y23" i="69"/>
  <c r="H8" i="70"/>
  <c r="AS35" i="69"/>
  <c r="AR15" i="72"/>
  <c r="AR39" i="71"/>
  <c r="AR39" i="69"/>
  <c r="AQ12" i="67"/>
  <c r="AQ42" i="67"/>
  <c r="Y32" i="68"/>
  <c r="AR27" i="70"/>
  <c r="AS8" i="70"/>
  <c r="Y24" i="69"/>
  <c r="AR27" i="73"/>
  <c r="AQ31" i="69"/>
  <c r="AR30" i="68"/>
  <c r="AS7" i="70"/>
  <c r="AR15" i="71"/>
  <c r="Y7" i="73"/>
  <c r="Y25" i="69"/>
  <c r="AR37" i="68"/>
  <c r="Y42" i="68"/>
  <c r="AS37" i="68"/>
  <c r="AQ9" i="70"/>
  <c r="AS27" i="73"/>
  <c r="Y11" i="73"/>
  <c r="AR14" i="72"/>
  <c r="AQ39" i="71"/>
  <c r="AS24" i="67"/>
  <c r="H22" i="68"/>
  <c r="AQ23" i="73"/>
  <c r="Y13" i="73"/>
  <c r="H39" i="70"/>
  <c r="Y10" i="67"/>
  <c r="Y9" i="68"/>
  <c r="AQ10" i="70"/>
  <c r="AR36" i="69"/>
  <c r="AQ36" i="69"/>
  <c r="AR6" i="69"/>
  <c r="Y38" i="72"/>
  <c r="AQ12" i="73"/>
  <c r="AQ15" i="72"/>
  <c r="AR8" i="71"/>
  <c r="Y23" i="68"/>
  <c r="AR21" i="68"/>
  <c r="AS23" i="73"/>
  <c r="AS24" i="73"/>
  <c r="AS22" i="73"/>
  <c r="AS40" i="69"/>
  <c r="AQ16" i="70"/>
  <c r="Y34" i="73"/>
  <c r="Y26" i="73"/>
  <c r="AS25" i="72"/>
  <c r="Y11" i="71"/>
  <c r="AR14" i="68"/>
  <c r="AR13" i="68"/>
  <c r="Y16" i="70"/>
  <c r="AS21" i="69"/>
  <c r="H21" i="69"/>
  <c r="AQ21" i="69"/>
  <c r="Y24" i="72"/>
  <c r="H16" i="73"/>
  <c r="H36" i="69"/>
  <c r="AQ25" i="69"/>
  <c r="AQ30" i="68"/>
  <c r="AQ36" i="68"/>
  <c r="AQ24" i="72"/>
  <c r="AR36" i="73"/>
  <c r="Y22" i="72"/>
  <c r="H35" i="72"/>
  <c r="H25" i="72"/>
  <c r="H23" i="70"/>
  <c r="Y31" i="71"/>
  <c r="AS17" i="69"/>
  <c r="H15" i="71"/>
  <c r="AS38" i="71"/>
  <c r="AS38" i="70"/>
  <c r="Y16" i="73"/>
  <c r="AS33" i="69"/>
  <c r="AR28" i="71"/>
  <c r="AS41" i="69"/>
  <c r="Y19" i="67"/>
  <c r="AR15" i="67"/>
  <c r="Y26" i="67"/>
  <c r="Y37" i="69"/>
  <c r="AR27" i="69"/>
  <c r="AQ39" i="69"/>
  <c r="Y36" i="73"/>
  <c r="Y7" i="72"/>
  <c r="AQ8" i="71"/>
  <c r="AQ24" i="67"/>
  <c r="AR23" i="71"/>
  <c r="AQ35" i="69"/>
  <c r="AR15" i="70"/>
  <c r="AR36" i="70"/>
  <c r="AS36" i="70"/>
  <c r="AQ41" i="69"/>
  <c r="AR41" i="72"/>
  <c r="AR31" i="69"/>
  <c r="AS39" i="71"/>
  <c r="H16" i="72"/>
  <c r="Y21" i="73"/>
  <c r="H8" i="72"/>
  <c r="H36" i="70"/>
  <c r="AR37" i="73"/>
  <c r="Y19" i="73"/>
  <c r="AR25" i="72"/>
  <c r="AR12" i="73"/>
  <c r="AR26" i="72"/>
  <c r="Y14" i="72"/>
  <c r="Y30" i="68"/>
  <c r="H30" i="71"/>
  <c r="AQ13" i="72"/>
  <c r="H16" i="70"/>
  <c r="Y17" i="68"/>
  <c r="Y17" i="70"/>
  <c r="Y41" i="69"/>
  <c r="H41" i="69"/>
  <c r="AQ7" i="69"/>
  <c r="Y39" i="72"/>
  <c r="AQ25" i="72"/>
  <c r="Y30" i="72"/>
  <c r="Y16" i="71"/>
  <c r="AR12" i="71"/>
  <c r="AQ14" i="72"/>
  <c r="H24" i="72"/>
  <c r="AQ37" i="73"/>
  <c r="Y9" i="73"/>
  <c r="AQ8" i="73"/>
  <c r="AR42" i="73"/>
  <c r="AQ42" i="73"/>
  <c r="Y39" i="73"/>
  <c r="Y27" i="73"/>
  <c r="AR8" i="73"/>
  <c r="AQ14" i="73"/>
  <c r="AR14" i="73"/>
  <c r="O44" i="73"/>
  <c r="Y18" i="73"/>
  <c r="Y38" i="73"/>
  <c r="AS14" i="73"/>
  <c r="AR7" i="72"/>
  <c r="AQ7" i="72"/>
  <c r="Y32" i="72"/>
  <c r="Y18" i="72"/>
  <c r="AQ26" i="72"/>
  <c r="AR42" i="72"/>
  <c r="AQ42" i="72"/>
  <c r="Y35" i="72"/>
  <c r="AR11" i="72"/>
  <c r="AQ11" i="72"/>
  <c r="Y34" i="72"/>
  <c r="AQ34" i="72"/>
  <c r="AQ10" i="72"/>
  <c r="Y23" i="72"/>
  <c r="Y25" i="72"/>
  <c r="AQ35" i="72"/>
  <c r="AR17" i="72"/>
  <c r="Y40" i="72"/>
  <c r="AR40" i="72"/>
  <c r="AR32" i="72"/>
  <c r="K44" i="72"/>
  <c r="AR35" i="72"/>
  <c r="Y15" i="72"/>
  <c r="AR34" i="72"/>
  <c r="AQ17" i="72"/>
  <c r="AR13" i="72"/>
  <c r="AS31" i="71"/>
  <c r="H31" i="71"/>
  <c r="Y32" i="71"/>
  <c r="Y10" i="71"/>
  <c r="AQ12" i="71"/>
  <c r="Y7" i="71"/>
  <c r="AS22" i="71"/>
  <c r="AR31" i="71"/>
  <c r="Y19" i="71"/>
  <c r="AQ30" i="71"/>
  <c r="AR21" i="71"/>
  <c r="AQ31" i="71"/>
  <c r="AR30" i="71"/>
  <c r="AQ37" i="71"/>
  <c r="AQ21" i="71"/>
  <c r="AQ24" i="71"/>
  <c r="AR37" i="71"/>
  <c r="O44" i="71"/>
  <c r="Y14" i="71"/>
  <c r="AQ7" i="71"/>
  <c r="AS30" i="71"/>
  <c r="AR7" i="71"/>
  <c r="AQ22" i="71"/>
  <c r="AS14" i="70"/>
  <c r="H14" i="70"/>
  <c r="AR10" i="70"/>
  <c r="Y35" i="70"/>
  <c r="AQ27" i="70"/>
  <c r="Y11" i="70"/>
  <c r="AQ39" i="70"/>
  <c r="AQ36" i="70"/>
  <c r="AQ42" i="70"/>
  <c r="O44" i="70"/>
  <c r="AQ14" i="70"/>
  <c r="Y23" i="70"/>
  <c r="Y34" i="70"/>
  <c r="Y12" i="70"/>
  <c r="AQ17" i="70"/>
  <c r="AR17" i="70"/>
  <c r="AR14" i="70"/>
  <c r="AR16" i="69"/>
  <c r="O44" i="69"/>
  <c r="Y36" i="69"/>
  <c r="Y29" i="69"/>
  <c r="AQ26" i="69"/>
  <c r="Y22" i="69"/>
  <c r="AR42" i="69"/>
  <c r="AQ16" i="69"/>
  <c r="AQ42" i="69"/>
  <c r="AR23" i="68"/>
  <c r="AR42" i="68"/>
  <c r="AR36" i="68"/>
  <c r="AR22" i="68"/>
  <c r="Y13" i="68"/>
  <c r="AQ13" i="68"/>
  <c r="AQ42" i="68"/>
  <c r="Y14" i="68"/>
  <c r="AS29" i="68"/>
  <c r="AR29" i="68"/>
  <c r="AQ29" i="68"/>
  <c r="H29" i="68"/>
  <c r="Y26" i="68"/>
  <c r="H13" i="68"/>
  <c r="Y22" i="68"/>
  <c r="AQ37" i="68"/>
  <c r="H37" i="68"/>
  <c r="AS13" i="68"/>
  <c r="AQ14" i="68"/>
  <c r="Y39" i="68"/>
  <c r="AS14" i="68"/>
  <c r="H14" i="68"/>
  <c r="Y29" i="68"/>
  <c r="AQ23" i="67"/>
  <c r="AR8" i="67"/>
  <c r="AQ14" i="67"/>
  <c r="AR14" i="67"/>
  <c r="AS15" i="67"/>
  <c r="AS7" i="67"/>
  <c r="Y23" i="67"/>
  <c r="Y14" i="67"/>
  <c r="Y7" i="67"/>
  <c r="Y40" i="67"/>
  <c r="AR23" i="67"/>
  <c r="Y36" i="67"/>
  <c r="Y15" i="67"/>
  <c r="H15" i="67"/>
  <c r="AS14" i="67"/>
  <c r="H14" i="67"/>
  <c r="O44" i="67"/>
  <c r="AR12" i="67"/>
  <c r="Y24" i="67"/>
  <c r="AQ8" i="67"/>
  <c r="Y27" i="67"/>
  <c r="AR42" i="67"/>
  <c r="AR36" i="67"/>
  <c r="Y42" i="67"/>
  <c r="AQ36" i="67"/>
  <c r="Y17" i="67"/>
  <c r="Y6" i="73"/>
  <c r="K44" i="73"/>
  <c r="AQ27" i="71"/>
  <c r="H27" i="71"/>
  <c r="AS27" i="71"/>
  <c r="AR27" i="71"/>
  <c r="AS9" i="73"/>
  <c r="AR9" i="73"/>
  <c r="AQ9" i="73"/>
  <c r="H19" i="73"/>
  <c r="AS19" i="73"/>
  <c r="AR19" i="73"/>
  <c r="AQ19" i="73"/>
  <c r="O44" i="72"/>
  <c r="AR26" i="71"/>
  <c r="AQ26" i="71"/>
  <c r="H26" i="71"/>
  <c r="AS26" i="71"/>
  <c r="Y27" i="71"/>
  <c r="AS33" i="73"/>
  <c r="AR33" i="73"/>
  <c r="AQ33" i="73"/>
  <c r="AR34" i="73"/>
  <c r="AQ34" i="73"/>
  <c r="H34" i="73"/>
  <c r="AS34" i="73"/>
  <c r="BC44" i="72"/>
  <c r="AQ31" i="72"/>
  <c r="H31" i="72"/>
  <c r="AS31" i="72"/>
  <c r="AR31" i="72"/>
  <c r="M44" i="73"/>
  <c r="BA46" i="73"/>
  <c r="BA47" i="73" s="1"/>
  <c r="G50" i="73"/>
  <c r="I50" i="73" s="1"/>
  <c r="AR42" i="71"/>
  <c r="AQ42" i="71"/>
  <c r="H42" i="71"/>
  <c r="AS42" i="71"/>
  <c r="Y40" i="71"/>
  <c r="AS34" i="71"/>
  <c r="AR34" i="71"/>
  <c r="AQ34" i="71"/>
  <c r="Y38" i="71"/>
  <c r="AR18" i="71"/>
  <c r="AS18" i="71"/>
  <c r="H18" i="71"/>
  <c r="AQ18" i="71"/>
  <c r="AR10" i="73"/>
  <c r="AQ10" i="73"/>
  <c r="H10" i="73"/>
  <c r="AS10" i="73"/>
  <c r="Y26" i="71"/>
  <c r="AS16" i="71"/>
  <c r="AR16" i="71"/>
  <c r="AQ16" i="71"/>
  <c r="H16" i="71"/>
  <c r="Y10" i="72"/>
  <c r="AZ44" i="71"/>
  <c r="AZ88" i="71" s="1"/>
  <c r="BD6" i="71"/>
  <c r="AS33" i="71"/>
  <c r="AR33" i="71"/>
  <c r="AQ33" i="71"/>
  <c r="H33" i="71"/>
  <c r="AR32" i="73"/>
  <c r="AQ32" i="73"/>
  <c r="H32" i="73"/>
  <c r="AS32" i="73"/>
  <c r="AS39" i="73"/>
  <c r="AR39" i="73"/>
  <c r="AQ39" i="73"/>
  <c r="H39" i="73"/>
  <c r="AQ11" i="73"/>
  <c r="AS11" i="73"/>
  <c r="AR11" i="73"/>
  <c r="AS22" i="72"/>
  <c r="AR22" i="72"/>
  <c r="AQ22" i="72"/>
  <c r="H22" i="72"/>
  <c r="AS32" i="71"/>
  <c r="AR32" i="71"/>
  <c r="AQ32" i="71"/>
  <c r="AS23" i="72"/>
  <c r="AR23" i="72"/>
  <c r="AQ23" i="72"/>
  <c r="H23" i="72"/>
  <c r="Y10" i="73"/>
  <c r="I44" i="71"/>
  <c r="AR6" i="71"/>
  <c r="AQ6" i="71"/>
  <c r="H6" i="71"/>
  <c r="Y37" i="71"/>
  <c r="AS8" i="71"/>
  <c r="AQ39" i="72"/>
  <c r="H39" i="72"/>
  <c r="AS39" i="72"/>
  <c r="AR39" i="72"/>
  <c r="AS10" i="71"/>
  <c r="AR10" i="71"/>
  <c r="AQ10" i="71"/>
  <c r="H10" i="71"/>
  <c r="AQ26" i="73"/>
  <c r="H26" i="73"/>
  <c r="AS26" i="73"/>
  <c r="AR26" i="73"/>
  <c r="AR38" i="72"/>
  <c r="AQ38" i="72"/>
  <c r="H38" i="72"/>
  <c r="AS38" i="72"/>
  <c r="AS37" i="72"/>
  <c r="AR37" i="72"/>
  <c r="AQ37" i="72"/>
  <c r="H37" i="72"/>
  <c r="Y41" i="72"/>
  <c r="AS27" i="72"/>
  <c r="AR27" i="72"/>
  <c r="AQ27" i="72"/>
  <c r="H27" i="72"/>
  <c r="AZ44" i="73"/>
  <c r="AZ88" i="73" s="1"/>
  <c r="BD6" i="73"/>
  <c r="AQ18" i="72"/>
  <c r="AQ19" i="71"/>
  <c r="H19" i="71"/>
  <c r="AS19" i="71"/>
  <c r="AR19" i="71"/>
  <c r="AS25" i="71"/>
  <c r="AR25" i="71"/>
  <c r="AQ25" i="71"/>
  <c r="H25" i="71"/>
  <c r="AQ38" i="71"/>
  <c r="AS14" i="71"/>
  <c r="AR14" i="71"/>
  <c r="AQ14" i="71"/>
  <c r="AR12" i="72"/>
  <c r="AQ12" i="72"/>
  <c r="H12" i="72"/>
  <c r="AS12" i="72"/>
  <c r="AS13" i="71"/>
  <c r="AR13" i="71"/>
  <c r="AQ13" i="71"/>
  <c r="H13" i="71"/>
  <c r="AR40" i="73"/>
  <c r="AQ40" i="73"/>
  <c r="AS40" i="73"/>
  <c r="M44" i="72"/>
  <c r="AR25" i="73"/>
  <c r="AQ25" i="73"/>
  <c r="H25" i="73"/>
  <c r="AS25" i="73"/>
  <c r="AS17" i="73"/>
  <c r="AR17" i="73"/>
  <c r="AQ17" i="73"/>
  <c r="H17" i="73"/>
  <c r="AQ9" i="72"/>
  <c r="AS9" i="72"/>
  <c r="H9" i="72"/>
  <c r="AR9" i="72"/>
  <c r="Y12" i="73"/>
  <c r="Y26" i="72"/>
  <c r="AR36" i="71"/>
  <c r="AQ36" i="71"/>
  <c r="H36" i="71"/>
  <c r="AS36" i="71"/>
  <c r="Y34" i="71"/>
  <c r="AS26" i="72"/>
  <c r="Y11" i="72"/>
  <c r="AS41" i="71"/>
  <c r="AR41" i="71"/>
  <c r="AQ41" i="71"/>
  <c r="H41" i="71"/>
  <c r="AR18" i="72"/>
  <c r="Y25" i="71"/>
  <c r="AS35" i="71"/>
  <c r="AR35" i="71"/>
  <c r="AQ35" i="71"/>
  <c r="H35" i="71"/>
  <c r="Y12" i="72"/>
  <c r="AS9" i="71"/>
  <c r="AR9" i="71"/>
  <c r="AQ9" i="71"/>
  <c r="AQ35" i="73"/>
  <c r="H35" i="73"/>
  <c r="AS35" i="73"/>
  <c r="AR35" i="73"/>
  <c r="AQ41" i="73"/>
  <c r="AS41" i="73"/>
  <c r="AR41" i="73"/>
  <c r="Y17" i="73"/>
  <c r="AS8" i="72"/>
  <c r="Y8" i="72"/>
  <c r="AS31" i="73"/>
  <c r="AR31" i="73"/>
  <c r="AQ31" i="73"/>
  <c r="H31" i="73"/>
  <c r="AQ6" i="72"/>
  <c r="AZ44" i="72"/>
  <c r="AZ88" i="72" s="1"/>
  <c r="BD6" i="72"/>
  <c r="AR10" i="72"/>
  <c r="AS40" i="71"/>
  <c r="AR40" i="71"/>
  <c r="AQ40" i="71"/>
  <c r="H40" i="71"/>
  <c r="Y41" i="71"/>
  <c r="AR6" i="72"/>
  <c r="Y12" i="71"/>
  <c r="Y35" i="71"/>
  <c r="BA46" i="71"/>
  <c r="BA47" i="71" s="1"/>
  <c r="G50" i="71"/>
  <c r="I50" i="71" s="1"/>
  <c r="AQ18" i="73"/>
  <c r="H18" i="73"/>
  <c r="AS18" i="73"/>
  <c r="AR18" i="73"/>
  <c r="AS38" i="73"/>
  <c r="AR38" i="73"/>
  <c r="AQ38" i="73"/>
  <c r="H38" i="73"/>
  <c r="Y31" i="73"/>
  <c r="AQ6" i="73"/>
  <c r="H6" i="73"/>
  <c r="I44" i="73"/>
  <c r="AR6" i="73"/>
  <c r="AS36" i="72"/>
  <c r="AR36" i="72"/>
  <c r="AQ36" i="72"/>
  <c r="H36" i="72"/>
  <c r="AR19" i="72"/>
  <c r="AQ19" i="72"/>
  <c r="H19" i="72"/>
  <c r="AS19" i="72"/>
  <c r="AS30" i="72"/>
  <c r="AR30" i="72"/>
  <c r="AQ30" i="72"/>
  <c r="H30" i="72"/>
  <c r="I44" i="72"/>
  <c r="AS35" i="72"/>
  <c r="AQ41" i="72"/>
  <c r="M44" i="71"/>
  <c r="Y6" i="71"/>
  <c r="K44" i="71"/>
  <c r="AS11" i="71"/>
  <c r="AR11" i="71"/>
  <c r="AQ11" i="71"/>
  <c r="Y39" i="70"/>
  <c r="AS39" i="70"/>
  <c r="I44" i="70"/>
  <c r="AR6" i="70"/>
  <c r="AQ6" i="70"/>
  <c r="H6" i="70"/>
  <c r="AQ26" i="70"/>
  <c r="AS26" i="70"/>
  <c r="AR26" i="70"/>
  <c r="Y26" i="69"/>
  <c r="AR38" i="70"/>
  <c r="Y42" i="70"/>
  <c r="Y27" i="70"/>
  <c r="AS27" i="70"/>
  <c r="Y38" i="70"/>
  <c r="AR37" i="69"/>
  <c r="AQ37" i="69"/>
  <c r="H37" i="69"/>
  <c r="AS37" i="69"/>
  <c r="Y26" i="70"/>
  <c r="Y27" i="69"/>
  <c r="AR9" i="70"/>
  <c r="Y9" i="70"/>
  <c r="AR14" i="69"/>
  <c r="AQ30" i="69"/>
  <c r="H30" i="69"/>
  <c r="AS30" i="69"/>
  <c r="AR30" i="69"/>
  <c r="H23" i="69"/>
  <c r="AR23" i="69"/>
  <c r="AS23" i="69"/>
  <c r="AQ23" i="69"/>
  <c r="AS10" i="69"/>
  <c r="AQ10" i="69"/>
  <c r="H10" i="69"/>
  <c r="AR10" i="69"/>
  <c r="H8" i="69"/>
  <c r="AS8" i="69"/>
  <c r="AR8" i="69"/>
  <c r="AQ8" i="69"/>
  <c r="AZ44" i="70"/>
  <c r="AZ88" i="70" s="1"/>
  <c r="BD6" i="70"/>
  <c r="H12" i="70"/>
  <c r="AS12" i="70"/>
  <c r="AR12" i="70"/>
  <c r="AQ12" i="70"/>
  <c r="Y30" i="69"/>
  <c r="AR18" i="69"/>
  <c r="AS18" i="69"/>
  <c r="AQ18" i="69"/>
  <c r="H18" i="69"/>
  <c r="AQ18" i="70"/>
  <c r="H18" i="70"/>
  <c r="AR18" i="70"/>
  <c r="AS18" i="70"/>
  <c r="AQ41" i="70"/>
  <c r="H41" i="70"/>
  <c r="AS41" i="70"/>
  <c r="AR41" i="70"/>
  <c r="H11" i="69"/>
  <c r="AS11" i="69"/>
  <c r="AR11" i="69"/>
  <c r="AQ11" i="69"/>
  <c r="Y7" i="69"/>
  <c r="AR7" i="69"/>
  <c r="AR25" i="70"/>
  <c r="AQ25" i="70"/>
  <c r="H25" i="70"/>
  <c r="AS25" i="70"/>
  <c r="Y32" i="70"/>
  <c r="M44" i="70"/>
  <c r="AS28" i="69"/>
  <c r="AR28" i="69"/>
  <c r="AQ28" i="69"/>
  <c r="H28" i="69"/>
  <c r="M44" i="69"/>
  <c r="Y6" i="69"/>
  <c r="Y18" i="70"/>
  <c r="Y41" i="70"/>
  <c r="AR9" i="69"/>
  <c r="AS9" i="69"/>
  <c r="AQ9" i="69"/>
  <c r="Y14" i="69"/>
  <c r="H22" i="69"/>
  <c r="AS22" i="69"/>
  <c r="AQ22" i="69"/>
  <c r="AR22" i="69"/>
  <c r="AS31" i="70"/>
  <c r="AR31" i="70"/>
  <c r="AQ31" i="70"/>
  <c r="H31" i="70"/>
  <c r="AR34" i="70"/>
  <c r="AQ34" i="70"/>
  <c r="H34" i="70"/>
  <c r="AS34" i="70"/>
  <c r="AS17" i="70"/>
  <c r="Y25" i="70"/>
  <c r="Y36" i="70"/>
  <c r="Y19" i="70"/>
  <c r="Y28" i="69"/>
  <c r="AS42" i="70"/>
  <c r="AR15" i="69"/>
  <c r="AQ15" i="69"/>
  <c r="H15" i="69"/>
  <c r="AS15" i="69"/>
  <c r="G50" i="69"/>
  <c r="I50" i="69" s="1"/>
  <c r="BA46" i="69"/>
  <c r="BA47" i="69" s="1"/>
  <c r="AQ11" i="70"/>
  <c r="AS11" i="70"/>
  <c r="AR11" i="70"/>
  <c r="H11" i="70"/>
  <c r="I44" i="69"/>
  <c r="AR29" i="69"/>
  <c r="AQ29" i="69"/>
  <c r="H29" i="69"/>
  <c r="AS29" i="69"/>
  <c r="AR32" i="70"/>
  <c r="AQ32" i="70"/>
  <c r="H32" i="70"/>
  <c r="AS32" i="70"/>
  <c r="Y40" i="70"/>
  <c r="Y31" i="70"/>
  <c r="BA46" i="70"/>
  <c r="BA47" i="70" s="1"/>
  <c r="G50" i="70"/>
  <c r="I50" i="70" s="1"/>
  <c r="Y10" i="70"/>
  <c r="AQ35" i="70"/>
  <c r="H35" i="70"/>
  <c r="AS35" i="70"/>
  <c r="AR35" i="70"/>
  <c r="H19" i="70"/>
  <c r="AQ19" i="70"/>
  <c r="AR19" i="70"/>
  <c r="AS19" i="70"/>
  <c r="Y38" i="69"/>
  <c r="Y18" i="69"/>
  <c r="AS36" i="69"/>
  <c r="AS33" i="70"/>
  <c r="AR33" i="70"/>
  <c r="AQ33" i="70"/>
  <c r="H33" i="70"/>
  <c r="AR7" i="70"/>
  <c r="AZ44" i="69"/>
  <c r="AZ88" i="69" s="1"/>
  <c r="BD6" i="69"/>
  <c r="AQ7" i="70"/>
  <c r="AR40" i="70"/>
  <c r="AQ40" i="70"/>
  <c r="H40" i="70"/>
  <c r="AS40" i="70"/>
  <c r="K44" i="70"/>
  <c r="H38" i="69"/>
  <c r="AR38" i="69"/>
  <c r="AQ38" i="69"/>
  <c r="AS38" i="69"/>
  <c r="AR19" i="69"/>
  <c r="AQ19" i="69"/>
  <c r="H19" i="69"/>
  <c r="AS19" i="69"/>
  <c r="AR12" i="69"/>
  <c r="AS12" i="69"/>
  <c r="H12" i="69"/>
  <c r="AQ12" i="69"/>
  <c r="Y19" i="69"/>
  <c r="K44" i="69"/>
  <c r="AZ44" i="68"/>
  <c r="AZ88" i="68" s="1"/>
  <c r="BA46" i="68"/>
  <c r="BA47" i="68" s="1"/>
  <c r="G50" i="68"/>
  <c r="I50" i="68" s="1"/>
  <c r="AR34" i="68"/>
  <c r="AQ34" i="68"/>
  <c r="H34" i="68"/>
  <c r="AS34" i="68"/>
  <c r="AQ41" i="68"/>
  <c r="H41" i="68"/>
  <c r="AS41" i="68"/>
  <c r="AR41" i="68"/>
  <c r="AQ35" i="68"/>
  <c r="H35" i="68"/>
  <c r="AS35" i="68"/>
  <c r="AR35" i="68"/>
  <c r="Y31" i="68"/>
  <c r="AQ18" i="68"/>
  <c r="H18" i="68"/>
  <c r="AS18" i="68"/>
  <c r="AR18" i="68"/>
  <c r="AQ26" i="68"/>
  <c r="H26" i="68"/>
  <c r="AS26" i="68"/>
  <c r="AR26" i="68"/>
  <c r="AR40" i="68"/>
  <c r="AQ40" i="68"/>
  <c r="H40" i="68"/>
  <c r="AS40" i="68"/>
  <c r="AS31" i="68"/>
  <c r="AR31" i="68"/>
  <c r="AQ31" i="68"/>
  <c r="H31" i="68"/>
  <c r="AS39" i="68"/>
  <c r="AR39" i="68"/>
  <c r="AQ39" i="68"/>
  <c r="H39" i="68"/>
  <c r="AR32" i="68"/>
  <c r="AQ32" i="68"/>
  <c r="H32" i="68"/>
  <c r="AS32" i="68"/>
  <c r="Y41" i="68"/>
  <c r="AQ9" i="68"/>
  <c r="Y35" i="68"/>
  <c r="Y18" i="68"/>
  <c r="AS38" i="68"/>
  <c r="AR38" i="68"/>
  <c r="AQ38" i="68"/>
  <c r="H38" i="68"/>
  <c r="Y40" i="68"/>
  <c r="AR25" i="68"/>
  <c r="AQ25" i="68"/>
  <c r="H25" i="68"/>
  <c r="AS25" i="68"/>
  <c r="AQ11" i="68"/>
  <c r="H11" i="68"/>
  <c r="AS11" i="68"/>
  <c r="AR11" i="68"/>
  <c r="AR9" i="68"/>
  <c r="H27" i="68"/>
  <c r="AR27" i="68"/>
  <c r="AS27" i="68"/>
  <c r="AQ27" i="68"/>
  <c r="Y38" i="68"/>
  <c r="AR10" i="68"/>
  <c r="AQ10" i="68"/>
  <c r="H10" i="68"/>
  <c r="AS10" i="68"/>
  <c r="Y11" i="68"/>
  <c r="M44" i="68"/>
  <c r="H19" i="68"/>
  <c r="AR19" i="68"/>
  <c r="AQ19" i="68"/>
  <c r="AS19" i="68"/>
  <c r="Y19" i="68"/>
  <c r="Y6" i="68"/>
  <c r="K44" i="68"/>
  <c r="H12" i="68"/>
  <c r="AR12" i="68"/>
  <c r="AS12" i="68"/>
  <c r="AQ12" i="68"/>
  <c r="AQ6" i="68"/>
  <c r="AS33" i="68"/>
  <c r="AR33" i="68"/>
  <c r="AQ33" i="68"/>
  <c r="H33" i="68"/>
  <c r="O44" i="68"/>
  <c r="I44" i="68"/>
  <c r="AS17" i="68"/>
  <c r="AR17" i="68"/>
  <c r="AQ17" i="68"/>
  <c r="H17" i="68"/>
  <c r="AS33" i="67"/>
  <c r="AR33" i="67"/>
  <c r="AQ33" i="67"/>
  <c r="H33" i="67"/>
  <c r="AR25" i="67"/>
  <c r="AQ25" i="67"/>
  <c r="H25" i="67"/>
  <c r="AS25" i="67"/>
  <c r="Y18" i="67"/>
  <c r="AS17" i="67"/>
  <c r="AR17" i="67"/>
  <c r="H17" i="67"/>
  <c r="AQ17" i="67"/>
  <c r="AQ11" i="67"/>
  <c r="H11" i="67"/>
  <c r="AS11" i="67"/>
  <c r="AR11" i="67"/>
  <c r="AS31" i="67"/>
  <c r="AR31" i="67"/>
  <c r="AQ31" i="67"/>
  <c r="H31" i="67"/>
  <c r="AQ26" i="67"/>
  <c r="H26" i="67"/>
  <c r="AS26" i="67"/>
  <c r="AR26" i="67"/>
  <c r="Y31" i="67"/>
  <c r="AR40" i="67"/>
  <c r="AQ40" i="67"/>
  <c r="H40" i="67"/>
  <c r="AS40" i="67"/>
  <c r="M44" i="67"/>
  <c r="AQ19" i="67"/>
  <c r="AQ6" i="67"/>
  <c r="H6" i="67"/>
  <c r="I44" i="67"/>
  <c r="AR6" i="67"/>
  <c r="AS39" i="67"/>
  <c r="AR39" i="67"/>
  <c r="AQ39" i="67"/>
  <c r="H39" i="67"/>
  <c r="AZ44" i="67"/>
  <c r="AZ88" i="67" s="1"/>
  <c r="BD6" i="67"/>
  <c r="AS38" i="67"/>
  <c r="AR38" i="67"/>
  <c r="AQ38" i="67"/>
  <c r="H38" i="67"/>
  <c r="AQ7" i="67"/>
  <c r="BA46" i="67"/>
  <c r="BA47" i="67" s="1"/>
  <c r="G50" i="67"/>
  <c r="I50" i="67" s="1"/>
  <c r="Y6" i="67"/>
  <c r="K44" i="67"/>
  <c r="Y39" i="67"/>
  <c r="AQ41" i="67"/>
  <c r="H41" i="67"/>
  <c r="AS41" i="67"/>
  <c r="AR41" i="67"/>
  <c r="AQ18" i="67"/>
  <c r="H18" i="67"/>
  <c r="AS18" i="67"/>
  <c r="AR18" i="67"/>
  <c r="AR34" i="67"/>
  <c r="AQ34" i="67"/>
  <c r="H34" i="67"/>
  <c r="AS34" i="67"/>
  <c r="AR10" i="67"/>
  <c r="AQ10" i="67"/>
  <c r="H10" i="67"/>
  <c r="AS10" i="67"/>
  <c r="Y38" i="67"/>
  <c r="AR7" i="67"/>
  <c r="AS9" i="67"/>
  <c r="AR9" i="67"/>
  <c r="AQ9" i="67"/>
  <c r="AQ35" i="67"/>
  <c r="H35" i="67"/>
  <c r="AS35" i="67"/>
  <c r="AR35" i="67"/>
  <c r="AR32" i="67"/>
  <c r="AQ32" i="67"/>
  <c r="H32" i="67"/>
  <c r="AS32" i="67"/>
  <c r="Y9" i="67"/>
  <c r="BD44" i="71" l="1"/>
  <c r="C50" i="71" s="1"/>
  <c r="E50" i="71" s="1"/>
  <c r="BD44" i="73"/>
  <c r="BD47" i="73" s="1"/>
  <c r="BD44" i="68"/>
  <c r="BD47" i="68" s="1"/>
  <c r="BD44" i="67"/>
  <c r="BD47" i="67" s="1"/>
  <c r="BD44" i="69"/>
  <c r="BD47" i="69" s="1"/>
  <c r="BD44" i="70"/>
  <c r="C50" i="70" s="1"/>
  <c r="E50" i="70" s="1"/>
  <c r="AS44" i="69"/>
  <c r="Y44" i="70"/>
  <c r="AS44" i="70"/>
  <c r="AS44" i="73"/>
  <c r="AS44" i="72"/>
  <c r="Y44" i="72"/>
  <c r="AQ44" i="69"/>
  <c r="AR44" i="69"/>
  <c r="Y44" i="68"/>
  <c r="AS44" i="68"/>
  <c r="AR44" i="68"/>
  <c r="Y44" i="67"/>
  <c r="AS44" i="67"/>
  <c r="AQ44" i="73"/>
  <c r="AQ44" i="71"/>
  <c r="AR44" i="72"/>
  <c r="AR44" i="71"/>
  <c r="BD44" i="72"/>
  <c r="AS44" i="71"/>
  <c r="H44" i="72"/>
  <c r="AQ44" i="72"/>
  <c r="Y44" i="73"/>
  <c r="AR44" i="73"/>
  <c r="Y44" i="71"/>
  <c r="H44" i="73"/>
  <c r="H44" i="71"/>
  <c r="AQ44" i="70"/>
  <c r="H44" i="70"/>
  <c r="AR44" i="70"/>
  <c r="H44" i="69"/>
  <c r="Y44" i="69"/>
  <c r="AQ44" i="68"/>
  <c r="H44" i="68"/>
  <c r="AR44" i="67"/>
  <c r="H44" i="67"/>
  <c r="AQ44" i="67"/>
  <c r="BD47" i="71" l="1"/>
  <c r="C50" i="69"/>
  <c r="E50" i="69" s="1"/>
  <c r="C50" i="73"/>
  <c r="E50" i="73" s="1"/>
  <c r="C50" i="67"/>
  <c r="E50" i="67" s="1"/>
  <c r="BD47" i="70"/>
  <c r="C50" i="68"/>
  <c r="E50" i="68" s="1"/>
  <c r="BD47" i="72"/>
  <c r="C50" i="72"/>
  <c r="E50" i="72" s="1"/>
  <c r="Q41" i="66" l="1"/>
  <c r="R40" i="66"/>
  <c r="Q40" i="66"/>
  <c r="R39" i="66"/>
  <c r="R38" i="66"/>
  <c r="Q38" i="66"/>
  <c r="R37" i="66"/>
  <c r="Q37" i="66"/>
  <c r="Q36" i="66"/>
  <c r="R35" i="66"/>
  <c r="Q34" i="66"/>
  <c r="R33" i="66"/>
  <c r="Q33" i="66"/>
  <c r="Q32" i="66"/>
  <c r="R31" i="66"/>
  <c r="Q31" i="66"/>
  <c r="R30" i="66"/>
  <c r="R29" i="66"/>
  <c r="Q29" i="66"/>
  <c r="R28" i="66"/>
  <c r="Q28" i="66"/>
  <c r="Q27" i="66"/>
  <c r="Q25" i="66"/>
  <c r="R24" i="66"/>
  <c r="R23" i="66"/>
  <c r="Q23" i="66"/>
  <c r="R21" i="66"/>
  <c r="Q21" i="66"/>
  <c r="Q18" i="66"/>
  <c r="R16" i="66"/>
  <c r="Q15" i="66"/>
  <c r="R14" i="66"/>
  <c r="Q14" i="66"/>
  <c r="R13" i="66"/>
  <c r="Q13" i="66"/>
  <c r="Q12" i="66"/>
  <c r="Q11" i="66"/>
  <c r="R10" i="66"/>
  <c r="Q10" i="66"/>
  <c r="Q9" i="66"/>
  <c r="R8" i="66"/>
  <c r="R7" i="66"/>
  <c r="Q7" i="66"/>
  <c r="P6" i="66"/>
  <c r="F42" i="66"/>
  <c r="BC42" i="66" s="1"/>
  <c r="E42" i="66"/>
  <c r="F41" i="66"/>
  <c r="BC41" i="66" s="1"/>
  <c r="E41" i="66"/>
  <c r="F40" i="66"/>
  <c r="BC40" i="66" s="1"/>
  <c r="E40" i="66"/>
  <c r="F39" i="66"/>
  <c r="BC39" i="66" s="1"/>
  <c r="E39" i="66"/>
  <c r="F38" i="66"/>
  <c r="BC38" i="66" s="1"/>
  <c r="E38" i="66"/>
  <c r="F37" i="66"/>
  <c r="BC37" i="66" s="1"/>
  <c r="E37" i="66"/>
  <c r="F36" i="66"/>
  <c r="BC36" i="66" s="1"/>
  <c r="E36" i="66"/>
  <c r="F35" i="66"/>
  <c r="BC35" i="66" s="1"/>
  <c r="E35" i="66"/>
  <c r="F34" i="66"/>
  <c r="BC34" i="66" s="1"/>
  <c r="E34" i="66"/>
  <c r="F33" i="66"/>
  <c r="BC33" i="66" s="1"/>
  <c r="E33" i="66"/>
  <c r="F32" i="66"/>
  <c r="BC32" i="66" s="1"/>
  <c r="E32" i="66"/>
  <c r="F31" i="66"/>
  <c r="BC31" i="66" s="1"/>
  <c r="E31" i="66"/>
  <c r="F30" i="66"/>
  <c r="BC30" i="66" s="1"/>
  <c r="E30" i="66"/>
  <c r="K30" i="66"/>
  <c r="F29" i="66"/>
  <c r="BC29" i="66" s="1"/>
  <c r="E29" i="66"/>
  <c r="F28" i="66"/>
  <c r="BC28" i="66" s="1"/>
  <c r="E28" i="66"/>
  <c r="F27" i="66"/>
  <c r="BC27" i="66" s="1"/>
  <c r="E27" i="66"/>
  <c r="F26" i="66"/>
  <c r="BC26" i="66" s="1"/>
  <c r="E26" i="66"/>
  <c r="F25" i="66"/>
  <c r="BC25" i="66" s="1"/>
  <c r="E25" i="66"/>
  <c r="F24" i="66"/>
  <c r="BC24" i="66" s="1"/>
  <c r="E24" i="66"/>
  <c r="F23" i="66"/>
  <c r="BC23" i="66" s="1"/>
  <c r="E23" i="66"/>
  <c r="F22" i="66"/>
  <c r="BC22" i="66" s="1"/>
  <c r="E22" i="66"/>
  <c r="M22" i="66" s="1"/>
  <c r="F21" i="66"/>
  <c r="BC21" i="66" s="1"/>
  <c r="E21" i="66"/>
  <c r="F19" i="66"/>
  <c r="BC19" i="66" s="1"/>
  <c r="E19" i="66"/>
  <c r="F18" i="66"/>
  <c r="BC18" i="66" s="1"/>
  <c r="E18" i="66"/>
  <c r="F17" i="66"/>
  <c r="BC17" i="66" s="1"/>
  <c r="E17" i="66"/>
  <c r="F16" i="66"/>
  <c r="BC16" i="66" s="1"/>
  <c r="E16" i="66"/>
  <c r="O16" i="66" s="1"/>
  <c r="F15" i="66"/>
  <c r="BC15" i="66" s="1"/>
  <c r="E15" i="66"/>
  <c r="F14" i="66"/>
  <c r="BC14" i="66" s="1"/>
  <c r="E14" i="66"/>
  <c r="F13" i="66"/>
  <c r="BC13" i="66" s="1"/>
  <c r="E13" i="66"/>
  <c r="I13" i="66"/>
  <c r="F12" i="66"/>
  <c r="BC12" i="66" s="1"/>
  <c r="E12" i="66"/>
  <c r="F11" i="66"/>
  <c r="BC11" i="66" s="1"/>
  <c r="E11" i="66"/>
  <c r="F10" i="66"/>
  <c r="BC10" i="66" s="1"/>
  <c r="E10" i="66"/>
  <c r="F9" i="66"/>
  <c r="BC9" i="66" s="1"/>
  <c r="E9" i="66"/>
  <c r="F8" i="66"/>
  <c r="BC8" i="66" s="1"/>
  <c r="E8" i="66"/>
  <c r="F7" i="66"/>
  <c r="BC7" i="66" s="1"/>
  <c r="E7" i="66"/>
  <c r="F6" i="66"/>
  <c r="E6" i="66"/>
  <c r="D6" i="66"/>
  <c r="BQ48" i="66"/>
  <c r="BQ44" i="66"/>
  <c r="BM44" i="66"/>
  <c r="BL44" i="66"/>
  <c r="BK44" i="66"/>
  <c r="BE44" i="66"/>
  <c r="BB44" i="66"/>
  <c r="BA44" i="66"/>
  <c r="H50" i="66" s="1"/>
  <c r="AV44" i="66"/>
  <c r="AU44" i="66"/>
  <c r="AT44" i="66"/>
  <c r="AO44" i="66"/>
  <c r="AN44" i="66"/>
  <c r="AM44" i="66"/>
  <c r="AL44" i="66"/>
  <c r="AK44" i="66"/>
  <c r="AJ44" i="66"/>
  <c r="AI44" i="66"/>
  <c r="AG44" i="66"/>
  <c r="AF44" i="66"/>
  <c r="AE44" i="66"/>
  <c r="AD44" i="66"/>
  <c r="AC44" i="66"/>
  <c r="AA44" i="66"/>
  <c r="Z44" i="66"/>
  <c r="X44" i="66"/>
  <c r="W44" i="66"/>
  <c r="V44" i="66"/>
  <c r="S44" i="66"/>
  <c r="N44" i="66"/>
  <c r="L44" i="66"/>
  <c r="J44" i="66"/>
  <c r="G44" i="66"/>
  <c r="BF42" i="66"/>
  <c r="AY42" i="66"/>
  <c r="AX42" i="66"/>
  <c r="AW42" i="66"/>
  <c r="B42" i="66"/>
  <c r="BF41" i="66"/>
  <c r="AY41" i="66"/>
  <c r="AX41" i="66"/>
  <c r="AW41" i="66"/>
  <c r="B41" i="66"/>
  <c r="BF40" i="66"/>
  <c r="AY40" i="66"/>
  <c r="AX40" i="66"/>
  <c r="AW40" i="66"/>
  <c r="B40" i="66"/>
  <c r="BF39" i="66"/>
  <c r="AY39" i="66"/>
  <c r="AX39" i="66"/>
  <c r="AW39" i="66"/>
  <c r="B39" i="66"/>
  <c r="BF38" i="66"/>
  <c r="AY38" i="66"/>
  <c r="AX38" i="66"/>
  <c r="AW38" i="66"/>
  <c r="B38" i="66"/>
  <c r="BF37" i="66"/>
  <c r="AY37" i="66"/>
  <c r="AX37" i="66"/>
  <c r="AZ37" i="66" s="1"/>
  <c r="AW37" i="66"/>
  <c r="B37" i="66"/>
  <c r="BQ36" i="66"/>
  <c r="BQ37" i="66" s="1"/>
  <c r="BF36" i="66"/>
  <c r="AY36" i="66"/>
  <c r="AX36" i="66"/>
  <c r="AW36" i="66"/>
  <c r="B36" i="66"/>
  <c r="BF35" i="66"/>
  <c r="AY35" i="66"/>
  <c r="AX35" i="66"/>
  <c r="AW35" i="66"/>
  <c r="B35" i="66"/>
  <c r="BF34" i="66"/>
  <c r="AY34" i="66"/>
  <c r="AX34" i="66"/>
  <c r="AW34" i="66"/>
  <c r="B34" i="66"/>
  <c r="BF33" i="66"/>
  <c r="AY33" i="66"/>
  <c r="AX33" i="66"/>
  <c r="AW33" i="66"/>
  <c r="B33" i="66"/>
  <c r="BF32" i="66"/>
  <c r="AY32" i="66"/>
  <c r="AX32" i="66"/>
  <c r="AW32" i="66"/>
  <c r="B32" i="66"/>
  <c r="BF31" i="66"/>
  <c r="AY31" i="66"/>
  <c r="AX31" i="66"/>
  <c r="AW31" i="66"/>
  <c r="AZ31" i="66" s="1"/>
  <c r="B31" i="66"/>
  <c r="BQ30" i="66"/>
  <c r="BF30" i="66"/>
  <c r="AY30" i="66"/>
  <c r="AX30" i="66"/>
  <c r="AW30" i="66"/>
  <c r="B30" i="66"/>
  <c r="BF29" i="66"/>
  <c r="AY29" i="66"/>
  <c r="AX29" i="66"/>
  <c r="AW29" i="66"/>
  <c r="B29" i="66"/>
  <c r="BF28" i="66"/>
  <c r="AY28" i="66"/>
  <c r="AX28" i="66"/>
  <c r="AW28" i="66"/>
  <c r="B28" i="66"/>
  <c r="BF27" i="66"/>
  <c r="AY27" i="66"/>
  <c r="AX27" i="66"/>
  <c r="AW27" i="66"/>
  <c r="B27" i="66"/>
  <c r="BF26" i="66"/>
  <c r="AY26" i="66"/>
  <c r="AX26" i="66"/>
  <c r="AW26" i="66"/>
  <c r="B26" i="66"/>
  <c r="BF25" i="66"/>
  <c r="AY25" i="66"/>
  <c r="AX25" i="66"/>
  <c r="AW25" i="66"/>
  <c r="B25" i="66"/>
  <c r="BQ24" i="66"/>
  <c r="BF24" i="66"/>
  <c r="AY24" i="66"/>
  <c r="AX24" i="66"/>
  <c r="AW24" i="66"/>
  <c r="B24" i="66"/>
  <c r="BF23" i="66"/>
  <c r="AY23" i="66"/>
  <c r="AX23" i="66"/>
  <c r="AW23" i="66"/>
  <c r="B23" i="66"/>
  <c r="BF22" i="66"/>
  <c r="AY22" i="66"/>
  <c r="AX22" i="66"/>
  <c r="AW22" i="66"/>
  <c r="B22" i="66"/>
  <c r="BF21" i="66"/>
  <c r="AY21" i="66"/>
  <c r="AX21" i="66"/>
  <c r="AW21" i="66"/>
  <c r="B21" i="66"/>
  <c r="BF19" i="66"/>
  <c r="AY19" i="66"/>
  <c r="AX19" i="66"/>
  <c r="AW19" i="66"/>
  <c r="B19" i="66"/>
  <c r="BF18" i="66"/>
  <c r="AY18" i="66"/>
  <c r="AX18" i="66"/>
  <c r="AW18" i="66"/>
  <c r="B18" i="66"/>
  <c r="BQ17" i="66"/>
  <c r="BH6" i="66" s="1"/>
  <c r="BF17" i="66"/>
  <c r="AY17" i="66"/>
  <c r="AX17" i="66"/>
  <c r="AW17" i="66"/>
  <c r="B17" i="66"/>
  <c r="BF16" i="66"/>
  <c r="AY16" i="66"/>
  <c r="AX16" i="66"/>
  <c r="AW16" i="66"/>
  <c r="B16" i="66"/>
  <c r="BF15" i="66"/>
  <c r="AY15" i="66"/>
  <c r="AX15" i="66"/>
  <c r="AW15" i="66"/>
  <c r="B15" i="66"/>
  <c r="BF14" i="66"/>
  <c r="AY14" i="66"/>
  <c r="AX14" i="66"/>
  <c r="AW14" i="66"/>
  <c r="B14" i="66"/>
  <c r="BF13" i="66"/>
  <c r="AY13" i="66"/>
  <c r="AX13" i="66"/>
  <c r="AW13" i="66"/>
  <c r="B13" i="66"/>
  <c r="BF12" i="66"/>
  <c r="AY12" i="66"/>
  <c r="AX12" i="66"/>
  <c r="AW12" i="66"/>
  <c r="B12" i="66"/>
  <c r="BF11" i="66"/>
  <c r="AY11" i="66"/>
  <c r="AX11" i="66"/>
  <c r="AW11" i="66"/>
  <c r="B11" i="66"/>
  <c r="BF10" i="66"/>
  <c r="AY10" i="66"/>
  <c r="AX10" i="66"/>
  <c r="AW10" i="66"/>
  <c r="B10" i="66"/>
  <c r="BF9" i="66"/>
  <c r="AY9" i="66"/>
  <c r="AX9" i="66"/>
  <c r="AW9" i="66"/>
  <c r="B9" i="66"/>
  <c r="BF8" i="66"/>
  <c r="AY8" i="66"/>
  <c r="AX8" i="66"/>
  <c r="AW8" i="66"/>
  <c r="B8" i="66"/>
  <c r="BF7" i="66"/>
  <c r="AY7" i="66"/>
  <c r="AX7" i="66"/>
  <c r="AW7" i="66"/>
  <c r="B7" i="66"/>
  <c r="BN6" i="66"/>
  <c r="BI6" i="66"/>
  <c r="BI44" i="66" s="1"/>
  <c r="BF6" i="66"/>
  <c r="AY6" i="66"/>
  <c r="AX6" i="66"/>
  <c r="AW6" i="66"/>
  <c r="B6" i="66"/>
  <c r="Q41" i="65"/>
  <c r="R40" i="65"/>
  <c r="Q40" i="65"/>
  <c r="R39" i="65"/>
  <c r="R38" i="65"/>
  <c r="Q38" i="65"/>
  <c r="R37" i="65"/>
  <c r="Q37" i="65"/>
  <c r="Q36" i="65"/>
  <c r="R35" i="65"/>
  <c r="Q34" i="65"/>
  <c r="R33" i="65"/>
  <c r="Q33" i="65"/>
  <c r="Q32" i="65"/>
  <c r="R31" i="65"/>
  <c r="Q31" i="65"/>
  <c r="R30" i="65"/>
  <c r="R29" i="65"/>
  <c r="Q29" i="65"/>
  <c r="R28" i="65"/>
  <c r="Q28" i="65"/>
  <c r="Q27" i="65"/>
  <c r="Q25" i="65"/>
  <c r="R24" i="65"/>
  <c r="R23" i="65"/>
  <c r="Q23" i="65"/>
  <c r="R21" i="65"/>
  <c r="Q21" i="65"/>
  <c r="Q18" i="65"/>
  <c r="R16" i="65"/>
  <c r="Q15" i="65"/>
  <c r="R14" i="65"/>
  <c r="Q14" i="65"/>
  <c r="R13" i="65"/>
  <c r="Q13" i="65"/>
  <c r="Q12" i="65"/>
  <c r="Q11" i="65"/>
  <c r="R10" i="65"/>
  <c r="Q10" i="65"/>
  <c r="Q9" i="65"/>
  <c r="R8" i="65"/>
  <c r="R7" i="65"/>
  <c r="Q7" i="65"/>
  <c r="P6" i="65"/>
  <c r="F7" i="65"/>
  <c r="BC7" i="65" s="1"/>
  <c r="F8" i="65"/>
  <c r="BC8" i="65" s="1"/>
  <c r="F9" i="65"/>
  <c r="BC9" i="65" s="1"/>
  <c r="F10" i="65"/>
  <c r="BC10" i="65" s="1"/>
  <c r="F11" i="65"/>
  <c r="BC11" i="65" s="1"/>
  <c r="F12" i="65"/>
  <c r="BC12" i="65" s="1"/>
  <c r="F13" i="65"/>
  <c r="BC13" i="65" s="1"/>
  <c r="F14" i="65"/>
  <c r="BC14" i="65" s="1"/>
  <c r="F15" i="65"/>
  <c r="BC15" i="65" s="1"/>
  <c r="F16" i="65"/>
  <c r="BC16" i="65" s="1"/>
  <c r="F17" i="65"/>
  <c r="BC17" i="65" s="1"/>
  <c r="F18" i="65"/>
  <c r="BC18" i="65" s="1"/>
  <c r="F19" i="65"/>
  <c r="BC19" i="65" s="1"/>
  <c r="F21" i="65"/>
  <c r="BC21" i="65" s="1"/>
  <c r="F22" i="65"/>
  <c r="BC22" i="65" s="1"/>
  <c r="F23" i="65"/>
  <c r="BC23" i="65" s="1"/>
  <c r="F24" i="65"/>
  <c r="BC24" i="65" s="1"/>
  <c r="F25" i="65"/>
  <c r="BC25" i="65" s="1"/>
  <c r="F26" i="65"/>
  <c r="BC26" i="65" s="1"/>
  <c r="F27" i="65"/>
  <c r="BC27" i="65" s="1"/>
  <c r="F28" i="65"/>
  <c r="BC28" i="65" s="1"/>
  <c r="F29" i="65"/>
  <c r="BC29" i="65" s="1"/>
  <c r="F30" i="65"/>
  <c r="BC30" i="65" s="1"/>
  <c r="F31" i="65"/>
  <c r="BC31" i="65" s="1"/>
  <c r="F32" i="65"/>
  <c r="BC32" i="65" s="1"/>
  <c r="F33" i="65"/>
  <c r="BC33" i="65" s="1"/>
  <c r="F34" i="65"/>
  <c r="BC34" i="65" s="1"/>
  <c r="F35" i="65"/>
  <c r="BC35" i="65" s="1"/>
  <c r="F36" i="65"/>
  <c r="BC36" i="65" s="1"/>
  <c r="F37" i="65"/>
  <c r="BC37" i="65" s="1"/>
  <c r="F38" i="65"/>
  <c r="BC38" i="65" s="1"/>
  <c r="F39" i="65"/>
  <c r="BC39" i="65" s="1"/>
  <c r="F40" i="65"/>
  <c r="BC40" i="65" s="1"/>
  <c r="F41" i="65"/>
  <c r="BC41" i="65" s="1"/>
  <c r="F42" i="65"/>
  <c r="BC42" i="65" s="1"/>
  <c r="E7" i="65"/>
  <c r="E8" i="65"/>
  <c r="E9" i="65"/>
  <c r="E10" i="65"/>
  <c r="E11" i="65"/>
  <c r="E12" i="65"/>
  <c r="E13" i="65"/>
  <c r="E14" i="65"/>
  <c r="E15" i="65"/>
  <c r="E16" i="65"/>
  <c r="E17" i="65"/>
  <c r="E18" i="65"/>
  <c r="E19" i="65"/>
  <c r="E21" i="65"/>
  <c r="E22" i="65"/>
  <c r="E23" i="65"/>
  <c r="E24" i="65"/>
  <c r="E25" i="65"/>
  <c r="E26" i="65"/>
  <c r="E27" i="65"/>
  <c r="E28" i="65"/>
  <c r="E29" i="65"/>
  <c r="E30" i="65"/>
  <c r="E31" i="65"/>
  <c r="E32" i="65"/>
  <c r="E33" i="65"/>
  <c r="E34" i="65"/>
  <c r="E35" i="65"/>
  <c r="E36" i="65"/>
  <c r="E37" i="65"/>
  <c r="E38" i="65"/>
  <c r="E39" i="65"/>
  <c r="E40" i="65"/>
  <c r="E42" i="65"/>
  <c r="D7" i="65"/>
  <c r="D8" i="65"/>
  <c r="D9" i="65"/>
  <c r="D10" i="65"/>
  <c r="D11" i="65"/>
  <c r="D12" i="65"/>
  <c r="D13" i="65"/>
  <c r="D14" i="65"/>
  <c r="D15" i="65"/>
  <c r="D16" i="65"/>
  <c r="D17" i="65"/>
  <c r="D18" i="65"/>
  <c r="D19" i="65"/>
  <c r="D21" i="65"/>
  <c r="D22" i="65"/>
  <c r="D23" i="65"/>
  <c r="D24" i="65"/>
  <c r="D25" i="65"/>
  <c r="D26" i="65"/>
  <c r="M26" i="65" s="1"/>
  <c r="D27" i="65"/>
  <c r="D28" i="65"/>
  <c r="D29" i="65"/>
  <c r="D30" i="65"/>
  <c r="D31" i="65"/>
  <c r="D32" i="65"/>
  <c r="M32" i="65" s="1"/>
  <c r="D33" i="65"/>
  <c r="D34" i="65"/>
  <c r="D35" i="65"/>
  <c r="M35" i="65" s="1"/>
  <c r="D36" i="65"/>
  <c r="D37" i="65"/>
  <c r="D38" i="65"/>
  <c r="D39" i="65"/>
  <c r="D40" i="65"/>
  <c r="D41" i="65"/>
  <c r="D42" i="65"/>
  <c r="D6" i="65"/>
  <c r="E6" i="65"/>
  <c r="F6" i="65"/>
  <c r="BQ48" i="65"/>
  <c r="BQ44" i="65"/>
  <c r="BM44" i="65"/>
  <c r="BL44" i="65"/>
  <c r="BK44" i="65"/>
  <c r="BE44" i="65"/>
  <c r="BB44" i="65"/>
  <c r="BA44" i="65"/>
  <c r="H50" i="65" s="1"/>
  <c r="AV44" i="65"/>
  <c r="AU44" i="65"/>
  <c r="AT44" i="65"/>
  <c r="AO44" i="65"/>
  <c r="AM44" i="65"/>
  <c r="AL44" i="65"/>
  <c r="AJ44" i="65"/>
  <c r="AI44" i="65"/>
  <c r="AG44" i="65"/>
  <c r="AF44" i="65"/>
  <c r="AE44" i="65"/>
  <c r="AD44" i="65"/>
  <c r="AC44" i="65"/>
  <c r="AA44" i="65"/>
  <c r="Z44" i="65"/>
  <c r="X44" i="65"/>
  <c r="W44" i="65"/>
  <c r="V44" i="65"/>
  <c r="S44" i="65"/>
  <c r="N44" i="65"/>
  <c r="L44" i="65"/>
  <c r="J44" i="65"/>
  <c r="G44" i="65"/>
  <c r="BF42" i="65"/>
  <c r="AY42" i="65"/>
  <c r="AX42" i="65"/>
  <c r="AW42" i="65"/>
  <c r="B42" i="65"/>
  <c r="BF41" i="65"/>
  <c r="AY41" i="65"/>
  <c r="AX41" i="65"/>
  <c r="AW41" i="65"/>
  <c r="B41" i="65"/>
  <c r="BF40" i="65"/>
  <c r="AY40" i="65"/>
  <c r="AX40" i="65"/>
  <c r="AW40" i="65"/>
  <c r="B40" i="65"/>
  <c r="BF39" i="65"/>
  <c r="AY39" i="65"/>
  <c r="AX39" i="65"/>
  <c r="AW39" i="65"/>
  <c r="B39" i="65"/>
  <c r="BF38" i="65"/>
  <c r="AY38" i="65"/>
  <c r="AX38" i="65"/>
  <c r="AW38" i="65"/>
  <c r="B38" i="65"/>
  <c r="BF37" i="65"/>
  <c r="AY37" i="65"/>
  <c r="AX37" i="65"/>
  <c r="AW37" i="65"/>
  <c r="B37" i="65"/>
  <c r="BQ36" i="65"/>
  <c r="BQ37" i="65" s="1"/>
  <c r="BF36" i="65"/>
  <c r="AY36" i="65"/>
  <c r="AX36" i="65"/>
  <c r="AW36" i="65"/>
  <c r="B36" i="65"/>
  <c r="BF35" i="65"/>
  <c r="AY35" i="65"/>
  <c r="AX35" i="65"/>
  <c r="AW35" i="65"/>
  <c r="B35" i="65"/>
  <c r="BF34" i="65"/>
  <c r="AY34" i="65"/>
  <c r="AX34" i="65"/>
  <c r="AW34" i="65"/>
  <c r="B34" i="65"/>
  <c r="BF33" i="65"/>
  <c r="AY33" i="65"/>
  <c r="AX33" i="65"/>
  <c r="AW33" i="65"/>
  <c r="B33" i="65"/>
  <c r="BF32" i="65"/>
  <c r="AY32" i="65"/>
  <c r="AX32" i="65"/>
  <c r="AW32" i="65"/>
  <c r="B32" i="65"/>
  <c r="BF31" i="65"/>
  <c r="AY31" i="65"/>
  <c r="AX31" i="65"/>
  <c r="AW31" i="65"/>
  <c r="B31" i="65"/>
  <c r="BQ30" i="65"/>
  <c r="BI6" i="65" s="1"/>
  <c r="BI44" i="65" s="1"/>
  <c r="BF30" i="65"/>
  <c r="AY30" i="65"/>
  <c r="AX30" i="65"/>
  <c r="AW30" i="65"/>
  <c r="B30" i="65"/>
  <c r="BF29" i="65"/>
  <c r="AY29" i="65"/>
  <c r="AX29" i="65"/>
  <c r="AW29" i="65"/>
  <c r="B29" i="65"/>
  <c r="BF28" i="65"/>
  <c r="AY28" i="65"/>
  <c r="AX28" i="65"/>
  <c r="AW28" i="65"/>
  <c r="B28" i="65"/>
  <c r="BF27" i="65"/>
  <c r="AY27" i="65"/>
  <c r="AX27" i="65"/>
  <c r="AW27" i="65"/>
  <c r="B27" i="65"/>
  <c r="BF26" i="65"/>
  <c r="AY26" i="65"/>
  <c r="AX26" i="65"/>
  <c r="AW26" i="65"/>
  <c r="B26" i="65"/>
  <c r="BF25" i="65"/>
  <c r="AY25" i="65"/>
  <c r="AX25" i="65"/>
  <c r="AW25" i="65"/>
  <c r="B25" i="65"/>
  <c r="BQ24" i="65"/>
  <c r="BN6" i="65" s="1"/>
  <c r="BF24" i="65"/>
  <c r="AY24" i="65"/>
  <c r="AX24" i="65"/>
  <c r="AW24" i="65"/>
  <c r="B24" i="65"/>
  <c r="BF23" i="65"/>
  <c r="AY23" i="65"/>
  <c r="AX23" i="65"/>
  <c r="AW23" i="65"/>
  <c r="B23" i="65"/>
  <c r="BF22" i="65"/>
  <c r="AY22" i="65"/>
  <c r="AX22" i="65"/>
  <c r="AW22" i="65"/>
  <c r="B22" i="65"/>
  <c r="BF21" i="65"/>
  <c r="AY21" i="65"/>
  <c r="AX21" i="65"/>
  <c r="AW21" i="65"/>
  <c r="B21" i="65"/>
  <c r="BF19" i="65"/>
  <c r="AY19" i="65"/>
  <c r="AX19" i="65"/>
  <c r="AW19" i="65"/>
  <c r="B19" i="65"/>
  <c r="BF18" i="65"/>
  <c r="AY18" i="65"/>
  <c r="AX18" i="65"/>
  <c r="AW18" i="65"/>
  <c r="B18" i="65"/>
  <c r="BQ17" i="65"/>
  <c r="BH6" i="65" s="1"/>
  <c r="BF17" i="65"/>
  <c r="AY17" i="65"/>
  <c r="AX17" i="65"/>
  <c r="AW17" i="65"/>
  <c r="B17" i="65"/>
  <c r="AY16" i="65"/>
  <c r="AX16" i="65"/>
  <c r="AW16" i="65"/>
  <c r="B16" i="65"/>
  <c r="BF15" i="65"/>
  <c r="AY15" i="65"/>
  <c r="AX15" i="65"/>
  <c r="AW15" i="65"/>
  <c r="B15" i="65"/>
  <c r="BF14" i="65"/>
  <c r="AY14" i="65"/>
  <c r="AX14" i="65"/>
  <c r="AW14" i="65"/>
  <c r="B14" i="65"/>
  <c r="BF13" i="65"/>
  <c r="AY13" i="65"/>
  <c r="AX13" i="65"/>
  <c r="AW13" i="65"/>
  <c r="B13" i="65"/>
  <c r="BF12" i="65"/>
  <c r="AY12" i="65"/>
  <c r="AX12" i="65"/>
  <c r="AW12" i="65"/>
  <c r="B12" i="65"/>
  <c r="BF11" i="65"/>
  <c r="AY11" i="65"/>
  <c r="AX11" i="65"/>
  <c r="AW11" i="65"/>
  <c r="AK44" i="65"/>
  <c r="B11" i="65"/>
  <c r="BF10" i="65"/>
  <c r="AY10" i="65"/>
  <c r="AX10" i="65"/>
  <c r="AW10" i="65"/>
  <c r="B10" i="65"/>
  <c r="BF9" i="65"/>
  <c r="AY9" i="65"/>
  <c r="AX9" i="65"/>
  <c r="AW9" i="65"/>
  <c r="AN44" i="65"/>
  <c r="B9" i="65"/>
  <c r="BF8" i="65"/>
  <c r="AY8" i="65"/>
  <c r="AX8" i="65"/>
  <c r="AW8" i="65"/>
  <c r="B8" i="65"/>
  <c r="BF7" i="65"/>
  <c r="AY7" i="65"/>
  <c r="AX7" i="65"/>
  <c r="AW7" i="65"/>
  <c r="B7" i="65"/>
  <c r="BJ6" i="65"/>
  <c r="BJ44" i="65" s="1"/>
  <c r="BF6" i="65"/>
  <c r="AY6" i="65"/>
  <c r="AX6" i="65"/>
  <c r="AW6" i="65"/>
  <c r="B6" i="65"/>
  <c r="AZ29" i="66" l="1"/>
  <c r="AZ30" i="65"/>
  <c r="AZ7" i="66"/>
  <c r="BD7" i="66" s="1"/>
  <c r="AZ22" i="66"/>
  <c r="AZ13" i="66"/>
  <c r="BD13" i="66" s="1"/>
  <c r="BH44" i="65"/>
  <c r="AZ9" i="65"/>
  <c r="O38" i="66"/>
  <c r="M13" i="66"/>
  <c r="I19" i="66"/>
  <c r="O23" i="66"/>
  <c r="O28" i="66"/>
  <c r="I7" i="66"/>
  <c r="K15" i="66"/>
  <c r="O24" i="66"/>
  <c r="O32" i="66"/>
  <c r="O40" i="66"/>
  <c r="AZ40" i="66"/>
  <c r="AZ27" i="65"/>
  <c r="AZ41" i="65"/>
  <c r="AZ12" i="66"/>
  <c r="AZ15" i="66"/>
  <c r="I23" i="66"/>
  <c r="AZ32" i="66"/>
  <c r="BD32" i="66" s="1"/>
  <c r="M34" i="66"/>
  <c r="I42" i="66"/>
  <c r="AZ21" i="66"/>
  <c r="AZ38" i="66"/>
  <c r="AZ8" i="66"/>
  <c r="AZ17" i="66"/>
  <c r="BD17" i="66" s="1"/>
  <c r="AZ19" i="66"/>
  <c r="AZ24" i="66"/>
  <c r="BD24" i="66" s="1"/>
  <c r="AZ28" i="66"/>
  <c r="BD28" i="66" s="1"/>
  <c r="AZ36" i="66"/>
  <c r="BD36" i="66" s="1"/>
  <c r="AZ21" i="65"/>
  <c r="AZ39" i="65"/>
  <c r="AZ11" i="66"/>
  <c r="AZ18" i="66"/>
  <c r="BD18" i="66" s="1"/>
  <c r="AZ23" i="66"/>
  <c r="BD23" i="66" s="1"/>
  <c r="AZ27" i="66"/>
  <c r="BD27" i="66" s="1"/>
  <c r="K27" i="66"/>
  <c r="BD40" i="66"/>
  <c r="AZ15" i="65"/>
  <c r="AZ14" i="66"/>
  <c r="AZ35" i="66"/>
  <c r="AZ42" i="66"/>
  <c r="O25" i="66"/>
  <c r="AZ42" i="65"/>
  <c r="BD42" i="65" s="1"/>
  <c r="AZ16" i="66"/>
  <c r="BD16" i="66" s="1"/>
  <c r="AZ25" i="66"/>
  <c r="BD21" i="65"/>
  <c r="AZ19" i="65"/>
  <c r="BD19" i="65" s="1"/>
  <c r="O13" i="66"/>
  <c r="BD15" i="66"/>
  <c r="K19" i="66"/>
  <c r="BD37" i="66"/>
  <c r="I30" i="66"/>
  <c r="M15" i="66"/>
  <c r="K22" i="66"/>
  <c r="I12" i="66"/>
  <c r="O21" i="66"/>
  <c r="M29" i="66"/>
  <c r="K37" i="66"/>
  <c r="BD8" i="66"/>
  <c r="BD12" i="66"/>
  <c r="BD29" i="66"/>
  <c r="M18" i="66"/>
  <c r="BD21" i="66"/>
  <c r="BD22" i="66"/>
  <c r="I29" i="66"/>
  <c r="BD42" i="66"/>
  <c r="O29" i="66"/>
  <c r="M11" i="66"/>
  <c r="M21" i="66"/>
  <c r="BD14" i="66"/>
  <c r="I21" i="66"/>
  <c r="BD31" i="66"/>
  <c r="O14" i="66"/>
  <c r="M23" i="66"/>
  <c r="O15" i="66"/>
  <c r="BD38" i="66"/>
  <c r="K33" i="65"/>
  <c r="Y33" i="65" s="1"/>
  <c r="BD39" i="65"/>
  <c r="I36" i="65"/>
  <c r="M28" i="65"/>
  <c r="K19" i="65"/>
  <c r="K11" i="65"/>
  <c r="K27" i="65"/>
  <c r="O18" i="65"/>
  <c r="O16" i="65"/>
  <c r="M8" i="65"/>
  <c r="BD30" i="65"/>
  <c r="I22" i="65"/>
  <c r="K13" i="65"/>
  <c r="O26" i="65"/>
  <c r="O17" i="65"/>
  <c r="K9" i="65"/>
  <c r="O13" i="65"/>
  <c r="M22" i="65"/>
  <c r="I16" i="65"/>
  <c r="K16" i="65"/>
  <c r="O8" i="65"/>
  <c r="M16" i="65"/>
  <c r="K8" i="65"/>
  <c r="I13" i="65"/>
  <c r="I17" i="65"/>
  <c r="K17" i="65"/>
  <c r="I8" i="65"/>
  <c r="K22" i="65"/>
  <c r="BD41" i="65"/>
  <c r="I24" i="65"/>
  <c r="K15" i="65"/>
  <c r="I9" i="65"/>
  <c r="BD15" i="65"/>
  <c r="O34" i="65"/>
  <c r="O9" i="65"/>
  <c r="M34" i="65"/>
  <c r="BD27" i="65"/>
  <c r="I15" i="65"/>
  <c r="K7" i="65"/>
  <c r="K35" i="65"/>
  <c r="M18" i="65"/>
  <c r="M10" i="65"/>
  <c r="BD9" i="65"/>
  <c r="O24" i="65"/>
  <c r="M9" i="65"/>
  <c r="O11" i="65"/>
  <c r="O38" i="65"/>
  <c r="K30" i="65"/>
  <c r="AZ9" i="66"/>
  <c r="BD9" i="66" s="1"/>
  <c r="AZ34" i="66"/>
  <c r="BF44" i="66"/>
  <c r="AZ30" i="66"/>
  <c r="AZ29" i="65"/>
  <c r="BD29" i="65" s="1"/>
  <c r="AZ38" i="65"/>
  <c r="BD38" i="65" s="1"/>
  <c r="AZ23" i="65"/>
  <c r="AZ37" i="65"/>
  <c r="BD37" i="65" s="1"/>
  <c r="AZ40" i="65"/>
  <c r="BD40" i="65" s="1"/>
  <c r="AZ6" i="65"/>
  <c r="M7" i="66"/>
  <c r="K23" i="66"/>
  <c r="O7" i="66"/>
  <c r="K14" i="66"/>
  <c r="I15" i="66"/>
  <c r="M14" i="66"/>
  <c r="M15" i="65"/>
  <c r="K24" i="65"/>
  <c r="M27" i="65"/>
  <c r="M19" i="65"/>
  <c r="O10" i="66"/>
  <c r="K13" i="66"/>
  <c r="I14" i="66"/>
  <c r="O19" i="66"/>
  <c r="O22" i="66"/>
  <c r="M30" i="66"/>
  <c r="I10" i="65"/>
  <c r="O15" i="65"/>
  <c r="M24" i="65"/>
  <c r="I27" i="66"/>
  <c r="K10" i="65"/>
  <c r="K12" i="66"/>
  <c r="M25" i="66"/>
  <c r="I28" i="66"/>
  <c r="I36" i="66"/>
  <c r="O37" i="66"/>
  <c r="O32" i="65"/>
  <c r="O12" i="66"/>
  <c r="K28" i="66"/>
  <c r="M7" i="65"/>
  <c r="O10" i="65"/>
  <c r="F44" i="66"/>
  <c r="M28" i="66"/>
  <c r="O30" i="66"/>
  <c r="O34" i="66"/>
  <c r="K42" i="66"/>
  <c r="K37" i="65"/>
  <c r="O29" i="65"/>
  <c r="I21" i="65"/>
  <c r="M12" i="65"/>
  <c r="K7" i="66"/>
  <c r="K21" i="66"/>
  <c r="I22" i="66"/>
  <c r="O27" i="66"/>
  <c r="K29" i="66"/>
  <c r="M32" i="66"/>
  <c r="K36" i="66"/>
  <c r="O42" i="66"/>
  <c r="O36" i="66"/>
  <c r="I37" i="66"/>
  <c r="M41" i="66"/>
  <c r="O6" i="66"/>
  <c r="K8" i="66"/>
  <c r="I8" i="66"/>
  <c r="K33" i="66"/>
  <c r="Y33" i="66" s="1"/>
  <c r="I33" i="66"/>
  <c r="E44" i="66"/>
  <c r="AW44" i="66"/>
  <c r="M10" i="66"/>
  <c r="AZ10" i="66"/>
  <c r="BD10" i="66" s="1"/>
  <c r="K26" i="66"/>
  <c r="I26" i="66"/>
  <c r="O26" i="66"/>
  <c r="K35" i="66"/>
  <c r="I35" i="66"/>
  <c r="O35" i="66"/>
  <c r="O39" i="66"/>
  <c r="M39" i="66"/>
  <c r="K39" i="66"/>
  <c r="I39" i="66"/>
  <c r="O17" i="66"/>
  <c r="M17" i="66"/>
  <c r="K17" i="66"/>
  <c r="I17" i="66"/>
  <c r="I16" i="66"/>
  <c r="M16" i="66"/>
  <c r="K16" i="66"/>
  <c r="K24" i="66"/>
  <c r="I24" i="66"/>
  <c r="M26" i="66"/>
  <c r="AZ26" i="66"/>
  <c r="M35" i="66"/>
  <c r="K38" i="66"/>
  <c r="I38" i="66"/>
  <c r="K6" i="66"/>
  <c r="I6" i="66"/>
  <c r="D44" i="66"/>
  <c r="D50" i="66" s="1"/>
  <c r="AX44" i="66"/>
  <c r="O9" i="66"/>
  <c r="I9" i="66"/>
  <c r="M9" i="66"/>
  <c r="K9" i="66"/>
  <c r="M40" i="66"/>
  <c r="AZ41" i="66"/>
  <c r="BD41" i="66" s="1"/>
  <c r="K41" i="66"/>
  <c r="I41" i="66"/>
  <c r="O41" i="66"/>
  <c r="M6" i="66"/>
  <c r="AY44" i="66"/>
  <c r="K11" i="66"/>
  <c r="I11" i="66"/>
  <c r="O11" i="66"/>
  <c r="AZ33" i="66"/>
  <c r="BD33" i="66" s="1"/>
  <c r="BH44" i="66"/>
  <c r="K18" i="66"/>
  <c r="I18" i="66"/>
  <c r="O18" i="66"/>
  <c r="BJ6" i="66"/>
  <c r="BJ44" i="66" s="1"/>
  <c r="O8" i="66"/>
  <c r="H13" i="66"/>
  <c r="O31" i="66"/>
  <c r="M31" i="66"/>
  <c r="K31" i="66"/>
  <c r="I31" i="66"/>
  <c r="AZ39" i="66"/>
  <c r="BD39" i="66" s="1"/>
  <c r="M12" i="66"/>
  <c r="M19" i="66"/>
  <c r="M27" i="66"/>
  <c r="M36" i="66"/>
  <c r="M42" i="66"/>
  <c r="M37" i="66"/>
  <c r="BC6" i="66"/>
  <c r="BC44" i="66" s="1"/>
  <c r="M8" i="66"/>
  <c r="I10" i="66"/>
  <c r="M24" i="66"/>
  <c r="I25" i="66"/>
  <c r="I32" i="66"/>
  <c r="I34" i="66"/>
  <c r="M38" i="66"/>
  <c r="I40" i="66"/>
  <c r="K10" i="66"/>
  <c r="K25" i="66"/>
  <c r="K32" i="66"/>
  <c r="K34" i="66"/>
  <c r="K40" i="66"/>
  <c r="AZ16" i="65"/>
  <c r="BD16" i="65" s="1"/>
  <c r="AZ32" i="65"/>
  <c r="BD32" i="65" s="1"/>
  <c r="AZ33" i="65"/>
  <c r="BD33" i="65" s="1"/>
  <c r="AZ35" i="65"/>
  <c r="BD35" i="65" s="1"/>
  <c r="AZ8" i="65"/>
  <c r="BD8" i="65" s="1"/>
  <c r="AZ12" i="65"/>
  <c r="BD12" i="65" s="1"/>
  <c r="AZ17" i="65"/>
  <c r="AZ36" i="65"/>
  <c r="BD36" i="65" s="1"/>
  <c r="AX44" i="65"/>
  <c r="AZ24" i="65"/>
  <c r="BD24" i="65" s="1"/>
  <c r="AZ25" i="65"/>
  <c r="BD25" i="65" s="1"/>
  <c r="AY44" i="65"/>
  <c r="AZ34" i="65"/>
  <c r="BD34" i="65" s="1"/>
  <c r="AZ7" i="65"/>
  <c r="AZ10" i="65"/>
  <c r="AZ13" i="65"/>
  <c r="BD13" i="65" s="1"/>
  <c r="AZ28" i="65"/>
  <c r="BD28" i="65" s="1"/>
  <c r="AZ11" i="65"/>
  <c r="BD11" i="65" s="1"/>
  <c r="AZ14" i="65"/>
  <c r="BD14" i="65" s="1"/>
  <c r="AZ18" i="65"/>
  <c r="AZ22" i="65"/>
  <c r="BD22" i="65" s="1"/>
  <c r="AZ26" i="65"/>
  <c r="BD26" i="65" s="1"/>
  <c r="AZ31" i="65"/>
  <c r="K42" i="65"/>
  <c r="K41" i="65"/>
  <c r="O40" i="65"/>
  <c r="O39" i="65"/>
  <c r="K23" i="65"/>
  <c r="I14" i="65"/>
  <c r="M6" i="65"/>
  <c r="M30" i="65"/>
  <c r="K38" i="65"/>
  <c r="M11" i="65"/>
  <c r="O22" i="65"/>
  <c r="K36" i="65"/>
  <c r="O30" i="65"/>
  <c r="I30" i="65"/>
  <c r="M41" i="65"/>
  <c r="K14" i="65"/>
  <c r="O14" i="65"/>
  <c r="M23" i="65"/>
  <c r="M14" i="65"/>
  <c r="O23" i="65"/>
  <c r="M40" i="65"/>
  <c r="I42" i="65"/>
  <c r="M37" i="65"/>
  <c r="K21" i="65"/>
  <c r="O37" i="65"/>
  <c r="I28" i="65"/>
  <c r="K12" i="65"/>
  <c r="K28" i="65"/>
  <c r="I29" i="65"/>
  <c r="K29" i="65"/>
  <c r="I11" i="65"/>
  <c r="I23" i="65"/>
  <c r="O28" i="65"/>
  <c r="M29" i="65"/>
  <c r="I37" i="65"/>
  <c r="O6" i="65"/>
  <c r="I6" i="65"/>
  <c r="K6" i="65"/>
  <c r="F44" i="65"/>
  <c r="BC6" i="65"/>
  <c r="BC44" i="65" s="1"/>
  <c r="AW44" i="65"/>
  <c r="O31" i="65"/>
  <c r="M31" i="65"/>
  <c r="K31" i="65"/>
  <c r="I31" i="65"/>
  <c r="O25" i="65"/>
  <c r="M25" i="65"/>
  <c r="K25" i="65"/>
  <c r="I25" i="65"/>
  <c r="D44" i="65"/>
  <c r="D50" i="65" s="1"/>
  <c r="BF44" i="65"/>
  <c r="E44" i="65"/>
  <c r="O7" i="65"/>
  <c r="O12" i="65"/>
  <c r="M13" i="65"/>
  <c r="O19" i="65"/>
  <c r="M21" i="65"/>
  <c r="O27" i="65"/>
  <c r="O35" i="65"/>
  <c r="M36" i="65"/>
  <c r="O41" i="65"/>
  <c r="M42" i="65"/>
  <c r="O21" i="65"/>
  <c r="O36" i="65"/>
  <c r="O42" i="65"/>
  <c r="I38" i="65"/>
  <c r="I39" i="65"/>
  <c r="M17" i="65"/>
  <c r="I18" i="65"/>
  <c r="I26" i="65"/>
  <c r="I32" i="65"/>
  <c r="I34" i="65"/>
  <c r="M38" i="65"/>
  <c r="K39" i="65"/>
  <c r="I40" i="65"/>
  <c r="I7" i="65"/>
  <c r="I12" i="65"/>
  <c r="K18" i="65"/>
  <c r="I19" i="65"/>
  <c r="K26" i="65"/>
  <c r="I27" i="65"/>
  <c r="K32" i="65"/>
  <c r="I33" i="65"/>
  <c r="K34" i="65"/>
  <c r="I35" i="65"/>
  <c r="M39" i="65"/>
  <c r="K40" i="65"/>
  <c r="I41" i="65"/>
  <c r="AR8" i="66" l="1"/>
  <c r="AR9" i="66"/>
  <c r="H7" i="66"/>
  <c r="AR7" i="66"/>
  <c r="H9" i="65"/>
  <c r="Y26" i="65"/>
  <c r="AS7" i="66"/>
  <c r="BD19" i="66"/>
  <c r="BD11" i="66"/>
  <c r="BD25" i="66"/>
  <c r="BD34" i="66"/>
  <c r="AS21" i="66"/>
  <c r="BD26" i="66"/>
  <c r="BD35" i="66"/>
  <c r="BD30" i="66"/>
  <c r="AS30" i="66"/>
  <c r="BD10" i="65"/>
  <c r="BD18" i="65"/>
  <c r="BD23" i="65"/>
  <c r="BD31" i="65"/>
  <c r="BD17" i="65"/>
  <c r="AS19" i="66"/>
  <c r="H19" i="66"/>
  <c r="H30" i="66"/>
  <c r="H42" i="66"/>
  <c r="Y13" i="66"/>
  <c r="AS42" i="66"/>
  <c r="AS13" i="66"/>
  <c r="H21" i="66"/>
  <c r="H15" i="66"/>
  <c r="AS36" i="65"/>
  <c r="H12" i="66"/>
  <c r="AS23" i="66"/>
  <c r="AS12" i="66"/>
  <c r="H36" i="65"/>
  <c r="H8" i="65"/>
  <c r="AS15" i="65"/>
  <c r="H22" i="65"/>
  <c r="H17" i="65"/>
  <c r="H13" i="65"/>
  <c r="H23" i="66"/>
  <c r="Y22" i="66"/>
  <c r="Y21" i="66"/>
  <c r="Y7" i="66"/>
  <c r="AQ7" i="66"/>
  <c r="AQ30" i="66"/>
  <c r="Y27" i="66"/>
  <c r="AQ15" i="66"/>
  <c r="AQ21" i="66"/>
  <c r="Y29" i="66"/>
  <c r="AR42" i="66"/>
  <c r="Y31" i="66"/>
  <c r="AQ28" i="66"/>
  <c r="AR30" i="66"/>
  <c r="AR22" i="66"/>
  <c r="H28" i="66"/>
  <c r="AR15" i="66"/>
  <c r="AR28" i="66"/>
  <c r="AQ27" i="66"/>
  <c r="AR14" i="66"/>
  <c r="Y25" i="66"/>
  <c r="Y36" i="66"/>
  <c r="AS15" i="66"/>
  <c r="AS28" i="66"/>
  <c r="AS29" i="66"/>
  <c r="H29" i="66"/>
  <c r="Y15" i="66"/>
  <c r="Y14" i="66"/>
  <c r="Y23" i="66"/>
  <c r="Y41" i="66"/>
  <c r="Y16" i="65"/>
  <c r="AS22" i="65"/>
  <c r="AQ8" i="65"/>
  <c r="Y35" i="65"/>
  <c r="H24" i="65"/>
  <c r="AS21" i="65"/>
  <c r="AR16" i="65"/>
  <c r="AS8" i="65"/>
  <c r="AS24" i="65"/>
  <c r="Y8" i="65"/>
  <c r="Y32" i="65"/>
  <c r="AQ9" i="65"/>
  <c r="AQ13" i="65"/>
  <c r="AR9" i="65"/>
  <c r="Y34" i="65"/>
  <c r="AS13" i="65"/>
  <c r="Y27" i="65"/>
  <c r="H16" i="65"/>
  <c r="Y17" i="65"/>
  <c r="AR8" i="65"/>
  <c r="Y11" i="65"/>
  <c r="AS16" i="65"/>
  <c r="AR22" i="65"/>
  <c r="AQ16" i="65"/>
  <c r="Y9" i="65"/>
  <c r="AS9" i="65"/>
  <c r="AR10" i="65"/>
  <c r="Y19" i="65"/>
  <c r="AQ10" i="65"/>
  <c r="Y15" i="65"/>
  <c r="AS10" i="65"/>
  <c r="AS17" i="65"/>
  <c r="H27" i="65"/>
  <c r="Y10" i="65"/>
  <c r="H41" i="65"/>
  <c r="AQ15" i="65"/>
  <c r="AR24" i="65"/>
  <c r="H15" i="65"/>
  <c r="H40" i="65"/>
  <c r="H6" i="65"/>
  <c r="H19" i="65"/>
  <c r="H34" i="65"/>
  <c r="H25" i="65"/>
  <c r="H37" i="65"/>
  <c r="AR15" i="65"/>
  <c r="H32" i="65"/>
  <c r="H29" i="65"/>
  <c r="H10" i="65"/>
  <c r="H7" i="65"/>
  <c r="H31" i="65"/>
  <c r="H39" i="65"/>
  <c r="H35" i="65"/>
  <c r="H12" i="65"/>
  <c r="H26" i="65"/>
  <c r="H21" i="65"/>
  <c r="H33" i="65"/>
  <c r="H38" i="65"/>
  <c r="Y18" i="65"/>
  <c r="H18" i="65"/>
  <c r="AZ44" i="65"/>
  <c r="AZ88" i="65" s="1"/>
  <c r="BD7" i="65"/>
  <c r="AQ12" i="66"/>
  <c r="Y34" i="66"/>
  <c r="H27" i="66"/>
  <c r="AR13" i="66"/>
  <c r="AQ23" i="66"/>
  <c r="AQ29" i="66"/>
  <c r="Y40" i="66"/>
  <c r="Y32" i="66"/>
  <c r="AQ37" i="66"/>
  <c r="AQ13" i="66"/>
  <c r="AR23" i="66"/>
  <c r="AR19" i="66"/>
  <c r="AR29" i="66"/>
  <c r="AR21" i="66"/>
  <c r="Y30" i="66"/>
  <c r="O44" i="66"/>
  <c r="AS22" i="66"/>
  <c r="AQ22" i="66"/>
  <c r="H22" i="66"/>
  <c r="AS36" i="66"/>
  <c r="AQ24" i="65"/>
  <c r="Y24" i="65"/>
  <c r="AR36" i="66"/>
  <c r="AR27" i="66"/>
  <c r="Y19" i="66"/>
  <c r="AR12" i="66"/>
  <c r="H23" i="65"/>
  <c r="H36" i="66"/>
  <c r="Y28" i="66"/>
  <c r="AQ11" i="65"/>
  <c r="H11" i="65"/>
  <c r="AS28" i="65"/>
  <c r="H28" i="65"/>
  <c r="AQ19" i="66"/>
  <c r="AS42" i="65"/>
  <c r="H42" i="65"/>
  <c r="AS27" i="66"/>
  <c r="AS30" i="65"/>
  <c r="H30" i="65"/>
  <c r="AS14" i="65"/>
  <c r="H14" i="65"/>
  <c r="Y16" i="66"/>
  <c r="AS37" i="66"/>
  <c r="H37" i="66"/>
  <c r="AS14" i="66"/>
  <c r="AQ14" i="66"/>
  <c r="H14" i="66"/>
  <c r="Y11" i="66"/>
  <c r="Y9" i="66"/>
  <c r="AR10" i="66"/>
  <c r="AQ10" i="66"/>
  <c r="H10" i="66"/>
  <c r="AS10" i="66"/>
  <c r="M44" i="66"/>
  <c r="AS39" i="66"/>
  <c r="AR39" i="66"/>
  <c r="AQ39" i="66"/>
  <c r="H39" i="66"/>
  <c r="AS33" i="66"/>
  <c r="AR33" i="66"/>
  <c r="AQ33" i="66"/>
  <c r="H33" i="66"/>
  <c r="Y10" i="66"/>
  <c r="AQ36" i="66"/>
  <c r="Y12" i="66"/>
  <c r="AZ6" i="66"/>
  <c r="AQ11" i="66"/>
  <c r="H11" i="66"/>
  <c r="AS11" i="66"/>
  <c r="AR11" i="66"/>
  <c r="Y39" i="66"/>
  <c r="AR40" i="66"/>
  <c r="AQ40" i="66"/>
  <c r="H40" i="66"/>
  <c r="AS40" i="66"/>
  <c r="AQ6" i="66"/>
  <c r="H6" i="66"/>
  <c r="AR6" i="66"/>
  <c r="I44" i="66"/>
  <c r="AS17" i="66"/>
  <c r="H17" i="66"/>
  <c r="AR17" i="66"/>
  <c r="AQ17" i="66"/>
  <c r="Y8" i="66"/>
  <c r="AR34" i="66"/>
  <c r="AQ34" i="66"/>
  <c r="H34" i="66"/>
  <c r="AS34" i="66"/>
  <c r="AS31" i="66"/>
  <c r="AR31" i="66"/>
  <c r="AQ31" i="66"/>
  <c r="H31" i="66"/>
  <c r="Y6" i="66"/>
  <c r="K44" i="66"/>
  <c r="Y17" i="66"/>
  <c r="BA46" i="66"/>
  <c r="BA47" i="66" s="1"/>
  <c r="G50" i="66"/>
  <c r="I50" i="66" s="1"/>
  <c r="AQ41" i="66"/>
  <c r="H41" i="66"/>
  <c r="AS41" i="66"/>
  <c r="AR41" i="66"/>
  <c r="Y42" i="66"/>
  <c r="AR32" i="66"/>
  <c r="AQ32" i="66"/>
  <c r="H32" i="66"/>
  <c r="AS32" i="66"/>
  <c r="AS9" i="66"/>
  <c r="H9" i="66"/>
  <c r="AQ9" i="66"/>
  <c r="AS38" i="66"/>
  <c r="AR38" i="66"/>
  <c r="AQ38" i="66"/>
  <c r="H38" i="66"/>
  <c r="AS24" i="66"/>
  <c r="AR24" i="66"/>
  <c r="AQ24" i="66"/>
  <c r="H24" i="66"/>
  <c r="AS16" i="66"/>
  <c r="AR16" i="66"/>
  <c r="AQ16" i="66"/>
  <c r="H16" i="66"/>
  <c r="AQ35" i="66"/>
  <c r="H35" i="66"/>
  <c r="AS35" i="66"/>
  <c r="AR35" i="66"/>
  <c r="AQ26" i="66"/>
  <c r="H26" i="66"/>
  <c r="AS26" i="66"/>
  <c r="AR26" i="66"/>
  <c r="AQ42" i="66"/>
  <c r="AS8" i="66"/>
  <c r="AQ8" i="66"/>
  <c r="H8" i="66"/>
  <c r="AR25" i="66"/>
  <c r="AQ25" i="66"/>
  <c r="H25" i="66"/>
  <c r="AS25" i="66"/>
  <c r="AQ18" i="66"/>
  <c r="H18" i="66"/>
  <c r="AS18" i="66"/>
  <c r="AR18" i="66"/>
  <c r="Y37" i="66"/>
  <c r="Y38" i="66"/>
  <c r="Y24" i="66"/>
  <c r="Y35" i="66"/>
  <c r="Y26" i="66"/>
  <c r="AR37" i="66"/>
  <c r="Y18" i="66"/>
  <c r="Y22" i="65"/>
  <c r="Y38" i="65"/>
  <c r="AQ22" i="65"/>
  <c r="Y23" i="65"/>
  <c r="Y41" i="65"/>
  <c r="AR37" i="65"/>
  <c r="AQ30" i="65"/>
  <c r="AQ14" i="65"/>
  <c r="Y6" i="65"/>
  <c r="AR30" i="65"/>
  <c r="Y30" i="65"/>
  <c r="Y12" i="65"/>
  <c r="AR6" i="65"/>
  <c r="AQ42" i="65"/>
  <c r="AQ6" i="65"/>
  <c r="AR42" i="65"/>
  <c r="AQ17" i="65"/>
  <c r="AQ36" i="65"/>
  <c r="Y37" i="65"/>
  <c r="Y14" i="65"/>
  <c r="AR17" i="65"/>
  <c r="AQ37" i="65"/>
  <c r="Y28" i="65"/>
  <c r="AR14" i="65"/>
  <c r="Y36" i="65"/>
  <c r="Y40" i="65"/>
  <c r="M44" i="65"/>
  <c r="AR36" i="65"/>
  <c r="AS29" i="65"/>
  <c r="AR29" i="65"/>
  <c r="AQ29" i="65"/>
  <c r="O44" i="65"/>
  <c r="AR11" i="65"/>
  <c r="AS11" i="65"/>
  <c r="AR13" i="65"/>
  <c r="AS23" i="65"/>
  <c r="AQ23" i="65"/>
  <c r="AR23" i="65"/>
  <c r="Y21" i="65"/>
  <c r="AQ28" i="65"/>
  <c r="Y29" i="65"/>
  <c r="Y42" i="65"/>
  <c r="AQ21" i="65"/>
  <c r="AR28" i="65"/>
  <c r="AR21" i="65"/>
  <c r="AS37" i="65"/>
  <c r="Y39" i="65"/>
  <c r="AS27" i="65"/>
  <c r="AR27" i="65"/>
  <c r="AQ27" i="65"/>
  <c r="AQ7" i="65"/>
  <c r="AS7" i="65"/>
  <c r="I44" i="65"/>
  <c r="AR7" i="65"/>
  <c r="AR26" i="65"/>
  <c r="AQ26" i="65"/>
  <c r="AS26" i="65"/>
  <c r="AQ19" i="65"/>
  <c r="AS19" i="65"/>
  <c r="AR19" i="65"/>
  <c r="AQ41" i="65"/>
  <c r="AR41" i="65"/>
  <c r="AS41" i="65"/>
  <c r="AR18" i="65"/>
  <c r="AQ18" i="65"/>
  <c r="AS18" i="65"/>
  <c r="AQ35" i="65"/>
  <c r="AR35" i="65"/>
  <c r="AS35" i="65"/>
  <c r="AQ12" i="65"/>
  <c r="AS12" i="65"/>
  <c r="AR12" i="65"/>
  <c r="AR34" i="65"/>
  <c r="AQ34" i="65"/>
  <c r="AS34" i="65"/>
  <c r="BD6" i="65"/>
  <c r="K44" i="65"/>
  <c r="AS39" i="65"/>
  <c r="AR39" i="65"/>
  <c r="AQ39" i="65"/>
  <c r="AS38" i="65"/>
  <c r="AR38" i="65"/>
  <c r="AQ38" i="65"/>
  <c r="AR32" i="65"/>
  <c r="AQ32" i="65"/>
  <c r="AS32" i="65"/>
  <c r="BA46" i="65"/>
  <c r="BA47" i="65" s="1"/>
  <c r="G50" i="65"/>
  <c r="I50" i="65" s="1"/>
  <c r="Y7" i="65"/>
  <c r="Y13" i="65"/>
  <c r="AS25" i="65"/>
  <c r="AR25" i="65"/>
  <c r="AQ25" i="65"/>
  <c r="AS31" i="65"/>
  <c r="AR31" i="65"/>
  <c r="AQ31" i="65"/>
  <c r="AR40" i="65"/>
  <c r="AQ40" i="65"/>
  <c r="AS40" i="65"/>
  <c r="AS33" i="65"/>
  <c r="AR33" i="65"/>
  <c r="AQ33" i="65"/>
  <c r="Y25" i="65"/>
  <c r="Y31" i="65"/>
  <c r="BD44" i="65" l="1"/>
  <c r="BD47" i="65" s="1"/>
  <c r="AS44" i="66"/>
  <c r="Y44" i="66"/>
  <c r="AR44" i="66"/>
  <c r="AZ44" i="66"/>
  <c r="AZ88" i="66" s="1"/>
  <c r="BD6" i="66"/>
  <c r="H44" i="66"/>
  <c r="AQ44" i="66"/>
  <c r="AR44" i="65"/>
  <c r="AQ44" i="65"/>
  <c r="H44" i="65"/>
  <c r="Y44" i="65"/>
  <c r="AS44" i="65"/>
  <c r="BD44" i="66" l="1"/>
  <c r="C50" i="66" s="1"/>
  <c r="E50" i="66" s="1"/>
  <c r="C50" i="65"/>
  <c r="E50" i="65" s="1"/>
  <c r="BD47" i="66" l="1"/>
  <c r="AJ17" i="62" l="1"/>
  <c r="AJ17" i="75" s="1"/>
  <c r="AJ44" i="75" s="1"/>
  <c r="D42" i="62"/>
  <c r="AN9" i="62"/>
  <c r="D19" i="62"/>
  <c r="D11" i="62"/>
  <c r="D25" i="62" l="1"/>
  <c r="D40" i="62"/>
  <c r="F42" i="62"/>
  <c r="E42" i="62"/>
  <c r="F41" i="62"/>
  <c r="E41" i="62"/>
  <c r="D41" i="62"/>
  <c r="F40" i="62"/>
  <c r="E40" i="62"/>
  <c r="F39" i="62"/>
  <c r="E39" i="62"/>
  <c r="D39" i="62"/>
  <c r="F38" i="62"/>
  <c r="E38" i="62"/>
  <c r="D38" i="62"/>
  <c r="F37" i="62"/>
  <c r="E37" i="62"/>
  <c r="D37" i="62"/>
  <c r="F36" i="62"/>
  <c r="E36" i="62"/>
  <c r="D36" i="62"/>
  <c r="F35" i="62"/>
  <c r="E35" i="62"/>
  <c r="D35" i="62"/>
  <c r="F34" i="62"/>
  <c r="E34" i="62"/>
  <c r="D34" i="62"/>
  <c r="F33" i="62"/>
  <c r="E33" i="62"/>
  <c r="D33" i="62"/>
  <c r="F32" i="62"/>
  <c r="E32" i="62"/>
  <c r="D32" i="62"/>
  <c r="F31" i="62"/>
  <c r="E31" i="62"/>
  <c r="D31" i="62"/>
  <c r="F30" i="62"/>
  <c r="E30" i="62"/>
  <c r="D30" i="62"/>
  <c r="F29" i="62"/>
  <c r="E29" i="62"/>
  <c r="D29" i="62"/>
  <c r="F28" i="62"/>
  <c r="E28" i="62"/>
  <c r="D28" i="62"/>
  <c r="F27" i="62"/>
  <c r="E27" i="62"/>
  <c r="D27" i="62"/>
  <c r="F26" i="62"/>
  <c r="E26" i="62"/>
  <c r="D26" i="62"/>
  <c r="F25" i="62"/>
  <c r="E25" i="62"/>
  <c r="F24" i="62"/>
  <c r="E24" i="62"/>
  <c r="D24" i="62"/>
  <c r="F23" i="62"/>
  <c r="E23" i="62"/>
  <c r="D23" i="62"/>
  <c r="F22" i="62"/>
  <c r="E22" i="62"/>
  <c r="D22" i="62"/>
  <c r="F21" i="62"/>
  <c r="E21" i="62"/>
  <c r="D21" i="62"/>
  <c r="F19" i="62"/>
  <c r="E19" i="62"/>
  <c r="F18" i="62"/>
  <c r="E18" i="62"/>
  <c r="D18" i="62"/>
  <c r="F17" i="62"/>
  <c r="E17" i="62"/>
  <c r="D17" i="62"/>
  <c r="F16" i="62"/>
  <c r="E16" i="62"/>
  <c r="D16" i="62"/>
  <c r="F15" i="62"/>
  <c r="E15" i="62"/>
  <c r="D15" i="62"/>
  <c r="F14" i="62"/>
  <c r="E14" i="62"/>
  <c r="D14" i="62"/>
  <c r="F13" i="62"/>
  <c r="E13" i="62"/>
  <c r="D13" i="62"/>
  <c r="F12" i="62"/>
  <c r="E12" i="62"/>
  <c r="D12" i="62"/>
  <c r="F11" i="62"/>
  <c r="E11" i="62"/>
  <c r="F10" i="62"/>
  <c r="E10" i="62"/>
  <c r="D10" i="62"/>
  <c r="F9" i="62"/>
  <c r="E9" i="62"/>
  <c r="D9" i="62"/>
  <c r="F8" i="62"/>
  <c r="E8" i="62"/>
  <c r="D8" i="62"/>
  <c r="F7" i="62"/>
  <c r="E7" i="62"/>
  <c r="D7" i="62"/>
  <c r="F6" i="62"/>
  <c r="E6" i="62"/>
  <c r="D6" i="62"/>
  <c r="F42" i="61"/>
  <c r="E42" i="61"/>
  <c r="D42" i="61"/>
  <c r="F41" i="61"/>
  <c r="E41" i="61"/>
  <c r="D41" i="61"/>
  <c r="F40" i="61"/>
  <c r="E40" i="61"/>
  <c r="D40" i="61"/>
  <c r="F39" i="61"/>
  <c r="E39" i="61"/>
  <c r="D39" i="61"/>
  <c r="F38" i="61"/>
  <c r="E38" i="61"/>
  <c r="D38" i="61"/>
  <c r="F37" i="61"/>
  <c r="E37" i="61"/>
  <c r="D37" i="61"/>
  <c r="F36" i="61"/>
  <c r="E36" i="61"/>
  <c r="D36" i="61"/>
  <c r="F35" i="61"/>
  <c r="E35" i="61"/>
  <c r="D35" i="61"/>
  <c r="F34" i="61"/>
  <c r="E34" i="61"/>
  <c r="D34" i="61"/>
  <c r="F33" i="61"/>
  <c r="E33" i="61"/>
  <c r="D33" i="61"/>
  <c r="F32" i="61"/>
  <c r="E32" i="61"/>
  <c r="D32" i="61"/>
  <c r="F31" i="61"/>
  <c r="E31" i="61"/>
  <c r="D31" i="61"/>
  <c r="F30" i="61"/>
  <c r="E30" i="61"/>
  <c r="D30" i="61"/>
  <c r="F29" i="61"/>
  <c r="E29" i="61"/>
  <c r="D29" i="61"/>
  <c r="F28" i="61"/>
  <c r="E28" i="61"/>
  <c r="D28" i="61"/>
  <c r="F27" i="61"/>
  <c r="E27" i="61"/>
  <c r="D27" i="61"/>
  <c r="F26" i="61"/>
  <c r="E26" i="61"/>
  <c r="D26" i="61"/>
  <c r="F25" i="61"/>
  <c r="E25" i="61"/>
  <c r="D25" i="61"/>
  <c r="F24" i="61"/>
  <c r="E24" i="61"/>
  <c r="D24" i="61"/>
  <c r="F23" i="61"/>
  <c r="E23" i="61"/>
  <c r="D23" i="61"/>
  <c r="F22" i="61"/>
  <c r="E22" i="61"/>
  <c r="D22" i="61"/>
  <c r="F21" i="61"/>
  <c r="E21" i="61"/>
  <c r="D21" i="61"/>
  <c r="F19" i="61"/>
  <c r="E19" i="61"/>
  <c r="D19" i="61"/>
  <c r="F18" i="61"/>
  <c r="E18" i="61"/>
  <c r="D18" i="61"/>
  <c r="F17" i="61"/>
  <c r="E17" i="61"/>
  <c r="D17" i="61"/>
  <c r="F16" i="61"/>
  <c r="E16" i="61"/>
  <c r="D16" i="61"/>
  <c r="F15" i="61"/>
  <c r="E15" i="61"/>
  <c r="D15" i="61"/>
  <c r="F14" i="61"/>
  <c r="E14" i="61"/>
  <c r="D14" i="61"/>
  <c r="F13" i="61"/>
  <c r="E13" i="61"/>
  <c r="D13" i="61"/>
  <c r="F12" i="61"/>
  <c r="E12" i="61"/>
  <c r="D12" i="61"/>
  <c r="F11" i="61"/>
  <c r="E11" i="61"/>
  <c r="D11" i="61"/>
  <c r="F10" i="61"/>
  <c r="E10" i="61"/>
  <c r="D10" i="61"/>
  <c r="F9" i="61"/>
  <c r="E9" i="61"/>
  <c r="D9" i="61"/>
  <c r="F8" i="61"/>
  <c r="E8" i="61"/>
  <c r="D8" i="61"/>
  <c r="F7" i="61"/>
  <c r="E7" i="61"/>
  <c r="D7" i="61"/>
  <c r="F6" i="61"/>
  <c r="E6" i="61"/>
  <c r="D6" i="61"/>
  <c r="F42" i="59"/>
  <c r="E42" i="59"/>
  <c r="D42" i="59"/>
  <c r="F41" i="59"/>
  <c r="E41" i="59"/>
  <c r="D41" i="59"/>
  <c r="F40" i="59"/>
  <c r="E40" i="59"/>
  <c r="D40" i="59"/>
  <c r="F39" i="59"/>
  <c r="E39" i="59"/>
  <c r="D39" i="59"/>
  <c r="F38" i="59"/>
  <c r="E38" i="59"/>
  <c r="D38" i="59"/>
  <c r="F37" i="59"/>
  <c r="E37" i="59"/>
  <c r="D37" i="59"/>
  <c r="F36" i="59"/>
  <c r="E36" i="59"/>
  <c r="D36" i="59"/>
  <c r="F35" i="59"/>
  <c r="E35" i="59"/>
  <c r="D35" i="59"/>
  <c r="F34" i="59"/>
  <c r="E34" i="59"/>
  <c r="D34" i="59"/>
  <c r="F33" i="59"/>
  <c r="E33" i="59"/>
  <c r="D33" i="59"/>
  <c r="F32" i="59"/>
  <c r="E32" i="59"/>
  <c r="D32" i="59"/>
  <c r="F31" i="59"/>
  <c r="E31" i="59"/>
  <c r="D31" i="59"/>
  <c r="F30" i="59"/>
  <c r="E30" i="59"/>
  <c r="D30" i="59"/>
  <c r="F29" i="59"/>
  <c r="E29" i="59"/>
  <c r="D29" i="59"/>
  <c r="F28" i="59"/>
  <c r="E28" i="59"/>
  <c r="D28" i="59"/>
  <c r="F27" i="59"/>
  <c r="E27" i="59"/>
  <c r="D27" i="59"/>
  <c r="F26" i="59"/>
  <c r="E26" i="59"/>
  <c r="D26" i="59"/>
  <c r="F25" i="59"/>
  <c r="E25" i="59"/>
  <c r="D25" i="59"/>
  <c r="F24" i="59"/>
  <c r="E24" i="59"/>
  <c r="D24" i="59"/>
  <c r="F23" i="59"/>
  <c r="E23" i="59"/>
  <c r="D23" i="59"/>
  <c r="F22" i="59"/>
  <c r="E22" i="59"/>
  <c r="D22" i="59"/>
  <c r="F21" i="59"/>
  <c r="E21" i="59"/>
  <c r="D21" i="59"/>
  <c r="F19" i="59"/>
  <c r="E19" i="59"/>
  <c r="F18" i="59"/>
  <c r="E18" i="59"/>
  <c r="D18" i="59"/>
  <c r="F17" i="59"/>
  <c r="E17" i="59"/>
  <c r="D17" i="59"/>
  <c r="F16" i="59"/>
  <c r="E16" i="59"/>
  <c r="D16" i="59"/>
  <c r="F15" i="59"/>
  <c r="E15" i="59"/>
  <c r="D15" i="59"/>
  <c r="F14" i="59"/>
  <c r="E14" i="59"/>
  <c r="D14" i="59"/>
  <c r="F13" i="59"/>
  <c r="E13" i="59"/>
  <c r="D13" i="59"/>
  <c r="F12" i="59"/>
  <c r="E12" i="59"/>
  <c r="D12" i="59"/>
  <c r="F11" i="59"/>
  <c r="E11" i="59"/>
  <c r="D11" i="59"/>
  <c r="F10" i="59"/>
  <c r="E10" i="59"/>
  <c r="D10" i="59"/>
  <c r="F9" i="59"/>
  <c r="E9" i="59"/>
  <c r="D9" i="59"/>
  <c r="F8" i="59"/>
  <c r="E8" i="59"/>
  <c r="D8" i="59"/>
  <c r="F7" i="59"/>
  <c r="E7" i="59"/>
  <c r="D7" i="59"/>
  <c r="F6" i="59"/>
  <c r="E6" i="59"/>
  <c r="D6" i="59"/>
  <c r="B42" i="62"/>
  <c r="B41" i="62"/>
  <c r="B40" i="62"/>
  <c r="B39" i="62"/>
  <c r="B38" i="62"/>
  <c r="B37" i="62"/>
  <c r="B36" i="62"/>
  <c r="B35" i="62"/>
  <c r="B34" i="62"/>
  <c r="B33" i="62"/>
  <c r="B32" i="62"/>
  <c r="B31" i="62"/>
  <c r="B30" i="62"/>
  <c r="B29" i="62"/>
  <c r="B28" i="62"/>
  <c r="B27" i="62"/>
  <c r="B26" i="62"/>
  <c r="B25" i="62"/>
  <c r="B24" i="62"/>
  <c r="B23" i="62"/>
  <c r="B22" i="62"/>
  <c r="B21" i="62"/>
  <c r="B19" i="62"/>
  <c r="B18" i="62"/>
  <c r="B17" i="62"/>
  <c r="B16" i="62"/>
  <c r="B15" i="62"/>
  <c r="B14" i="62"/>
  <c r="B13" i="62"/>
  <c r="B12" i="62"/>
  <c r="B11" i="62"/>
  <c r="B10" i="62"/>
  <c r="B9" i="62"/>
  <c r="B8" i="62"/>
  <c r="B7" i="62"/>
  <c r="B6" i="62"/>
  <c r="B42" i="61"/>
  <c r="B41" i="61"/>
  <c r="B40" i="61"/>
  <c r="B39" i="61"/>
  <c r="B38" i="61"/>
  <c r="B37" i="61"/>
  <c r="B36" i="61"/>
  <c r="B35" i="61"/>
  <c r="B34" i="61"/>
  <c r="B33" i="61"/>
  <c r="B32" i="61"/>
  <c r="B31" i="61"/>
  <c r="B30" i="61"/>
  <c r="B29" i="61"/>
  <c r="B28" i="61"/>
  <c r="B27" i="61"/>
  <c r="B26" i="61"/>
  <c r="B25" i="61"/>
  <c r="B24" i="61"/>
  <c r="B23" i="61"/>
  <c r="B22" i="61"/>
  <c r="B21" i="61"/>
  <c r="B19" i="61"/>
  <c r="B18" i="61"/>
  <c r="B17" i="61"/>
  <c r="B16" i="61"/>
  <c r="B15" i="61"/>
  <c r="B14" i="61"/>
  <c r="B13" i="61"/>
  <c r="B12" i="61"/>
  <c r="B11" i="61"/>
  <c r="B10" i="61"/>
  <c r="B9" i="61"/>
  <c r="B8" i="61"/>
  <c r="B7" i="61"/>
  <c r="B6" i="61"/>
  <c r="B42" i="59"/>
  <c r="B41" i="59"/>
  <c r="B40" i="59"/>
  <c r="B39" i="59"/>
  <c r="B38" i="59"/>
  <c r="B37" i="59"/>
  <c r="B36" i="59"/>
  <c r="B35" i="59"/>
  <c r="B34" i="59"/>
  <c r="B33" i="59"/>
  <c r="B32" i="59"/>
  <c r="B31" i="59"/>
  <c r="B30" i="59"/>
  <c r="B29" i="59"/>
  <c r="B28" i="59"/>
  <c r="B27" i="59"/>
  <c r="B26" i="59"/>
  <c r="B25" i="59"/>
  <c r="B24" i="59"/>
  <c r="B23" i="59"/>
  <c r="B22" i="59"/>
  <c r="B21" i="59"/>
  <c r="B19" i="59"/>
  <c r="B18" i="59"/>
  <c r="B17" i="59"/>
  <c r="B16" i="59"/>
  <c r="B15" i="59"/>
  <c r="B14" i="59"/>
  <c r="B13" i="59"/>
  <c r="B12" i="59"/>
  <c r="B11" i="59"/>
  <c r="B10" i="59"/>
  <c r="B9" i="59"/>
  <c r="B8" i="59"/>
  <c r="B7" i="59"/>
  <c r="B6" i="59"/>
  <c r="D11" i="75" l="1"/>
  <c r="D19" i="75"/>
  <c r="D42" i="75"/>
  <c r="F7" i="75"/>
  <c r="E10" i="75"/>
  <c r="E13" i="75"/>
  <c r="D16" i="75"/>
  <c r="F18" i="75"/>
  <c r="F22" i="75"/>
  <c r="F25" i="75"/>
  <c r="E28" i="75"/>
  <c r="D31" i="75"/>
  <c r="F33" i="75"/>
  <c r="E36" i="75"/>
  <c r="D39" i="75"/>
  <c r="E42" i="75"/>
  <c r="D8" i="75"/>
  <c r="F10" i="75"/>
  <c r="F13" i="75"/>
  <c r="E16" i="75"/>
  <c r="E19" i="75"/>
  <c r="D23" i="75"/>
  <c r="D26" i="75"/>
  <c r="F28" i="75"/>
  <c r="E31" i="75"/>
  <c r="D34" i="75"/>
  <c r="F36" i="75"/>
  <c r="E39" i="75"/>
  <c r="F42" i="75"/>
  <c r="E8" i="75"/>
  <c r="E11" i="75"/>
  <c r="D14" i="75"/>
  <c r="F16" i="75"/>
  <c r="F19" i="75"/>
  <c r="E23" i="75"/>
  <c r="E26" i="75"/>
  <c r="D29" i="75"/>
  <c r="F31" i="75"/>
  <c r="E34" i="75"/>
  <c r="D37" i="75"/>
  <c r="F39" i="75"/>
  <c r="D6" i="75"/>
  <c r="F8" i="75"/>
  <c r="F11" i="75"/>
  <c r="E14" i="75"/>
  <c r="D17" i="75"/>
  <c r="D21" i="75"/>
  <c r="F23" i="75"/>
  <c r="F26" i="75"/>
  <c r="E29" i="75"/>
  <c r="D32" i="75"/>
  <c r="F34" i="75"/>
  <c r="E37" i="75"/>
  <c r="E40" i="75"/>
  <c r="D40" i="75"/>
  <c r="E6" i="75"/>
  <c r="D9" i="75"/>
  <c r="D12" i="75"/>
  <c r="F14" i="75"/>
  <c r="E17" i="75"/>
  <c r="E21" i="75"/>
  <c r="D24" i="75"/>
  <c r="D27" i="75"/>
  <c r="F29" i="75"/>
  <c r="E32" i="75"/>
  <c r="D35" i="75"/>
  <c r="F37" i="75"/>
  <c r="F40" i="75"/>
  <c r="D25" i="75"/>
  <c r="F6" i="75"/>
  <c r="E9" i="75"/>
  <c r="E12" i="75"/>
  <c r="D15" i="75"/>
  <c r="F17" i="75"/>
  <c r="F21" i="75"/>
  <c r="E24" i="75"/>
  <c r="E27" i="75"/>
  <c r="D30" i="75"/>
  <c r="F32" i="75"/>
  <c r="E35" i="75"/>
  <c r="D38" i="75"/>
  <c r="D41" i="75"/>
  <c r="D7" i="75"/>
  <c r="F9" i="75"/>
  <c r="F12" i="75"/>
  <c r="E15" i="75"/>
  <c r="D18" i="75"/>
  <c r="D22" i="75"/>
  <c r="F24" i="75"/>
  <c r="F27" i="75"/>
  <c r="E30" i="75"/>
  <c r="D33" i="75"/>
  <c r="F35" i="75"/>
  <c r="E38" i="75"/>
  <c r="E41" i="75"/>
  <c r="E7" i="75"/>
  <c r="D10" i="75"/>
  <c r="D13" i="75"/>
  <c r="F15" i="75"/>
  <c r="E18" i="75"/>
  <c r="E22" i="75"/>
  <c r="E25" i="75"/>
  <c r="D28" i="75"/>
  <c r="F30" i="75"/>
  <c r="E33" i="75"/>
  <c r="D36" i="75"/>
  <c r="F38" i="75"/>
  <c r="F41" i="75"/>
  <c r="E44" i="62"/>
  <c r="G50" i="62" s="1"/>
  <c r="R7" i="61"/>
  <c r="R8" i="61"/>
  <c r="R10" i="61"/>
  <c r="R13" i="61"/>
  <c r="R14" i="61"/>
  <c r="R16" i="61"/>
  <c r="R21" i="61"/>
  <c r="R23" i="61"/>
  <c r="R24" i="61"/>
  <c r="R28" i="61"/>
  <c r="R29" i="61"/>
  <c r="R30" i="61"/>
  <c r="R31" i="61"/>
  <c r="R33" i="61"/>
  <c r="R35" i="61"/>
  <c r="R37" i="61"/>
  <c r="R38" i="61"/>
  <c r="R39" i="61"/>
  <c r="R40" i="61"/>
  <c r="Q7" i="61"/>
  <c r="Q9" i="61"/>
  <c r="Q10" i="61"/>
  <c r="Q11" i="61"/>
  <c r="Q12" i="61"/>
  <c r="Q13" i="61"/>
  <c r="Q14" i="61"/>
  <c r="Q15" i="61"/>
  <c r="Q18" i="61"/>
  <c r="Q21" i="61"/>
  <c r="Q23" i="61"/>
  <c r="Q25" i="61"/>
  <c r="Q27" i="61"/>
  <c r="Q28" i="61"/>
  <c r="Q29" i="61"/>
  <c r="Q31" i="61"/>
  <c r="Q32" i="61"/>
  <c r="Q33" i="61"/>
  <c r="Q34" i="61"/>
  <c r="Q36" i="61"/>
  <c r="Q37" i="61"/>
  <c r="Q38" i="61"/>
  <c r="Q40" i="61"/>
  <c r="Q41" i="61"/>
  <c r="F44" i="75" l="1"/>
  <c r="E44" i="75"/>
  <c r="BA46" i="75" s="1"/>
  <c r="D44" i="75"/>
  <c r="D50" i="75" s="1"/>
  <c r="C15" i="59"/>
  <c r="R7" i="62"/>
  <c r="R7" i="75" s="1"/>
  <c r="R8" i="62"/>
  <c r="R8" i="75" s="1"/>
  <c r="R10" i="62"/>
  <c r="R10" i="75" s="1"/>
  <c r="R13" i="62"/>
  <c r="R13" i="75" s="1"/>
  <c r="R14" i="62"/>
  <c r="R14" i="75" s="1"/>
  <c r="R16" i="62"/>
  <c r="R16" i="75" s="1"/>
  <c r="R21" i="62"/>
  <c r="R21" i="75" s="1"/>
  <c r="R23" i="62"/>
  <c r="R23" i="75" s="1"/>
  <c r="R24" i="62"/>
  <c r="R24" i="75" s="1"/>
  <c r="R28" i="62"/>
  <c r="R28" i="75" s="1"/>
  <c r="R29" i="62"/>
  <c r="R29" i="75" s="1"/>
  <c r="R30" i="62"/>
  <c r="R30" i="75" s="1"/>
  <c r="R31" i="62"/>
  <c r="R31" i="75" s="1"/>
  <c r="R33" i="62"/>
  <c r="R33" i="75" s="1"/>
  <c r="R35" i="62"/>
  <c r="R35" i="75" s="1"/>
  <c r="R37" i="62"/>
  <c r="R37" i="75" s="1"/>
  <c r="R38" i="62"/>
  <c r="R38" i="75" s="1"/>
  <c r="R39" i="62"/>
  <c r="R39" i="75" s="1"/>
  <c r="R40" i="62"/>
  <c r="R40" i="75" s="1"/>
  <c r="Q7" i="62"/>
  <c r="Q7" i="75" s="1"/>
  <c r="Q9" i="62"/>
  <c r="Q9" i="75" s="1"/>
  <c r="Q10" i="62"/>
  <c r="Q10" i="75" s="1"/>
  <c r="Q11" i="62"/>
  <c r="Q11" i="75" s="1"/>
  <c r="Q12" i="62"/>
  <c r="Q12" i="75" s="1"/>
  <c r="Q13" i="62"/>
  <c r="Q13" i="75" s="1"/>
  <c r="Q14" i="62"/>
  <c r="Q14" i="75" s="1"/>
  <c r="Q15" i="62"/>
  <c r="Q15" i="75" s="1"/>
  <c r="Q18" i="62"/>
  <c r="Q18" i="75" s="1"/>
  <c r="Q21" i="62"/>
  <c r="Q21" i="75" s="1"/>
  <c r="Q23" i="62"/>
  <c r="Q23" i="75" s="1"/>
  <c r="Q25" i="62"/>
  <c r="Q25" i="75" s="1"/>
  <c r="Q27" i="62"/>
  <c r="Q27" i="75" s="1"/>
  <c r="Q28" i="62"/>
  <c r="Q28" i="75" s="1"/>
  <c r="Q29" i="62"/>
  <c r="Q29" i="75" s="1"/>
  <c r="Q31" i="62"/>
  <c r="Q31" i="75" s="1"/>
  <c r="Q32" i="62"/>
  <c r="Q32" i="75" s="1"/>
  <c r="Q33" i="62"/>
  <c r="Q33" i="75" s="1"/>
  <c r="Q34" i="62"/>
  <c r="Q34" i="75" s="1"/>
  <c r="Q36" i="62"/>
  <c r="Q36" i="75" s="1"/>
  <c r="Q37" i="62"/>
  <c r="Q37" i="75" s="1"/>
  <c r="Q38" i="62"/>
  <c r="Q38" i="75" s="1"/>
  <c r="Q40" i="62"/>
  <c r="Q40" i="75" s="1"/>
  <c r="Q41" i="62"/>
  <c r="Q41" i="75" s="1"/>
  <c r="P6" i="62"/>
  <c r="G50" i="75" l="1"/>
  <c r="P6" i="61"/>
  <c r="P6" i="75" s="1"/>
  <c r="AS15" i="59" l="1"/>
  <c r="M23" i="62"/>
  <c r="M6" i="62"/>
  <c r="BC42" i="62"/>
  <c r="O42" i="62"/>
  <c r="BC41" i="62"/>
  <c r="BC39" i="62"/>
  <c r="BC38" i="62"/>
  <c r="BC37" i="62"/>
  <c r="BC36" i="62"/>
  <c r="BC35" i="62"/>
  <c r="O35" i="62"/>
  <c r="BC34" i="62"/>
  <c r="BC33" i="62"/>
  <c r="BC32" i="62"/>
  <c r="BC31" i="62"/>
  <c r="BC30" i="62"/>
  <c r="BC29" i="62"/>
  <c r="BC28" i="62"/>
  <c r="BC27" i="62"/>
  <c r="BC26" i="62"/>
  <c r="O26" i="62"/>
  <c r="BC25" i="62"/>
  <c r="BC24" i="62"/>
  <c r="I23" i="62"/>
  <c r="BC22" i="62"/>
  <c r="BC21" i="62"/>
  <c r="BC19" i="62"/>
  <c r="BC18" i="62"/>
  <c r="M18" i="62"/>
  <c r="BC17" i="62"/>
  <c r="O17" i="62"/>
  <c r="BC16" i="62"/>
  <c r="BC15" i="62"/>
  <c r="BC14" i="62"/>
  <c r="O14" i="62"/>
  <c r="BC12" i="62"/>
  <c r="BC10" i="62"/>
  <c r="BC9" i="62"/>
  <c r="O9" i="62"/>
  <c r="BC8" i="62"/>
  <c r="BC7" i="62"/>
  <c r="BC6" i="62"/>
  <c r="BQ48" i="62"/>
  <c r="BQ44" i="62"/>
  <c r="BM44" i="62"/>
  <c r="BL44" i="62"/>
  <c r="BK44" i="62"/>
  <c r="BE44" i="62"/>
  <c r="BB44" i="62"/>
  <c r="BA44" i="62"/>
  <c r="H50" i="62" s="1"/>
  <c r="AV44" i="62"/>
  <c r="AU44" i="62"/>
  <c r="AT44" i="62"/>
  <c r="AP44" i="62"/>
  <c r="AO44" i="62"/>
  <c r="AM44" i="62"/>
  <c r="AL44" i="62"/>
  <c r="AJ44" i="62"/>
  <c r="AI44" i="62"/>
  <c r="AG44" i="62"/>
  <c r="AF44" i="62"/>
  <c r="AE44" i="62"/>
  <c r="AD44" i="62"/>
  <c r="AC44" i="62"/>
  <c r="AA44" i="62"/>
  <c r="Z44" i="62"/>
  <c r="X44" i="62"/>
  <c r="W44" i="62"/>
  <c r="V44" i="62"/>
  <c r="S44" i="62"/>
  <c r="N44" i="62"/>
  <c r="L44" i="62"/>
  <c r="J44" i="62"/>
  <c r="G44" i="62"/>
  <c r="BF42" i="62"/>
  <c r="AY42" i="62"/>
  <c r="AX42" i="62"/>
  <c r="AW42" i="62"/>
  <c r="BF41" i="62"/>
  <c r="AY41" i="62"/>
  <c r="AX41" i="62"/>
  <c r="AW41" i="62"/>
  <c r="BF40" i="62"/>
  <c r="AY40" i="62"/>
  <c r="AX40" i="62"/>
  <c r="AW40" i="62"/>
  <c r="BC40" i="62"/>
  <c r="BF39" i="62"/>
  <c r="AY39" i="62"/>
  <c r="AX39" i="62"/>
  <c r="AW39" i="62"/>
  <c r="BF38" i="62"/>
  <c r="AY38" i="62"/>
  <c r="AX38" i="62"/>
  <c r="AW38" i="62"/>
  <c r="BF37" i="62"/>
  <c r="AY37" i="62"/>
  <c r="AX37" i="62"/>
  <c r="AW37" i="62"/>
  <c r="BQ36" i="62"/>
  <c r="BQ37" i="62" s="1"/>
  <c r="BF36" i="62"/>
  <c r="AY36" i="62"/>
  <c r="AX36" i="62"/>
  <c r="AW36" i="62"/>
  <c r="BF35" i="62"/>
  <c r="AY35" i="62"/>
  <c r="AX35" i="62"/>
  <c r="AW35" i="62"/>
  <c r="BF34" i="62"/>
  <c r="AY34" i="62"/>
  <c r="AX34" i="62"/>
  <c r="AW34" i="62"/>
  <c r="M34" i="62"/>
  <c r="I34" i="62"/>
  <c r="K34" i="62"/>
  <c r="BF33" i="62"/>
  <c r="AY33" i="62"/>
  <c r="AX33" i="62"/>
  <c r="AW33" i="62"/>
  <c r="BF32" i="62"/>
  <c r="AY32" i="62"/>
  <c r="AX32" i="62"/>
  <c r="AW32" i="62"/>
  <c r="BF31" i="62"/>
  <c r="AY31" i="62"/>
  <c r="AX31" i="62"/>
  <c r="AW31" i="62"/>
  <c r="BQ30" i="62"/>
  <c r="BI6" i="62" s="1"/>
  <c r="BI44" i="62" s="1"/>
  <c r="BF30" i="62"/>
  <c r="AY30" i="62"/>
  <c r="AX30" i="62"/>
  <c r="AW30" i="62"/>
  <c r="BF29" i="62"/>
  <c r="AY29" i="62"/>
  <c r="AX29" i="62"/>
  <c r="AW29" i="62"/>
  <c r="AY28" i="62"/>
  <c r="AX28" i="62"/>
  <c r="AW28" i="62"/>
  <c r="BF27" i="62"/>
  <c r="AY27" i="62"/>
  <c r="AX27" i="62"/>
  <c r="AW27" i="62"/>
  <c r="K27" i="62"/>
  <c r="BF26" i="62"/>
  <c r="AY26" i="62"/>
  <c r="AX26" i="62"/>
  <c r="AW26" i="62"/>
  <c r="BF25" i="62"/>
  <c r="AY25" i="62"/>
  <c r="AX25" i="62"/>
  <c r="AW25" i="62"/>
  <c r="BQ24" i="62"/>
  <c r="BN6" i="62" s="1"/>
  <c r="BF24" i="62"/>
  <c r="AY24" i="62"/>
  <c r="AX24" i="62"/>
  <c r="AW24" i="62"/>
  <c r="BF23" i="62"/>
  <c r="AY23" i="62"/>
  <c r="AX23" i="62"/>
  <c r="AW23" i="62"/>
  <c r="BF22" i="62"/>
  <c r="AY22" i="62"/>
  <c r="AX22" i="62"/>
  <c r="AW22" i="62"/>
  <c r="BF21" i="62"/>
  <c r="AY21" i="62"/>
  <c r="AX21" i="62"/>
  <c r="AW21" i="62"/>
  <c r="BF19" i="62"/>
  <c r="AY19" i="62"/>
  <c r="AX19" i="62"/>
  <c r="AW19" i="62"/>
  <c r="BF18" i="62"/>
  <c r="AY18" i="62"/>
  <c r="AX18" i="62"/>
  <c r="AW18" i="62"/>
  <c r="BQ17" i="62"/>
  <c r="BH6" i="62" s="1"/>
  <c r="BH44" i="62" s="1"/>
  <c r="BF17" i="62"/>
  <c r="AY17" i="62"/>
  <c r="AX17" i="62"/>
  <c r="AW17" i="62"/>
  <c r="AY16" i="62"/>
  <c r="AX16" i="62"/>
  <c r="AW16" i="62"/>
  <c r="BF15" i="62"/>
  <c r="AY15" i="62"/>
  <c r="AX15" i="62"/>
  <c r="AW15" i="62"/>
  <c r="BF14" i="62"/>
  <c r="AY14" i="62"/>
  <c r="AX14" i="62"/>
  <c r="AW14" i="62"/>
  <c r="BF13" i="62"/>
  <c r="AY13" i="62"/>
  <c r="AX13" i="62"/>
  <c r="AW13" i="62"/>
  <c r="BF12" i="62"/>
  <c r="AY12" i="62"/>
  <c r="AX12" i="62"/>
  <c r="AW12" i="62"/>
  <c r="AY11" i="62"/>
  <c r="AX11" i="62"/>
  <c r="AW11" i="62"/>
  <c r="AK44" i="62"/>
  <c r="BF10" i="62"/>
  <c r="AY10" i="62"/>
  <c r="AX10" i="62"/>
  <c r="AW10" i="62"/>
  <c r="BF9" i="62"/>
  <c r="AY9" i="62"/>
  <c r="AX9" i="62"/>
  <c r="AW9" i="62"/>
  <c r="AN44" i="62"/>
  <c r="BF8" i="62"/>
  <c r="AY8" i="62"/>
  <c r="AX8" i="62"/>
  <c r="AW8" i="62"/>
  <c r="BF7" i="62"/>
  <c r="AY7" i="62"/>
  <c r="AX7" i="62"/>
  <c r="AW7" i="62"/>
  <c r="BJ6" i="62"/>
  <c r="BJ44" i="62" s="1"/>
  <c r="BF6" i="62"/>
  <c r="AY6" i="62"/>
  <c r="AX6" i="62"/>
  <c r="AW6" i="62"/>
  <c r="AZ8" i="62" l="1"/>
  <c r="BD8" i="62" s="1"/>
  <c r="AZ36" i="62"/>
  <c r="BD36" i="62" s="1"/>
  <c r="AZ7" i="62"/>
  <c r="AZ10" i="62"/>
  <c r="BD10" i="62" s="1"/>
  <c r="AZ11" i="62"/>
  <c r="AZ28" i="62"/>
  <c r="BD28" i="62" s="1"/>
  <c r="AZ37" i="62"/>
  <c r="BD37" i="62" s="1"/>
  <c r="AZ16" i="62"/>
  <c r="BD16" i="62" s="1"/>
  <c r="AZ12" i="62"/>
  <c r="AZ27" i="62"/>
  <c r="BD27" i="62" s="1"/>
  <c r="AZ33" i="62"/>
  <c r="BD33" i="62" s="1"/>
  <c r="AZ22" i="62"/>
  <c r="BD22" i="62" s="1"/>
  <c r="O7" i="62"/>
  <c r="O15" i="62"/>
  <c r="I24" i="62"/>
  <c r="O32" i="62"/>
  <c r="O40" i="62"/>
  <c r="M39" i="62"/>
  <c r="M31" i="62"/>
  <c r="K23" i="62"/>
  <c r="O39" i="62"/>
  <c r="K14" i="62"/>
  <c r="O23" i="62"/>
  <c r="O31" i="62"/>
  <c r="M35" i="62"/>
  <c r="M14" i="62"/>
  <c r="I26" i="62"/>
  <c r="M26" i="62"/>
  <c r="O21" i="62"/>
  <c r="I22" i="62"/>
  <c r="O13" i="62"/>
  <c r="O22" i="62"/>
  <c r="K9" i="62"/>
  <c r="M9" i="62"/>
  <c r="K13" i="62"/>
  <c r="O19" i="62"/>
  <c r="K16" i="62"/>
  <c r="M25" i="62"/>
  <c r="K24" i="62"/>
  <c r="M7" i="62"/>
  <c r="AS34" i="62"/>
  <c r="K15" i="62"/>
  <c r="M15" i="62"/>
  <c r="O24" i="62"/>
  <c r="M16" i="62"/>
  <c r="O25" i="62"/>
  <c r="K33" i="62"/>
  <c r="O41" i="62"/>
  <c r="M24" i="62"/>
  <c r="K11" i="62"/>
  <c r="M19" i="62"/>
  <c r="O28" i="62"/>
  <c r="O36" i="62"/>
  <c r="I15" i="62"/>
  <c r="AQ23" i="62"/>
  <c r="I25" i="62"/>
  <c r="M36" i="62"/>
  <c r="I9" i="62"/>
  <c r="M17" i="62"/>
  <c r="K26" i="62"/>
  <c r="M11" i="62"/>
  <c r="K28" i="62"/>
  <c r="I33" i="62"/>
  <c r="K25" i="62"/>
  <c r="K10" i="62"/>
  <c r="O18" i="62"/>
  <c r="M27" i="62"/>
  <c r="K35" i="62"/>
  <c r="M28" i="62"/>
  <c r="M12" i="62"/>
  <c r="O29" i="62"/>
  <c r="O37" i="62"/>
  <c r="I11" i="62"/>
  <c r="I13" i="62"/>
  <c r="K22" i="62"/>
  <c r="M30" i="62"/>
  <c r="O38" i="62"/>
  <c r="K6" i="62"/>
  <c r="I14" i="62"/>
  <c r="O11" i="62"/>
  <c r="O8" i="62"/>
  <c r="O16" i="62"/>
  <c r="AZ29" i="62"/>
  <c r="BD29" i="62" s="1"/>
  <c r="AZ39" i="62"/>
  <c r="BD39" i="62" s="1"/>
  <c r="AZ40" i="62"/>
  <c r="BD40" i="62" s="1"/>
  <c r="AZ41" i="62"/>
  <c r="BD41" i="62" s="1"/>
  <c r="BF44" i="62"/>
  <c r="AZ17" i="62"/>
  <c r="BD17" i="62" s="1"/>
  <c r="M13" i="62"/>
  <c r="O27" i="62"/>
  <c r="H23" i="62"/>
  <c r="I12" i="62"/>
  <c r="M29" i="62"/>
  <c r="O30" i="62"/>
  <c r="K38" i="62"/>
  <c r="O10" i="62"/>
  <c r="O12" i="62"/>
  <c r="K12" i="62"/>
  <c r="M37" i="62"/>
  <c r="M38" i="62"/>
  <c r="I10" i="62"/>
  <c r="H34" i="62"/>
  <c r="O6" i="62"/>
  <c r="I6" i="62"/>
  <c r="AW44" i="62"/>
  <c r="AX44" i="62"/>
  <c r="AZ9" i="62"/>
  <c r="BD9" i="62" s="1"/>
  <c r="AZ15" i="62"/>
  <c r="BD15" i="62" s="1"/>
  <c r="AZ18" i="62"/>
  <c r="BD18" i="62" s="1"/>
  <c r="AZ30" i="62"/>
  <c r="BD30" i="62" s="1"/>
  <c r="AZ34" i="62"/>
  <c r="BD34" i="62" s="1"/>
  <c r="AZ13" i="62"/>
  <c r="AZ19" i="62"/>
  <c r="BD19" i="62" s="1"/>
  <c r="AZ25" i="62"/>
  <c r="BD25" i="62" s="1"/>
  <c r="AZ31" i="62"/>
  <c r="BD31" i="62" s="1"/>
  <c r="AZ21" i="62"/>
  <c r="BD21" i="62" s="1"/>
  <c r="AZ14" i="62"/>
  <c r="BD14" i="62" s="1"/>
  <c r="AZ32" i="62"/>
  <c r="BD32" i="62" s="1"/>
  <c r="AZ24" i="62"/>
  <c r="BD24" i="62" s="1"/>
  <c r="AZ26" i="62"/>
  <c r="BD26" i="62" s="1"/>
  <c r="AZ38" i="62"/>
  <c r="BD38" i="62" s="1"/>
  <c r="AZ23" i="62"/>
  <c r="AZ35" i="62"/>
  <c r="BD35" i="62" s="1"/>
  <c r="AZ42" i="62"/>
  <c r="BD42" i="62" s="1"/>
  <c r="F44" i="62"/>
  <c r="BD12" i="62"/>
  <c r="BD7" i="62"/>
  <c r="BC11" i="62"/>
  <c r="AR23" i="62"/>
  <c r="I42" i="62"/>
  <c r="BC23" i="62"/>
  <c r="O34" i="62"/>
  <c r="I41" i="62"/>
  <c r="K42" i="62"/>
  <c r="BC13" i="62"/>
  <c r="I8" i="62"/>
  <c r="I21" i="62"/>
  <c r="I32" i="62"/>
  <c r="I40" i="62"/>
  <c r="K41" i="62"/>
  <c r="M42" i="62"/>
  <c r="D44" i="62"/>
  <c r="D50" i="62" s="1"/>
  <c r="I7" i="62"/>
  <c r="K8" i="62"/>
  <c r="M10" i="62"/>
  <c r="I19" i="62"/>
  <c r="K21" i="62"/>
  <c r="M22" i="62"/>
  <c r="I30" i="62"/>
  <c r="I31" i="62"/>
  <c r="K32" i="62"/>
  <c r="I39" i="62"/>
  <c r="K40" i="62"/>
  <c r="M41" i="62"/>
  <c r="K7" i="62"/>
  <c r="M8" i="62"/>
  <c r="I17" i="62"/>
  <c r="I18" i="62"/>
  <c r="K19" i="62"/>
  <c r="M21" i="62"/>
  <c r="I29" i="62"/>
  <c r="K30" i="62"/>
  <c r="K31" i="62"/>
  <c r="M32" i="62"/>
  <c r="I36" i="62"/>
  <c r="I37" i="62"/>
  <c r="I38" i="62"/>
  <c r="K39" i="62"/>
  <c r="M40" i="62"/>
  <c r="AZ6" i="62"/>
  <c r="I16" i="62"/>
  <c r="K17" i="62"/>
  <c r="K18" i="62"/>
  <c r="I27" i="62"/>
  <c r="I28" i="62"/>
  <c r="K29" i="62"/>
  <c r="I35" i="62"/>
  <c r="K36" i="62"/>
  <c r="K37" i="62"/>
  <c r="AY44" i="62"/>
  <c r="AS23" i="62" l="1"/>
  <c r="AQ34" i="62"/>
  <c r="Y33" i="62"/>
  <c r="AS24" i="62"/>
  <c r="BD11" i="62"/>
  <c r="I50" i="62"/>
  <c r="H7" i="62"/>
  <c r="H24" i="62"/>
  <c r="H22" i="62"/>
  <c r="H26" i="62"/>
  <c r="Y26" i="62"/>
  <c r="Y23" i="62"/>
  <c r="AS22" i="62"/>
  <c r="Y39" i="62"/>
  <c r="Y35" i="62"/>
  <c r="Y31" i="62"/>
  <c r="AS26" i="62"/>
  <c r="Y14" i="62"/>
  <c r="Y13" i="62"/>
  <c r="Y9" i="62"/>
  <c r="H25" i="62"/>
  <c r="AQ26" i="62"/>
  <c r="AQ14" i="62"/>
  <c r="AR9" i="62"/>
  <c r="Y12" i="62"/>
  <c r="Y17" i="62"/>
  <c r="AR15" i="62"/>
  <c r="Y24" i="62"/>
  <c r="Y36" i="62"/>
  <c r="AQ11" i="62"/>
  <c r="AQ15" i="62"/>
  <c r="AQ24" i="62"/>
  <c r="AQ22" i="62"/>
  <c r="AR33" i="62"/>
  <c r="AR24" i="62"/>
  <c r="Y7" i="62"/>
  <c r="Y19" i="62"/>
  <c r="AS13" i="62"/>
  <c r="AS15" i="62"/>
  <c r="Y27" i="62"/>
  <c r="AS14" i="62"/>
  <c r="AS9" i="62"/>
  <c r="H14" i="62"/>
  <c r="AS10" i="62"/>
  <c r="H13" i="62"/>
  <c r="Y16" i="62"/>
  <c r="Y15" i="62"/>
  <c r="Y28" i="62"/>
  <c r="AS12" i="62"/>
  <c r="BA46" i="62"/>
  <c r="BA47" i="62" s="1"/>
  <c r="AQ25" i="62"/>
  <c r="Y34" i="62"/>
  <c r="Y41" i="62"/>
  <c r="H15" i="62"/>
  <c r="Y6" i="62"/>
  <c r="Y25" i="62"/>
  <c r="Y37" i="62"/>
  <c r="H40" i="62"/>
  <c r="AS40" i="62"/>
  <c r="Y30" i="62"/>
  <c r="H19" i="62"/>
  <c r="AS19" i="62"/>
  <c r="H32" i="62"/>
  <c r="AS32" i="62"/>
  <c r="AR14" i="62"/>
  <c r="H16" i="62"/>
  <c r="AS16" i="62"/>
  <c r="H41" i="62"/>
  <c r="AS41" i="62"/>
  <c r="H29" i="62"/>
  <c r="AS29" i="62"/>
  <c r="AR22" i="62"/>
  <c r="H11" i="62"/>
  <c r="AS11" i="62"/>
  <c r="Y29" i="62"/>
  <c r="AR11" i="62"/>
  <c r="AQ9" i="62"/>
  <c r="AR13" i="62"/>
  <c r="H35" i="62"/>
  <c r="AS35" i="62"/>
  <c r="H21" i="62"/>
  <c r="AS21" i="62"/>
  <c r="H39" i="62"/>
  <c r="AS39" i="62"/>
  <c r="H28" i="62"/>
  <c r="AS28" i="62"/>
  <c r="H38" i="62"/>
  <c r="AS38" i="62"/>
  <c r="AS7" i="62"/>
  <c r="H8" i="62"/>
  <c r="AS8" i="62"/>
  <c r="AR26" i="62"/>
  <c r="Y10" i="62"/>
  <c r="AQ13" i="62"/>
  <c r="AQ33" i="62"/>
  <c r="H33" i="62"/>
  <c r="AS33" i="62"/>
  <c r="H37" i="62"/>
  <c r="AS37" i="62"/>
  <c r="BD23" i="62"/>
  <c r="H27" i="62"/>
  <c r="AS27" i="62"/>
  <c r="H18" i="62"/>
  <c r="AS18" i="62"/>
  <c r="H31" i="62"/>
  <c r="AS31" i="62"/>
  <c r="AR25" i="62"/>
  <c r="AS25" i="62"/>
  <c r="Y18" i="62"/>
  <c r="H36" i="62"/>
  <c r="AS36" i="62"/>
  <c r="H17" i="62"/>
  <c r="AS17" i="62"/>
  <c r="H30" i="62"/>
  <c r="AS30" i="62"/>
  <c r="H42" i="62"/>
  <c r="AS42" i="62"/>
  <c r="H9" i="62"/>
  <c r="Y11" i="62"/>
  <c r="AR34" i="62"/>
  <c r="Y21" i="62"/>
  <c r="Y42" i="62"/>
  <c r="Y38" i="62"/>
  <c r="Y22" i="62"/>
  <c r="Y40" i="62"/>
  <c r="AR10" i="62"/>
  <c r="H10" i="62"/>
  <c r="AQ10" i="62"/>
  <c r="Y8" i="62"/>
  <c r="Y32" i="62"/>
  <c r="AR12" i="62"/>
  <c r="H12" i="62"/>
  <c r="AQ12" i="62"/>
  <c r="AQ6" i="62"/>
  <c r="H6" i="62"/>
  <c r="AR6" i="62"/>
  <c r="M44" i="62"/>
  <c r="O44" i="62"/>
  <c r="BC44" i="62"/>
  <c r="AR16" i="62"/>
  <c r="AQ16" i="62"/>
  <c r="AR37" i="62"/>
  <c r="AQ37" i="62"/>
  <c r="AR7" i="62"/>
  <c r="AQ7" i="62"/>
  <c r="AR36" i="62"/>
  <c r="AQ36" i="62"/>
  <c r="AR18" i="62"/>
  <c r="AQ18" i="62"/>
  <c r="AR31" i="62"/>
  <c r="AQ31" i="62"/>
  <c r="AR28" i="62"/>
  <c r="AQ28" i="62"/>
  <c r="AR17" i="62"/>
  <c r="AQ17" i="62"/>
  <c r="AR30" i="62"/>
  <c r="AQ30" i="62"/>
  <c r="BD13" i="62"/>
  <c r="AQ27" i="62"/>
  <c r="AR27" i="62"/>
  <c r="AR40" i="62"/>
  <c r="AQ40" i="62"/>
  <c r="AR29" i="62"/>
  <c r="AQ29" i="62"/>
  <c r="AR19" i="62"/>
  <c r="AQ19" i="62"/>
  <c r="AR32" i="62"/>
  <c r="AQ32" i="62"/>
  <c r="AR41" i="62"/>
  <c r="AQ41" i="62"/>
  <c r="K44" i="62"/>
  <c r="I44" i="62"/>
  <c r="AR35" i="62"/>
  <c r="AQ35" i="62"/>
  <c r="AR21" i="62"/>
  <c r="AQ21" i="62"/>
  <c r="AQ42" i="62"/>
  <c r="AR42" i="62"/>
  <c r="AR38" i="62"/>
  <c r="AQ38" i="62"/>
  <c r="AR39" i="62"/>
  <c r="AQ39" i="62"/>
  <c r="AZ44" i="62"/>
  <c r="AZ88" i="62" s="1"/>
  <c r="BD6" i="62"/>
  <c r="AR8" i="62"/>
  <c r="AQ8" i="62"/>
  <c r="Y44" i="62" l="1"/>
  <c r="AR44" i="62"/>
  <c r="BD44" i="62"/>
  <c r="BD47" i="62" s="1"/>
  <c r="H44" i="62"/>
  <c r="AQ44" i="62"/>
  <c r="C50" i="62" l="1"/>
  <c r="E50" i="62" s="1"/>
  <c r="AS44" i="62"/>
  <c r="AK11" i="61" l="1"/>
  <c r="AK11" i="75" s="1"/>
  <c r="AK44" i="75" s="1"/>
  <c r="AN11" i="61"/>
  <c r="AN11" i="75" s="1"/>
  <c r="AN27" i="61"/>
  <c r="AN27" i="75" s="1"/>
  <c r="AN9" i="61"/>
  <c r="AN9" i="75" s="1"/>
  <c r="BF15" i="59"/>
  <c r="AY15" i="59"/>
  <c r="AX15" i="59"/>
  <c r="AW15" i="59"/>
  <c r="AW15" i="75" s="1"/>
  <c r="BC15" i="59"/>
  <c r="BF15" i="61"/>
  <c r="AY15" i="61"/>
  <c r="AX15" i="61"/>
  <c r="AW15" i="61"/>
  <c r="BC15" i="61"/>
  <c r="AX15" i="75" l="1"/>
  <c r="AY15" i="75"/>
  <c r="BF15" i="75"/>
  <c r="AN44" i="75"/>
  <c r="BC15" i="75"/>
  <c r="AZ15" i="61"/>
  <c r="AZ15" i="59"/>
  <c r="O15" i="61"/>
  <c r="O15" i="59"/>
  <c r="K15" i="59"/>
  <c r="M15" i="59"/>
  <c r="BD15" i="61"/>
  <c r="M15" i="61"/>
  <c r="I15" i="61"/>
  <c r="K15" i="61"/>
  <c r="AS15" i="61" l="1"/>
  <c r="BD15" i="59"/>
  <c r="AZ15" i="75"/>
  <c r="O15" i="75"/>
  <c r="K15" i="75"/>
  <c r="M15" i="75"/>
  <c r="Y15" i="61"/>
  <c r="AR15" i="59"/>
  <c r="H15" i="61"/>
  <c r="U15" i="59"/>
  <c r="AQ15" i="59"/>
  <c r="Y15" i="59"/>
  <c r="AR15" i="61"/>
  <c r="AQ15" i="61"/>
  <c r="BD15" i="75" l="1"/>
  <c r="Y15" i="75"/>
  <c r="AQ15" i="75"/>
  <c r="H15" i="75"/>
  <c r="AR15" i="75"/>
  <c r="AS15" i="75"/>
  <c r="AD44" i="61"/>
  <c r="AE44" i="61"/>
  <c r="BC42" i="61"/>
  <c r="BC41" i="61"/>
  <c r="BC40" i="61"/>
  <c r="BC39" i="61"/>
  <c r="BC38" i="61"/>
  <c r="BC37" i="61"/>
  <c r="BC36" i="61"/>
  <c r="BC35" i="61"/>
  <c r="BC34" i="61"/>
  <c r="BC33" i="61"/>
  <c r="BC32" i="61"/>
  <c r="BC31" i="61"/>
  <c r="BC30" i="61"/>
  <c r="K30" i="61"/>
  <c r="BC29" i="61"/>
  <c r="BC28" i="61"/>
  <c r="BC27" i="61"/>
  <c r="BC26" i="61"/>
  <c r="BC25" i="61"/>
  <c r="BC24" i="61"/>
  <c r="BC23" i="61"/>
  <c r="BC22" i="61"/>
  <c r="BC21" i="61"/>
  <c r="BC19" i="61"/>
  <c r="BC18" i="61"/>
  <c r="BC17" i="61"/>
  <c r="BC16" i="61"/>
  <c r="BC14" i="61"/>
  <c r="BC13" i="61"/>
  <c r="BC12" i="61"/>
  <c r="BC11" i="61"/>
  <c r="BC10" i="61"/>
  <c r="BC9" i="61"/>
  <c r="BC8" i="61"/>
  <c r="BC7" i="61"/>
  <c r="BQ48" i="61"/>
  <c r="BQ44" i="61"/>
  <c r="BM44" i="61"/>
  <c r="BL44" i="61"/>
  <c r="BK44" i="61"/>
  <c r="BE44" i="61"/>
  <c r="BB44" i="61"/>
  <c r="BA44" i="61"/>
  <c r="H50" i="61" s="1"/>
  <c r="AV44" i="61"/>
  <c r="AU44" i="61"/>
  <c r="AT44" i="61"/>
  <c r="AO44" i="61"/>
  <c r="AN44" i="61"/>
  <c r="AM44" i="61"/>
  <c r="AL44" i="61"/>
  <c r="AK44" i="61"/>
  <c r="AJ44" i="61"/>
  <c r="AI44" i="61"/>
  <c r="AG44" i="61"/>
  <c r="AF44" i="61"/>
  <c r="AC44" i="61"/>
  <c r="AA44" i="61"/>
  <c r="Z44" i="61"/>
  <c r="X44" i="61"/>
  <c r="W44" i="61"/>
  <c r="V44" i="61"/>
  <c r="S44" i="61"/>
  <c r="N44" i="61"/>
  <c r="L44" i="61"/>
  <c r="J44" i="61"/>
  <c r="G44" i="61"/>
  <c r="BF42" i="61"/>
  <c r="AY42" i="61"/>
  <c r="AX42" i="61"/>
  <c r="AW42" i="61"/>
  <c r="BF41" i="61"/>
  <c r="AY41" i="61"/>
  <c r="AX41" i="61"/>
  <c r="AW41" i="61"/>
  <c r="BF40" i="61"/>
  <c r="AY40" i="61"/>
  <c r="AX40" i="61"/>
  <c r="AW40" i="61"/>
  <c r="BF39" i="61"/>
  <c r="AY39" i="61"/>
  <c r="AX39" i="61"/>
  <c r="AW39" i="61"/>
  <c r="BF38" i="61"/>
  <c r="AY38" i="61"/>
  <c r="AX38" i="61"/>
  <c r="AW38" i="61"/>
  <c r="BF37" i="61"/>
  <c r="AY37" i="61"/>
  <c r="AX37" i="61"/>
  <c r="AW37" i="61"/>
  <c r="BQ36" i="61"/>
  <c r="BQ37" i="61" s="1"/>
  <c r="BF36" i="61"/>
  <c r="AY36" i="61"/>
  <c r="AX36" i="61"/>
  <c r="AW36" i="61"/>
  <c r="BF35" i="61"/>
  <c r="AY35" i="61"/>
  <c r="AX35" i="61"/>
  <c r="AW35" i="61"/>
  <c r="BF34" i="61"/>
  <c r="AY34" i="61"/>
  <c r="AX34" i="61"/>
  <c r="AW34" i="61"/>
  <c r="BF33" i="61"/>
  <c r="AY33" i="61"/>
  <c r="AX33" i="61"/>
  <c r="AW33" i="61"/>
  <c r="BF32" i="61"/>
  <c r="AY32" i="61"/>
  <c r="AX32" i="61"/>
  <c r="AW32" i="61"/>
  <c r="BF31" i="61"/>
  <c r="AY31" i="61"/>
  <c r="AX31" i="61"/>
  <c r="AW31" i="61"/>
  <c r="BQ30" i="61"/>
  <c r="BI6" i="61" s="1"/>
  <c r="BI44" i="61" s="1"/>
  <c r="BF30" i="61"/>
  <c r="AY30" i="61"/>
  <c r="AX30" i="61"/>
  <c r="AW30" i="61"/>
  <c r="BF29" i="61"/>
  <c r="AY29" i="61"/>
  <c r="AX29" i="61"/>
  <c r="AW29" i="61"/>
  <c r="BF28" i="61"/>
  <c r="AY28" i="61"/>
  <c r="AX28" i="61"/>
  <c r="AW28" i="61"/>
  <c r="BF27" i="61"/>
  <c r="AY27" i="61"/>
  <c r="AX27" i="61"/>
  <c r="AW27" i="61"/>
  <c r="BF26" i="61"/>
  <c r="AY26" i="61"/>
  <c r="AX26" i="61"/>
  <c r="AW26" i="61"/>
  <c r="BF25" i="61"/>
  <c r="AY25" i="61"/>
  <c r="AX25" i="61"/>
  <c r="AW25" i="61"/>
  <c r="BF24" i="61"/>
  <c r="AY24" i="61"/>
  <c r="AX24" i="61"/>
  <c r="AW24" i="61"/>
  <c r="BF23" i="61"/>
  <c r="AY23" i="61"/>
  <c r="AX23" i="61"/>
  <c r="AW23" i="61"/>
  <c r="BF22" i="61"/>
  <c r="AY22" i="61"/>
  <c r="AX22" i="61"/>
  <c r="AW22" i="61"/>
  <c r="BQ24" i="61"/>
  <c r="BN6" i="61" s="1"/>
  <c r="BF21" i="61"/>
  <c r="AY21" i="61"/>
  <c r="AX21" i="61"/>
  <c r="AW21" i="61"/>
  <c r="BF19" i="61"/>
  <c r="AY19" i="61"/>
  <c r="AX19" i="61"/>
  <c r="AW19" i="61"/>
  <c r="BF18" i="61"/>
  <c r="AY18" i="61"/>
  <c r="AX18" i="61"/>
  <c r="AW18" i="61"/>
  <c r="BQ17" i="61"/>
  <c r="BH6" i="61" s="1"/>
  <c r="BH44" i="61" s="1"/>
  <c r="BF17" i="61"/>
  <c r="AY17" i="61"/>
  <c r="AX17" i="61"/>
  <c r="AW17" i="61"/>
  <c r="BF16" i="61"/>
  <c r="AY16" i="61"/>
  <c r="AX16" i="61"/>
  <c r="AW16" i="61"/>
  <c r="BF14" i="61"/>
  <c r="AY14" i="61"/>
  <c r="AX14" i="61"/>
  <c r="AW14" i="61"/>
  <c r="BF13" i="61"/>
  <c r="AY13" i="61"/>
  <c r="AX13" i="61"/>
  <c r="AW13" i="61"/>
  <c r="BF12" i="61"/>
  <c r="AY12" i="61"/>
  <c r="AX12" i="61"/>
  <c r="AW12" i="61"/>
  <c r="BF11" i="61"/>
  <c r="AY11" i="61"/>
  <c r="AX11" i="61"/>
  <c r="AW11" i="61"/>
  <c r="BF10" i="61"/>
  <c r="AY10" i="61"/>
  <c r="AX10" i="61"/>
  <c r="AW10" i="61"/>
  <c r="BF9" i="61"/>
  <c r="AY9" i="61"/>
  <c r="AX9" i="61"/>
  <c r="AW9" i="61"/>
  <c r="BF8" i="61"/>
  <c r="AY8" i="61"/>
  <c r="AX8" i="61"/>
  <c r="AW8" i="61"/>
  <c r="BF7" i="61"/>
  <c r="AY7" i="61"/>
  <c r="AX7" i="61"/>
  <c r="AW7" i="61"/>
  <c r="BF6" i="61"/>
  <c r="AY6" i="61"/>
  <c r="AX6" i="61"/>
  <c r="AW6" i="61"/>
  <c r="AZ36" i="61" l="1"/>
  <c r="BJ6" i="61"/>
  <c r="BJ44" i="61" s="1"/>
  <c r="AZ10" i="61"/>
  <c r="AZ39" i="61"/>
  <c r="AZ27" i="61"/>
  <c r="AZ21" i="61"/>
  <c r="BD21" i="61" s="1"/>
  <c r="AZ26" i="61"/>
  <c r="BD26" i="61" s="1"/>
  <c r="AZ30" i="61"/>
  <c r="AZ19" i="61"/>
  <c r="AZ25" i="61"/>
  <c r="BD25" i="61" s="1"/>
  <c r="AZ29" i="61"/>
  <c r="AZ34" i="61"/>
  <c r="BD34" i="61" s="1"/>
  <c r="AZ9" i="61"/>
  <c r="BD9" i="61" s="1"/>
  <c r="AZ13" i="61"/>
  <c r="BD13" i="61" s="1"/>
  <c r="AZ38" i="61"/>
  <c r="AZ42" i="61"/>
  <c r="BD42" i="61" s="1"/>
  <c r="AZ18" i="61"/>
  <c r="AZ24" i="61"/>
  <c r="BD24" i="61" s="1"/>
  <c r="AZ28" i="61"/>
  <c r="AZ32" i="61"/>
  <c r="AZ33" i="61"/>
  <c r="AZ40" i="61"/>
  <c r="BD40" i="61" s="1"/>
  <c r="AZ8" i="61"/>
  <c r="AZ12" i="61"/>
  <c r="BD12" i="61" s="1"/>
  <c r="AZ17" i="61"/>
  <c r="AZ23" i="61"/>
  <c r="BD23" i="61" s="1"/>
  <c r="AZ37" i="61"/>
  <c r="AZ41" i="61"/>
  <c r="BD41" i="61" s="1"/>
  <c r="AZ14" i="61"/>
  <c r="AZ7" i="61"/>
  <c r="BD7" i="61" s="1"/>
  <c r="AZ11" i="61"/>
  <c r="BD11" i="61" s="1"/>
  <c r="AZ16" i="61"/>
  <c r="BD16" i="61" s="1"/>
  <c r="AZ22" i="61"/>
  <c r="BD22" i="61" s="1"/>
  <c r="AZ31" i="61"/>
  <c r="BD31" i="61" s="1"/>
  <c r="AZ35" i="61"/>
  <c r="BC6" i="61"/>
  <c r="BC44" i="61" s="1"/>
  <c r="F44" i="61"/>
  <c r="O30" i="61"/>
  <c r="O31" i="61"/>
  <c r="K37" i="61"/>
  <c r="K17" i="61"/>
  <c r="O41" i="61"/>
  <c r="M18" i="61"/>
  <c r="O22" i="61"/>
  <c r="I27" i="61"/>
  <c r="K35" i="61"/>
  <c r="O38" i="61"/>
  <c r="M29" i="61"/>
  <c r="I37" i="61"/>
  <c r="K16" i="61"/>
  <c r="M30" i="61"/>
  <c r="K38" i="61"/>
  <c r="I38" i="61"/>
  <c r="O27" i="61"/>
  <c r="I35" i="61"/>
  <c r="M38" i="61"/>
  <c r="M37" i="61"/>
  <c r="O42" i="61"/>
  <c r="I14" i="61"/>
  <c r="I16" i="61"/>
  <c r="O25" i="61"/>
  <c r="K33" i="61"/>
  <c r="Y33" i="61" s="1"/>
  <c r="O37" i="61"/>
  <c r="O8" i="61"/>
  <c r="O26" i="61"/>
  <c r="O13" i="61"/>
  <c r="O19" i="61"/>
  <c r="M23" i="61"/>
  <c r="I28" i="61"/>
  <c r="K31" i="61"/>
  <c r="M36" i="61"/>
  <c r="O39" i="61"/>
  <c r="K26" i="61"/>
  <c r="I33" i="61"/>
  <c r="K23" i="61"/>
  <c r="O23" i="61"/>
  <c r="K36" i="61"/>
  <c r="I8" i="61"/>
  <c r="O11" i="61"/>
  <c r="M17" i="61"/>
  <c r="O21" i="61"/>
  <c r="M26" i="61"/>
  <c r="K29" i="61"/>
  <c r="M31" i="61"/>
  <c r="I36" i="61"/>
  <c r="E44" i="61"/>
  <c r="O9" i="61"/>
  <c r="M14" i="61"/>
  <c r="I18" i="61"/>
  <c r="O24" i="61"/>
  <c r="O32" i="61"/>
  <c r="O40" i="61"/>
  <c r="I31" i="61"/>
  <c r="M10" i="61"/>
  <c r="O16" i="61"/>
  <c r="K19" i="61"/>
  <c r="I25" i="61"/>
  <c r="O28" i="61"/>
  <c r="BD29" i="61"/>
  <c r="BD27" i="61"/>
  <c r="BD28" i="61"/>
  <c r="BD35" i="61"/>
  <c r="BD17" i="61"/>
  <c r="BD37" i="61"/>
  <c r="BD32" i="61"/>
  <c r="BD36" i="61"/>
  <c r="BD38" i="61"/>
  <c r="AX44" i="61"/>
  <c r="AY44" i="61"/>
  <c r="BD18" i="61"/>
  <c r="BD30" i="61"/>
  <c r="AW44" i="61"/>
  <c r="BD10" i="61"/>
  <c r="BF44" i="61"/>
  <c r="K10" i="61"/>
  <c r="K28" i="61"/>
  <c r="BD33" i="61"/>
  <c r="O10" i="61"/>
  <c r="I17" i="61"/>
  <c r="K9" i="61"/>
  <c r="O14" i="61"/>
  <c r="I9" i="61"/>
  <c r="K18" i="61"/>
  <c r="BD14" i="61"/>
  <c r="M9" i="61"/>
  <c r="M19" i="61"/>
  <c r="I6" i="61"/>
  <c r="K6" i="61"/>
  <c r="M6" i="61"/>
  <c r="O6" i="61"/>
  <c r="BD19" i="61"/>
  <c r="BD39" i="61"/>
  <c r="BD8" i="61"/>
  <c r="I7" i="61"/>
  <c r="K8" i="61"/>
  <c r="K14" i="61"/>
  <c r="M16" i="61"/>
  <c r="O17" i="61"/>
  <c r="O18" i="61"/>
  <c r="I26" i="61"/>
  <c r="K27" i="61"/>
  <c r="M28" i="61"/>
  <c r="O29" i="61"/>
  <c r="M35" i="61"/>
  <c r="O36" i="61"/>
  <c r="I42" i="61"/>
  <c r="K7" i="61"/>
  <c r="I24" i="61"/>
  <c r="M27" i="61"/>
  <c r="O35" i="61"/>
  <c r="I41" i="61"/>
  <c r="K42" i="61"/>
  <c r="M8" i="61"/>
  <c r="I13" i="61"/>
  <c r="M7" i="61"/>
  <c r="K13" i="61"/>
  <c r="I23" i="61"/>
  <c r="K24" i="61"/>
  <c r="K25" i="61"/>
  <c r="I40" i="61"/>
  <c r="K41" i="61"/>
  <c r="M42" i="61"/>
  <c r="O7" i="61"/>
  <c r="M13" i="61"/>
  <c r="I21" i="61"/>
  <c r="I22" i="61"/>
  <c r="M24" i="61"/>
  <c r="M25" i="61"/>
  <c r="I32" i="61"/>
  <c r="I39" i="61"/>
  <c r="K40" i="61"/>
  <c r="M41" i="61"/>
  <c r="I11" i="61"/>
  <c r="I10" i="61"/>
  <c r="K11" i="61"/>
  <c r="I19" i="61"/>
  <c r="K21" i="61"/>
  <c r="K22" i="61"/>
  <c r="I30" i="61"/>
  <c r="K32" i="61"/>
  <c r="K39" i="61"/>
  <c r="M40" i="61"/>
  <c r="M11" i="61"/>
  <c r="M21" i="61"/>
  <c r="M22" i="61"/>
  <c r="I29" i="61"/>
  <c r="M32" i="61"/>
  <c r="M39" i="61"/>
  <c r="AS37" i="61" l="1"/>
  <c r="AS30" i="61"/>
  <c r="AS35" i="61"/>
  <c r="AS36" i="61"/>
  <c r="AS23" i="61"/>
  <c r="AS9" i="61"/>
  <c r="AS19" i="61"/>
  <c r="AS33" i="61"/>
  <c r="AS31" i="61"/>
  <c r="AS38" i="61"/>
  <c r="AS29" i="61"/>
  <c r="AS39" i="61"/>
  <c r="AS18" i="61"/>
  <c r="AS28" i="61"/>
  <c r="AS25" i="61"/>
  <c r="AZ6" i="61"/>
  <c r="BD6" i="61" s="1"/>
  <c r="AS32" i="61"/>
  <c r="AS13" i="61"/>
  <c r="AS40" i="61"/>
  <c r="AS41" i="61"/>
  <c r="AS16" i="61"/>
  <c r="AS42" i="61"/>
  <c r="AS8" i="61"/>
  <c r="AS22" i="61"/>
  <c r="AS27" i="61"/>
  <c r="AS10" i="61"/>
  <c r="AS11" i="61"/>
  <c r="AS7" i="61"/>
  <c r="AS21" i="61"/>
  <c r="AS17" i="61"/>
  <c r="AS14" i="61"/>
  <c r="AS24" i="61"/>
  <c r="AS26" i="61"/>
  <c r="H38" i="61"/>
  <c r="H7" i="61"/>
  <c r="BA46" i="61"/>
  <c r="BA47" i="61" s="1"/>
  <c r="H37" i="61"/>
  <c r="H35" i="61"/>
  <c r="H14" i="61"/>
  <c r="H27" i="61"/>
  <c r="Y30" i="61"/>
  <c r="Y37" i="61"/>
  <c r="Y31" i="61"/>
  <c r="G50" i="61"/>
  <c r="I50" i="61" s="1"/>
  <c r="AR37" i="61"/>
  <c r="AR38" i="61"/>
  <c r="Y38" i="61"/>
  <c r="AQ38" i="61"/>
  <c r="AQ37" i="61"/>
  <c r="Y19" i="61"/>
  <c r="AR27" i="61"/>
  <c r="H28" i="61"/>
  <c r="H10" i="61"/>
  <c r="H24" i="61"/>
  <c r="AQ31" i="61"/>
  <c r="Y23" i="61"/>
  <c r="H40" i="61"/>
  <c r="H17" i="61"/>
  <c r="H11" i="61"/>
  <c r="H22" i="61"/>
  <c r="H13" i="61"/>
  <c r="H26" i="61"/>
  <c r="H25" i="61"/>
  <c r="H18" i="61"/>
  <c r="AQ33" i="61"/>
  <c r="H21" i="61"/>
  <c r="H42" i="61"/>
  <c r="Y18" i="61"/>
  <c r="H16" i="61"/>
  <c r="H9" i="61"/>
  <c r="H8" i="61"/>
  <c r="H30" i="61"/>
  <c r="H41" i="61"/>
  <c r="H36" i="61"/>
  <c r="H29" i="61"/>
  <c r="H39" i="61"/>
  <c r="H23" i="61"/>
  <c r="H19" i="61"/>
  <c r="H32" i="61"/>
  <c r="Y29" i="61"/>
  <c r="AR33" i="61"/>
  <c r="Y36" i="61"/>
  <c r="AQ17" i="61"/>
  <c r="H33" i="61"/>
  <c r="AR8" i="61"/>
  <c r="AR35" i="61"/>
  <c r="Y16" i="61"/>
  <c r="Y26" i="61"/>
  <c r="AQ14" i="61"/>
  <c r="Y10" i="61"/>
  <c r="AQ8" i="61"/>
  <c r="AR28" i="61"/>
  <c r="AQ27" i="61"/>
  <c r="AQ18" i="61"/>
  <c r="AR31" i="61"/>
  <c r="H31" i="61"/>
  <c r="AR18" i="61"/>
  <c r="AR36" i="61"/>
  <c r="AQ35" i="61"/>
  <c r="AQ28" i="61"/>
  <c r="AR9" i="61"/>
  <c r="AQ9" i="61"/>
  <c r="AR17" i="61"/>
  <c r="Y28" i="61"/>
  <c r="AQ16" i="61"/>
  <c r="Y25" i="61"/>
  <c r="AR14" i="61"/>
  <c r="Y17" i="61"/>
  <c r="AR16" i="61"/>
  <c r="Y35" i="61"/>
  <c r="AR6" i="61"/>
  <c r="AQ36" i="61"/>
  <c r="Y42" i="61"/>
  <c r="Y9" i="61"/>
  <c r="Y32" i="61"/>
  <c r="AQ25" i="61"/>
  <c r="AR25" i="61"/>
  <c r="Y6" i="61"/>
  <c r="AQ6" i="61"/>
  <c r="H6" i="61"/>
  <c r="AR22" i="61"/>
  <c r="AQ22" i="61"/>
  <c r="AR41" i="61"/>
  <c r="AQ41" i="61"/>
  <c r="Y8" i="61"/>
  <c r="Y40" i="61"/>
  <c r="Y39" i="61"/>
  <c r="AR39" i="61"/>
  <c r="AQ39" i="61"/>
  <c r="AR21" i="61"/>
  <c r="AQ21" i="61"/>
  <c r="AQ7" i="61"/>
  <c r="AR7" i="61"/>
  <c r="AR29" i="61"/>
  <c r="AQ29" i="61"/>
  <c r="Y22" i="61"/>
  <c r="Y11" i="61"/>
  <c r="Y24" i="61"/>
  <c r="AR13" i="61"/>
  <c r="AQ13" i="61"/>
  <c r="AQ42" i="61"/>
  <c r="AR42" i="61"/>
  <c r="AR30" i="61"/>
  <c r="AQ30" i="61"/>
  <c r="Y21" i="61"/>
  <c r="AR10" i="61"/>
  <c r="AQ10" i="61"/>
  <c r="AR32" i="61"/>
  <c r="AQ32" i="61"/>
  <c r="Y41" i="61"/>
  <c r="AR23" i="61"/>
  <c r="AQ23" i="61"/>
  <c r="AR24" i="61"/>
  <c r="AQ24" i="61"/>
  <c r="Y27" i="61"/>
  <c r="AR19" i="61"/>
  <c r="AQ19" i="61"/>
  <c r="AR11" i="61"/>
  <c r="AQ11" i="61"/>
  <c r="AR40" i="61"/>
  <c r="AQ40" i="61"/>
  <c r="Y13" i="61"/>
  <c r="Y7" i="61"/>
  <c r="AQ26" i="61"/>
  <c r="AR26" i="61"/>
  <c r="Y14" i="61"/>
  <c r="AZ44" i="61" l="1"/>
  <c r="AZ88" i="61" s="1"/>
  <c r="H14" i="75"/>
  <c r="H10" i="75"/>
  <c r="H7" i="75"/>
  <c r="H38" i="75"/>
  <c r="BD44" i="61"/>
  <c r="BD47" i="61" s="1"/>
  <c r="C50" i="61" l="1"/>
  <c r="BQ49" i="60" l="1"/>
  <c r="BQ44" i="60"/>
  <c r="BM44" i="60"/>
  <c r="BL44" i="60"/>
  <c r="BK44" i="60"/>
  <c r="BE44" i="60"/>
  <c r="BC44" i="60"/>
  <c r="BB44" i="60"/>
  <c r="BA44" i="60"/>
  <c r="AV44" i="60"/>
  <c r="AU44" i="60"/>
  <c r="AT44" i="60"/>
  <c r="AP44" i="60"/>
  <c r="AO44" i="60"/>
  <c r="AN44" i="60"/>
  <c r="AM44" i="60"/>
  <c r="AL44" i="60"/>
  <c r="AK44" i="60"/>
  <c r="AJ44" i="60"/>
  <c r="AI44" i="60"/>
  <c r="AG44" i="60"/>
  <c r="AF44" i="60"/>
  <c r="AE44" i="60"/>
  <c r="AD44" i="60"/>
  <c r="AC44" i="60"/>
  <c r="AA44" i="60"/>
  <c r="Z44" i="60"/>
  <c r="Y44" i="60"/>
  <c r="X44" i="60"/>
  <c r="W44" i="60"/>
  <c r="V44" i="60"/>
  <c r="R44" i="60"/>
  <c r="Q44" i="60"/>
  <c r="P44" i="60"/>
  <c r="N44" i="60"/>
  <c r="L44" i="60"/>
  <c r="J44" i="60"/>
  <c r="G44" i="60"/>
  <c r="F44" i="60"/>
  <c r="E44" i="60"/>
  <c r="F51" i="60" s="1"/>
  <c r="D44" i="60"/>
  <c r="BS42" i="60"/>
  <c r="BF42" i="60"/>
  <c r="AY42" i="60"/>
  <c r="AX42" i="60"/>
  <c r="AW42" i="60"/>
  <c r="O42" i="60"/>
  <c r="M42" i="60"/>
  <c r="K42" i="60"/>
  <c r="H42" i="60"/>
  <c r="AQ42" i="60" s="1"/>
  <c r="BS41" i="60"/>
  <c r="BF41" i="60"/>
  <c r="AY41" i="60"/>
  <c r="AX41" i="60"/>
  <c r="AW41" i="60"/>
  <c r="O41" i="60"/>
  <c r="M41" i="60"/>
  <c r="K41" i="60"/>
  <c r="H41" i="60"/>
  <c r="BS40" i="60"/>
  <c r="BF40" i="60"/>
  <c r="AY40" i="60"/>
  <c r="AX40" i="60"/>
  <c r="AW40" i="60"/>
  <c r="O40" i="60"/>
  <c r="M40" i="60"/>
  <c r="K40" i="60"/>
  <c r="H40" i="60"/>
  <c r="BS39" i="60"/>
  <c r="BF39" i="60"/>
  <c r="AY39" i="60"/>
  <c r="AX39" i="60"/>
  <c r="AW39" i="60"/>
  <c r="O39" i="60"/>
  <c r="M39" i="60"/>
  <c r="K39" i="60"/>
  <c r="H39" i="60"/>
  <c r="BS37" i="60"/>
  <c r="BF37" i="60"/>
  <c r="AY37" i="60"/>
  <c r="AX37" i="60"/>
  <c r="AW37" i="60"/>
  <c r="O37" i="60"/>
  <c r="M37" i="60"/>
  <c r="K37" i="60"/>
  <c r="H37" i="60"/>
  <c r="AR37" i="60" s="1"/>
  <c r="BS36" i="60"/>
  <c r="BQ36" i="60"/>
  <c r="BQ37" i="60" s="1"/>
  <c r="BF36" i="60"/>
  <c r="AY36" i="60"/>
  <c r="AX36" i="60"/>
  <c r="AW36" i="60"/>
  <c r="O36" i="60"/>
  <c r="M36" i="60"/>
  <c r="K36" i="60"/>
  <c r="H36" i="60"/>
  <c r="AR36" i="60" s="1"/>
  <c r="BS35" i="60"/>
  <c r="BF35" i="60"/>
  <c r="AY35" i="60"/>
  <c r="AX35" i="60"/>
  <c r="AW35" i="60"/>
  <c r="AQ35" i="60"/>
  <c r="O35" i="60"/>
  <c r="M35" i="60"/>
  <c r="K35" i="60"/>
  <c r="H35" i="60"/>
  <c r="AR35" i="60" s="1"/>
  <c r="BS34" i="60"/>
  <c r="BF34" i="60"/>
  <c r="AY34" i="60"/>
  <c r="AX34" i="60"/>
  <c r="AW34" i="60"/>
  <c r="O34" i="60"/>
  <c r="M34" i="60"/>
  <c r="K34" i="60"/>
  <c r="H34" i="60"/>
  <c r="AR34" i="60" s="1"/>
  <c r="BS32" i="60"/>
  <c r="BF32" i="60"/>
  <c r="AY32" i="60"/>
  <c r="AX32" i="60"/>
  <c r="AW32" i="60"/>
  <c r="O32" i="60"/>
  <c r="M32" i="60"/>
  <c r="K32" i="60"/>
  <c r="H32" i="60"/>
  <c r="AR32" i="60" s="1"/>
  <c r="BS31" i="60"/>
  <c r="BF31" i="60"/>
  <c r="AY31" i="60"/>
  <c r="AX31" i="60"/>
  <c r="AW31" i="60"/>
  <c r="O31" i="60"/>
  <c r="M31" i="60"/>
  <c r="K31" i="60"/>
  <c r="AS31" i="60" s="1"/>
  <c r="H31" i="60"/>
  <c r="AQ31" i="60" s="1"/>
  <c r="BS30" i="60"/>
  <c r="BQ30" i="60"/>
  <c r="BF30" i="60"/>
  <c r="AY30" i="60"/>
  <c r="AX30" i="60"/>
  <c r="AW30" i="60"/>
  <c r="O30" i="60"/>
  <c r="M30" i="60"/>
  <c r="K30" i="60"/>
  <c r="H30" i="60"/>
  <c r="AR30" i="60" s="1"/>
  <c r="BS29" i="60"/>
  <c r="AY29" i="60"/>
  <c r="AX29" i="60"/>
  <c r="AW29" i="60"/>
  <c r="O29" i="60"/>
  <c r="M29" i="60"/>
  <c r="K29" i="60"/>
  <c r="H29" i="60"/>
  <c r="AR29" i="60" s="1"/>
  <c r="BS28" i="60"/>
  <c r="BF28" i="60"/>
  <c r="AY28" i="60"/>
  <c r="AX28" i="60"/>
  <c r="AW28" i="60"/>
  <c r="O28" i="60"/>
  <c r="M28" i="60"/>
  <c r="K28" i="60"/>
  <c r="H28" i="60"/>
  <c r="AR28" i="60" s="1"/>
  <c r="BS27" i="60"/>
  <c r="BF27" i="60"/>
  <c r="AY27" i="60"/>
  <c r="AX27" i="60"/>
  <c r="AW27" i="60"/>
  <c r="O27" i="60"/>
  <c r="M27" i="60"/>
  <c r="K27" i="60"/>
  <c r="H27" i="60"/>
  <c r="AR27" i="60" s="1"/>
  <c r="BS26" i="60"/>
  <c r="BF26" i="60"/>
  <c r="AY26" i="60"/>
  <c r="AX26" i="60"/>
  <c r="AW26" i="60"/>
  <c r="O26" i="60"/>
  <c r="M26" i="60"/>
  <c r="K26" i="60"/>
  <c r="H26" i="60"/>
  <c r="AR26" i="60" s="1"/>
  <c r="BS25" i="60"/>
  <c r="BF25" i="60"/>
  <c r="AY25" i="60"/>
  <c r="AX25" i="60"/>
  <c r="AW25" i="60"/>
  <c r="O25" i="60"/>
  <c r="M25" i="60"/>
  <c r="K25" i="60"/>
  <c r="H25" i="60"/>
  <c r="AR25" i="60" s="1"/>
  <c r="BS24" i="60"/>
  <c r="BQ24" i="60"/>
  <c r="BN6" i="60" s="1"/>
  <c r="BF24" i="60"/>
  <c r="AY24" i="60"/>
  <c r="AX24" i="60"/>
  <c r="AW24" i="60"/>
  <c r="O24" i="60"/>
  <c r="M24" i="60"/>
  <c r="K24" i="60"/>
  <c r="H24" i="60"/>
  <c r="BS23" i="60"/>
  <c r="AY23" i="60"/>
  <c r="AX23" i="60"/>
  <c r="AW23" i="60"/>
  <c r="S23" i="60"/>
  <c r="S44" i="60" s="1"/>
  <c r="O23" i="60"/>
  <c r="M23" i="60"/>
  <c r="K23" i="60"/>
  <c r="H23" i="60"/>
  <c r="AQ23" i="60" s="1"/>
  <c r="BS22" i="60"/>
  <c r="BF22" i="60"/>
  <c r="AY22" i="60"/>
  <c r="AX22" i="60"/>
  <c r="AW22" i="60"/>
  <c r="O22" i="60"/>
  <c r="M22" i="60"/>
  <c r="K22" i="60"/>
  <c r="H22" i="60"/>
  <c r="BS21" i="60"/>
  <c r="BF21" i="60"/>
  <c r="AY21" i="60"/>
  <c r="AX21" i="60"/>
  <c r="AW21" i="60"/>
  <c r="O21" i="60"/>
  <c r="M21" i="60"/>
  <c r="K21" i="60"/>
  <c r="H21" i="60"/>
  <c r="AR21" i="60" s="1"/>
  <c r="BS19" i="60"/>
  <c r="BF19" i="60"/>
  <c r="AY19" i="60"/>
  <c r="AX19" i="60"/>
  <c r="AW19" i="60"/>
  <c r="O19" i="60"/>
  <c r="M19" i="60"/>
  <c r="K19" i="60"/>
  <c r="H19" i="60"/>
  <c r="AR19" i="60" s="1"/>
  <c r="BS18" i="60"/>
  <c r="BF18" i="60"/>
  <c r="AY18" i="60"/>
  <c r="AX18" i="60"/>
  <c r="AW18" i="60"/>
  <c r="O18" i="60"/>
  <c r="M18" i="60"/>
  <c r="K18" i="60"/>
  <c r="AS18" i="60" s="1"/>
  <c r="H18" i="60"/>
  <c r="AR18" i="60" s="1"/>
  <c r="BS17" i="60"/>
  <c r="BQ17" i="60"/>
  <c r="BH6" i="60" s="1"/>
  <c r="BF17" i="60"/>
  <c r="AY17" i="60"/>
  <c r="AX17" i="60"/>
  <c r="AW17" i="60"/>
  <c r="O17" i="60"/>
  <c r="M17" i="60"/>
  <c r="K17" i="60"/>
  <c r="I17" i="60"/>
  <c r="I44" i="60" s="1"/>
  <c r="H17" i="60"/>
  <c r="BS16" i="60"/>
  <c r="AY16" i="60"/>
  <c r="AX16" i="60"/>
  <c r="AW16" i="60"/>
  <c r="O16" i="60"/>
  <c r="M16" i="60"/>
  <c r="K16" i="60"/>
  <c r="H16" i="60"/>
  <c r="AQ16" i="60" s="1"/>
  <c r="BS14" i="60"/>
  <c r="BF14" i="60"/>
  <c r="AY14" i="60"/>
  <c r="AX14" i="60"/>
  <c r="AW14" i="60"/>
  <c r="O14" i="60"/>
  <c r="M14" i="60"/>
  <c r="K14" i="60"/>
  <c r="H14" i="60"/>
  <c r="AQ14" i="60" s="1"/>
  <c r="BS13" i="60"/>
  <c r="BF13" i="60"/>
  <c r="AY13" i="60"/>
  <c r="AX13" i="60"/>
  <c r="AW13" i="60"/>
  <c r="O13" i="60"/>
  <c r="M13" i="60"/>
  <c r="K13" i="60"/>
  <c r="H13" i="60"/>
  <c r="AQ13" i="60" s="1"/>
  <c r="BS12" i="60"/>
  <c r="BF12" i="60"/>
  <c r="AY12" i="60"/>
  <c r="AX12" i="60"/>
  <c r="AW12" i="60"/>
  <c r="O12" i="60"/>
  <c r="M12" i="60"/>
  <c r="K12" i="60"/>
  <c r="H12" i="60"/>
  <c r="AQ12" i="60" s="1"/>
  <c r="BS11" i="60"/>
  <c r="BF11" i="60"/>
  <c r="AY11" i="60"/>
  <c r="AX11" i="60"/>
  <c r="AW11" i="60"/>
  <c r="O11" i="60"/>
  <c r="M11" i="60"/>
  <c r="K11" i="60"/>
  <c r="H11" i="60"/>
  <c r="AQ11" i="60" s="1"/>
  <c r="BS10" i="60"/>
  <c r="BF10" i="60"/>
  <c r="AY10" i="60"/>
  <c r="AX10" i="60"/>
  <c r="AW10" i="60"/>
  <c r="O10" i="60"/>
  <c r="M10" i="60"/>
  <c r="K10" i="60"/>
  <c r="H10" i="60"/>
  <c r="AQ10" i="60" s="1"/>
  <c r="BS9" i="60"/>
  <c r="BF9" i="60"/>
  <c r="AY9" i="60"/>
  <c r="AX9" i="60"/>
  <c r="AW9" i="60"/>
  <c r="O9" i="60"/>
  <c r="M9" i="60"/>
  <c r="K9" i="60"/>
  <c r="H9" i="60"/>
  <c r="AQ9" i="60" s="1"/>
  <c r="BS8" i="60"/>
  <c r="BF8" i="60"/>
  <c r="AY8" i="60"/>
  <c r="AX8" i="60"/>
  <c r="AW8" i="60"/>
  <c r="O8" i="60"/>
  <c r="M8" i="60"/>
  <c r="K8" i="60"/>
  <c r="H8" i="60"/>
  <c r="AQ8" i="60" s="1"/>
  <c r="BS7" i="60"/>
  <c r="AY7" i="60"/>
  <c r="AX7" i="60"/>
  <c r="AW7" i="60"/>
  <c r="O7" i="60"/>
  <c r="M7" i="60"/>
  <c r="K7" i="60"/>
  <c r="H7" i="60"/>
  <c r="AQ7" i="60" s="1"/>
  <c r="BS6" i="60"/>
  <c r="BI6" i="60"/>
  <c r="BI44" i="60" s="1"/>
  <c r="BF6" i="60"/>
  <c r="AY6" i="60"/>
  <c r="AX6" i="60"/>
  <c r="AW6" i="60"/>
  <c r="O6" i="60"/>
  <c r="M6" i="60"/>
  <c r="K6" i="60"/>
  <c r="H6" i="60"/>
  <c r="AR6" i="60" s="1"/>
  <c r="AR23" i="60" l="1"/>
  <c r="U10" i="60"/>
  <c r="C10" i="60" s="1"/>
  <c r="AR16" i="60"/>
  <c r="U27" i="60"/>
  <c r="C27" i="60" s="1"/>
  <c r="AS11" i="60"/>
  <c r="AQ18" i="60"/>
  <c r="AQ19" i="60"/>
  <c r="AQ29" i="60"/>
  <c r="AZ39" i="60"/>
  <c r="BD39" i="60" s="1"/>
  <c r="U21" i="60"/>
  <c r="C21" i="60" s="1"/>
  <c r="U25" i="60"/>
  <c r="C25" i="60" s="1"/>
  <c r="U30" i="60"/>
  <c r="C30" i="60" s="1"/>
  <c r="AZ13" i="60"/>
  <c r="BD13" i="60" s="1"/>
  <c r="AQ25" i="60"/>
  <c r="U32" i="60"/>
  <c r="C32" i="60" s="1"/>
  <c r="AZ31" i="60"/>
  <c r="U29" i="60"/>
  <c r="C29" i="60" s="1"/>
  <c r="AS12" i="60"/>
  <c r="AZ16" i="60"/>
  <c r="BD16" i="60" s="1"/>
  <c r="U18" i="60"/>
  <c r="C18" i="60" s="1"/>
  <c r="AS29" i="60"/>
  <c r="U35" i="60"/>
  <c r="C35" i="60" s="1"/>
  <c r="AS9" i="60"/>
  <c r="AQ36" i="60"/>
  <c r="AZ9" i="60"/>
  <c r="BD9" i="60" s="1"/>
  <c r="AS16" i="60"/>
  <c r="AS24" i="60"/>
  <c r="AS25" i="60"/>
  <c r="AS34" i="60"/>
  <c r="AS39" i="60"/>
  <c r="AZ40" i="60"/>
  <c r="BD40" i="60" s="1"/>
  <c r="AS7" i="60"/>
  <c r="AR14" i="60"/>
  <c r="AS17" i="60"/>
  <c r="U19" i="60"/>
  <c r="C19" i="60" s="1"/>
  <c r="AS21" i="60"/>
  <c r="U26" i="60"/>
  <c r="C26" i="60" s="1"/>
  <c r="AZ27" i="60"/>
  <c r="BD27" i="60" s="1"/>
  <c r="AQ32" i="60"/>
  <c r="AS40" i="60"/>
  <c r="AR13" i="60"/>
  <c r="AW44" i="60"/>
  <c r="U12" i="60"/>
  <c r="C12" i="60" s="1"/>
  <c r="AS22" i="60"/>
  <c r="U34" i="60"/>
  <c r="C34" i="60" s="1"/>
  <c r="AS41" i="60"/>
  <c r="AQ34" i="60"/>
  <c r="AY44" i="60"/>
  <c r="AR7" i="60"/>
  <c r="AR12" i="60"/>
  <c r="AS13" i="60"/>
  <c r="AQ21" i="60"/>
  <c r="AS23" i="60"/>
  <c r="AZ25" i="60"/>
  <c r="BD25" i="60" s="1"/>
  <c r="AQ27" i="60"/>
  <c r="AS36" i="60"/>
  <c r="AZ37" i="60"/>
  <c r="BD37" i="60" s="1"/>
  <c r="AS42" i="60"/>
  <c r="AS27" i="60"/>
  <c r="AR22" i="60"/>
  <c r="AZ23" i="60"/>
  <c r="BD23" i="60" s="1"/>
  <c r="U28" i="60"/>
  <c r="C28" i="60" s="1"/>
  <c r="AZ29" i="60"/>
  <c r="BD29" i="60" s="1"/>
  <c r="AR31" i="60"/>
  <c r="U36" i="60"/>
  <c r="C36" i="60" s="1"/>
  <c r="AS37" i="60"/>
  <c r="AQ41" i="60"/>
  <c r="U39" i="60"/>
  <c r="C39" i="60" s="1"/>
  <c r="AR10" i="60"/>
  <c r="AZ17" i="60"/>
  <c r="BD17" i="60" s="1"/>
  <c r="AZ26" i="60"/>
  <c r="BD26" i="60" s="1"/>
  <c r="AZ28" i="60"/>
  <c r="BD28" i="60" s="1"/>
  <c r="AZ30" i="60"/>
  <c r="BD30" i="60" s="1"/>
  <c r="AQ39" i="60"/>
  <c r="AZ41" i="60"/>
  <c r="BD41" i="60" s="1"/>
  <c r="BF44" i="60"/>
  <c r="U13" i="60"/>
  <c r="C13" i="60" s="1"/>
  <c r="AS10" i="60"/>
  <c r="U11" i="60"/>
  <c r="C11" i="60" s="1"/>
  <c r="AZ14" i="60"/>
  <c r="BD14" i="60" s="1"/>
  <c r="AZ19" i="60"/>
  <c r="BD19" i="60" s="1"/>
  <c r="U24" i="60"/>
  <c r="C24" i="60" s="1"/>
  <c r="AZ32" i="60"/>
  <c r="BD32" i="60" s="1"/>
  <c r="AZ35" i="60"/>
  <c r="BD35" i="60" s="1"/>
  <c r="U40" i="60"/>
  <c r="C40" i="60" s="1"/>
  <c r="AZ24" i="60"/>
  <c r="BD24" i="60" s="1"/>
  <c r="BJ6" i="60"/>
  <c r="BJ44" i="60" s="1"/>
  <c r="AZ7" i="60"/>
  <c r="BD7" i="60" s="1"/>
  <c r="AX44" i="60"/>
  <c r="AR8" i="60"/>
  <c r="AZ10" i="60"/>
  <c r="BD10" i="60" s="1"/>
  <c r="U14" i="60"/>
  <c r="C14" i="60" s="1"/>
  <c r="U17" i="60"/>
  <c r="C17" i="60" s="1"/>
  <c r="U22" i="60"/>
  <c r="C22" i="60" s="1"/>
  <c r="AQ24" i="60"/>
  <c r="AQ40" i="60"/>
  <c r="AZ42" i="60"/>
  <c r="BD42" i="60" s="1"/>
  <c r="K44" i="60"/>
  <c r="U8" i="60"/>
  <c r="C8" i="60" s="1"/>
  <c r="U6" i="60"/>
  <c r="C6" i="60" s="1"/>
  <c r="AQ6" i="60"/>
  <c r="AS8" i="60"/>
  <c r="U9" i="60"/>
  <c r="C9" i="60" s="1"/>
  <c r="AR11" i="60"/>
  <c r="AZ12" i="60"/>
  <c r="BD12" i="60" s="1"/>
  <c r="AQ17" i="60"/>
  <c r="AQ22" i="60"/>
  <c r="AR24" i="60"/>
  <c r="AQ26" i="60"/>
  <c r="AQ28" i="60"/>
  <c r="AQ30" i="60"/>
  <c r="U37" i="60"/>
  <c r="C37" i="60" s="1"/>
  <c r="U41" i="60"/>
  <c r="C41" i="60" s="1"/>
  <c r="AZ8" i="60"/>
  <c r="BD8" i="60" s="1"/>
  <c r="AS28" i="60"/>
  <c r="AS30" i="60"/>
  <c r="AR17" i="60"/>
  <c r="AS26" i="60"/>
  <c r="U7" i="60"/>
  <c r="C7" i="60" s="1"/>
  <c r="AR9" i="60"/>
  <c r="AZ11" i="60"/>
  <c r="BD11" i="60" s="1"/>
  <c r="AS14" i="60"/>
  <c r="U16" i="60"/>
  <c r="C16" i="60" s="1"/>
  <c r="AZ18" i="60"/>
  <c r="BD18" i="60" s="1"/>
  <c r="AS19" i="60"/>
  <c r="AZ21" i="60"/>
  <c r="AZ22" i="60"/>
  <c r="AS32" i="60"/>
  <c r="AZ34" i="60"/>
  <c r="BD34" i="60" s="1"/>
  <c r="AS35" i="60"/>
  <c r="AZ36" i="60"/>
  <c r="BD36" i="60" s="1"/>
  <c r="U42" i="60"/>
  <c r="C42" i="60" s="1"/>
  <c r="O44" i="60"/>
  <c r="BH44" i="60"/>
  <c r="AZ6" i="60"/>
  <c r="U23" i="60"/>
  <c r="C23" i="60" s="1"/>
  <c r="M44" i="60"/>
  <c r="U31" i="60"/>
  <c r="C31" i="60" s="1"/>
  <c r="AQ37" i="60"/>
  <c r="H44" i="60"/>
  <c r="D51" i="60" s="1"/>
  <c r="AR39" i="60"/>
  <c r="AR40" i="60"/>
  <c r="AR41" i="60"/>
  <c r="AR42" i="60"/>
  <c r="AS44" i="60" l="1"/>
  <c r="AR44" i="60"/>
  <c r="U44" i="60"/>
  <c r="AQ44" i="60"/>
  <c r="AZ44" i="60"/>
  <c r="BD6" i="60"/>
  <c r="BD44" i="60" s="1"/>
  <c r="C44" i="60"/>
  <c r="C51" i="60" l="1"/>
  <c r="AZ89" i="60"/>
  <c r="BA6" i="59" l="1"/>
  <c r="BA6" i="75" s="1"/>
  <c r="BA44" i="75" s="1"/>
  <c r="H50" i="75" l="1"/>
  <c r="I50" i="75" s="1"/>
  <c r="BA47" i="75"/>
  <c r="AW33" i="59" l="1"/>
  <c r="AW33" i="75" s="1"/>
  <c r="AX33" i="59"/>
  <c r="AX33" i="75" s="1"/>
  <c r="AY33" i="59"/>
  <c r="AY33" i="75" s="1"/>
  <c r="AW34" i="59"/>
  <c r="AW34" i="75" s="1"/>
  <c r="AX34" i="59"/>
  <c r="AX34" i="75" s="1"/>
  <c r="AY34" i="59"/>
  <c r="AY34" i="75" s="1"/>
  <c r="AW35" i="59"/>
  <c r="AW35" i="75" s="1"/>
  <c r="AX35" i="59"/>
  <c r="AX35" i="75" s="1"/>
  <c r="AY35" i="59"/>
  <c r="AY35" i="75" s="1"/>
  <c r="AW36" i="59"/>
  <c r="AW36" i="75" s="1"/>
  <c r="AX36" i="59"/>
  <c r="AX36" i="75" s="1"/>
  <c r="AY36" i="59"/>
  <c r="AY36" i="75" s="1"/>
  <c r="AW37" i="59"/>
  <c r="AW37" i="75" s="1"/>
  <c r="AX37" i="59"/>
  <c r="AX37" i="75" s="1"/>
  <c r="AY37" i="59"/>
  <c r="AY37" i="75" s="1"/>
  <c r="AW38" i="59"/>
  <c r="AW38" i="75" s="1"/>
  <c r="AX38" i="59"/>
  <c r="AX38" i="75" s="1"/>
  <c r="AY38" i="59"/>
  <c r="AY38" i="75" s="1"/>
  <c r="AW39" i="59"/>
  <c r="AW39" i="75" s="1"/>
  <c r="AX39" i="59"/>
  <c r="AX39" i="75" s="1"/>
  <c r="AY39" i="59"/>
  <c r="AY39" i="75" s="1"/>
  <c r="AW40" i="59"/>
  <c r="AW40" i="75" s="1"/>
  <c r="AX40" i="59"/>
  <c r="AX40" i="75" s="1"/>
  <c r="AY40" i="59"/>
  <c r="AY40" i="75" s="1"/>
  <c r="AW41" i="59"/>
  <c r="AW41" i="75" s="1"/>
  <c r="AX41" i="59"/>
  <c r="AX41" i="75" s="1"/>
  <c r="AY41" i="59"/>
  <c r="AY41" i="75" s="1"/>
  <c r="AW42" i="59"/>
  <c r="AW42" i="75" s="1"/>
  <c r="AX42" i="59"/>
  <c r="AX42" i="75" s="1"/>
  <c r="AY42" i="59"/>
  <c r="AY42" i="75" s="1"/>
  <c r="BC33" i="59"/>
  <c r="BC33" i="75" s="1"/>
  <c r="R44" i="59"/>
  <c r="BF33" i="59"/>
  <c r="BC34" i="59"/>
  <c r="BC34" i="75" s="1"/>
  <c r="BF34" i="59"/>
  <c r="BF34" i="75" s="1"/>
  <c r="BC35" i="59"/>
  <c r="BC35" i="75" s="1"/>
  <c r="BF35" i="59"/>
  <c r="BF35" i="75" s="1"/>
  <c r="BC36" i="59"/>
  <c r="BC36" i="75" s="1"/>
  <c r="Q44" i="59"/>
  <c r="BF36" i="59"/>
  <c r="BC37" i="59"/>
  <c r="BC37" i="75" s="1"/>
  <c r="BF37" i="59"/>
  <c r="BF37" i="75" s="1"/>
  <c r="BC38" i="59"/>
  <c r="BC38" i="75" s="1"/>
  <c r="BF38" i="59"/>
  <c r="BF38" i="75" s="1"/>
  <c r="BC39" i="59"/>
  <c r="BC39" i="75" s="1"/>
  <c r="BF39" i="59"/>
  <c r="BC40" i="59"/>
  <c r="BC40" i="75" s="1"/>
  <c r="BF40" i="59"/>
  <c r="BF40" i="75" s="1"/>
  <c r="BC41" i="59"/>
  <c r="BF41" i="59"/>
  <c r="BC42" i="59"/>
  <c r="BC42" i="75" s="1"/>
  <c r="BF42" i="59"/>
  <c r="BF42" i="75" s="1"/>
  <c r="G44" i="59"/>
  <c r="J44" i="59"/>
  <c r="L44" i="59"/>
  <c r="N44" i="59"/>
  <c r="S44" i="59"/>
  <c r="V44" i="59"/>
  <c r="W44" i="59"/>
  <c r="X44" i="59"/>
  <c r="Z44" i="59"/>
  <c r="AA44" i="59"/>
  <c r="AC44" i="59"/>
  <c r="AD44" i="59"/>
  <c r="AE44" i="59"/>
  <c r="AG44" i="59"/>
  <c r="AI44" i="59"/>
  <c r="AJ44" i="59"/>
  <c r="AK44" i="59"/>
  <c r="AL44" i="59"/>
  <c r="AM44" i="59"/>
  <c r="AN44" i="59"/>
  <c r="AO44" i="59"/>
  <c r="AP44" i="59"/>
  <c r="AT44" i="59"/>
  <c r="AU44" i="59"/>
  <c r="AV44" i="59"/>
  <c r="BA44" i="59"/>
  <c r="BB44" i="59"/>
  <c r="BE44" i="59"/>
  <c r="BF7" i="59"/>
  <c r="BF7" i="75" s="1"/>
  <c r="BF8" i="59"/>
  <c r="BF8" i="75" s="1"/>
  <c r="BF9" i="59"/>
  <c r="BF9" i="75" s="1"/>
  <c r="BF10" i="59"/>
  <c r="BF10" i="75" s="1"/>
  <c r="BF11" i="59"/>
  <c r="BF11" i="75" s="1"/>
  <c r="BF12" i="59"/>
  <c r="BF12" i="75" s="1"/>
  <c r="BF13" i="59"/>
  <c r="BF13" i="75" s="1"/>
  <c r="BF14" i="59"/>
  <c r="BF14" i="75" s="1"/>
  <c r="BF16" i="59"/>
  <c r="BF16" i="75" s="1"/>
  <c r="BF17" i="59"/>
  <c r="BF17" i="75" s="1"/>
  <c r="BF18" i="59"/>
  <c r="BF18" i="75" s="1"/>
  <c r="BF19" i="59"/>
  <c r="BF19" i="75" s="1"/>
  <c r="BF21" i="59"/>
  <c r="BF21" i="75" s="1"/>
  <c r="BF22" i="59"/>
  <c r="BF22" i="75" s="1"/>
  <c r="BF23" i="59"/>
  <c r="BF23" i="75" s="1"/>
  <c r="BF24" i="59"/>
  <c r="BF24" i="75" s="1"/>
  <c r="BF25" i="59"/>
  <c r="BF25" i="75" s="1"/>
  <c r="BF26" i="59"/>
  <c r="BF26" i="75" s="1"/>
  <c r="BF27" i="59"/>
  <c r="BF27" i="75" s="1"/>
  <c r="BF28" i="59"/>
  <c r="BF28" i="75" s="1"/>
  <c r="BF29" i="59"/>
  <c r="BF29" i="75" s="1"/>
  <c r="BF30" i="59"/>
  <c r="BF30" i="75" s="1"/>
  <c r="BF31" i="59"/>
  <c r="BF31" i="75" s="1"/>
  <c r="BF32" i="59"/>
  <c r="BF32" i="75" s="1"/>
  <c r="AZ39" i="59" l="1"/>
  <c r="AZ39" i="75" s="1"/>
  <c r="BF39" i="75"/>
  <c r="AZ36" i="59"/>
  <c r="AZ36" i="75" s="1"/>
  <c r="BF36" i="75"/>
  <c r="AZ41" i="59"/>
  <c r="AZ41" i="75" s="1"/>
  <c r="BF41" i="75"/>
  <c r="AZ33" i="59"/>
  <c r="AZ33" i="75" s="1"/>
  <c r="BF33" i="75"/>
  <c r="BC41" i="75"/>
  <c r="BD33" i="59"/>
  <c r="AZ35" i="59"/>
  <c r="AZ38" i="59"/>
  <c r="AZ38" i="75" s="1"/>
  <c r="BD39" i="59"/>
  <c r="AZ42" i="59"/>
  <c r="AZ40" i="59"/>
  <c r="AZ34" i="59"/>
  <c r="BD36" i="59"/>
  <c r="AZ37" i="59"/>
  <c r="P44" i="59"/>
  <c r="BD41" i="59" l="1"/>
  <c r="BD38" i="59"/>
  <c r="BD39" i="75"/>
  <c r="BD33" i="75"/>
  <c r="BD36" i="75"/>
  <c r="BD42" i="59"/>
  <c r="AZ42" i="75"/>
  <c r="BD37" i="59"/>
  <c r="AZ37" i="75"/>
  <c r="BD35" i="59"/>
  <c r="AZ35" i="75"/>
  <c r="BD34" i="59"/>
  <c r="AZ34" i="75"/>
  <c r="BD40" i="59"/>
  <c r="AZ40" i="75"/>
  <c r="BC7" i="59"/>
  <c r="BC7" i="75" s="1"/>
  <c r="BC8" i="59"/>
  <c r="BC8" i="75" s="1"/>
  <c r="BC9" i="59"/>
  <c r="BC9" i="75" s="1"/>
  <c r="BC10" i="59"/>
  <c r="BC10" i="75" s="1"/>
  <c r="BC11" i="59"/>
  <c r="BC11" i="75" s="1"/>
  <c r="BC12" i="59"/>
  <c r="BC12" i="75" s="1"/>
  <c r="BC13" i="59"/>
  <c r="BC13" i="75" s="1"/>
  <c r="BC14" i="59"/>
  <c r="BC14" i="75" s="1"/>
  <c r="BC16" i="59"/>
  <c r="BC16" i="75" s="1"/>
  <c r="BC17" i="59"/>
  <c r="BC17" i="75" s="1"/>
  <c r="BC18" i="59"/>
  <c r="BC18" i="75" s="1"/>
  <c r="BC19" i="59"/>
  <c r="BC19" i="75" s="1"/>
  <c r="BC21" i="59"/>
  <c r="BC21" i="75" s="1"/>
  <c r="BC22" i="59"/>
  <c r="BC22" i="75" s="1"/>
  <c r="BC23" i="59"/>
  <c r="BC23" i="75" s="1"/>
  <c r="BC24" i="59"/>
  <c r="BC24" i="75" s="1"/>
  <c r="BC25" i="59"/>
  <c r="BC25" i="75" s="1"/>
  <c r="BC26" i="59"/>
  <c r="BC26" i="75" s="1"/>
  <c r="BC27" i="59"/>
  <c r="BC27" i="75" s="1"/>
  <c r="BC28" i="59"/>
  <c r="BC28" i="75" s="1"/>
  <c r="BC29" i="59"/>
  <c r="BC29" i="75" s="1"/>
  <c r="BC30" i="59"/>
  <c r="BC30" i="75" s="1"/>
  <c r="BC31" i="59"/>
  <c r="BC31" i="75" s="1"/>
  <c r="BC32" i="59"/>
  <c r="BC32" i="75" s="1"/>
  <c r="BD41" i="75" l="1"/>
  <c r="BD38" i="75"/>
  <c r="BD35" i="75"/>
  <c r="BD37" i="75"/>
  <c r="BD40" i="75"/>
  <c r="BD42" i="75"/>
  <c r="BD34" i="75"/>
  <c r="BC6" i="59"/>
  <c r="F44" i="59"/>
  <c r="BC44" i="59" l="1"/>
  <c r="BC6" i="75"/>
  <c r="BC44" i="75" s="1"/>
  <c r="O40" i="59"/>
  <c r="O40" i="75" s="1"/>
  <c r="I40" i="59"/>
  <c r="K40" i="59"/>
  <c r="K40" i="75" s="1"/>
  <c r="M40" i="59"/>
  <c r="M40" i="75" s="1"/>
  <c r="I39" i="59"/>
  <c r="K39" i="59"/>
  <c r="K39" i="75" s="1"/>
  <c r="M39" i="59"/>
  <c r="M39" i="75" s="1"/>
  <c r="O39" i="59"/>
  <c r="O39" i="75" s="1"/>
  <c r="I38" i="59"/>
  <c r="K38" i="59"/>
  <c r="K38" i="75" s="1"/>
  <c r="M38" i="59"/>
  <c r="M38" i="75" s="1"/>
  <c r="O38" i="59"/>
  <c r="O38" i="75" s="1"/>
  <c r="I37" i="59"/>
  <c r="K37" i="59"/>
  <c r="K37" i="75" s="1"/>
  <c r="M37" i="59"/>
  <c r="M37" i="75" s="1"/>
  <c r="O37" i="59"/>
  <c r="O37" i="75" s="1"/>
  <c r="K36" i="59"/>
  <c r="K36" i="75" s="1"/>
  <c r="I36" i="59"/>
  <c r="M36" i="59"/>
  <c r="M36" i="75" s="1"/>
  <c r="O36" i="59"/>
  <c r="O36" i="75" s="1"/>
  <c r="E44" i="59"/>
  <c r="BA46" i="59" s="1"/>
  <c r="BA47" i="59" s="1"/>
  <c r="I35" i="59"/>
  <c r="O35" i="59"/>
  <c r="O35" i="75" s="1"/>
  <c r="K35" i="59"/>
  <c r="K35" i="75" s="1"/>
  <c r="M35" i="59"/>
  <c r="M35" i="75" s="1"/>
  <c r="M42" i="59"/>
  <c r="M42" i="75" s="1"/>
  <c r="O42" i="59"/>
  <c r="O42" i="75" s="1"/>
  <c r="K42" i="59"/>
  <c r="K42" i="75" s="1"/>
  <c r="I42" i="59"/>
  <c r="I41" i="59"/>
  <c r="K41" i="59"/>
  <c r="K41" i="75" s="1"/>
  <c r="M41" i="59"/>
  <c r="M41" i="75" s="1"/>
  <c r="O41" i="59"/>
  <c r="O41" i="75" s="1"/>
  <c r="K33" i="59"/>
  <c r="I33" i="59"/>
  <c r="Y33" i="59" l="1"/>
  <c r="K33" i="75"/>
  <c r="AS37" i="59"/>
  <c r="AS36" i="59"/>
  <c r="AS40" i="59"/>
  <c r="AS42" i="59"/>
  <c r="AS39" i="59"/>
  <c r="AS35" i="59"/>
  <c r="AS33" i="59"/>
  <c r="AS41" i="59"/>
  <c r="AS38" i="59"/>
  <c r="Y35" i="59"/>
  <c r="Y40" i="59"/>
  <c r="Y36" i="59"/>
  <c r="Y41" i="59"/>
  <c r="Y37" i="59"/>
  <c r="Y39" i="59"/>
  <c r="Y42" i="59"/>
  <c r="Y38" i="59"/>
  <c r="H33" i="59"/>
  <c r="AQ33" i="59"/>
  <c r="AR33" i="59"/>
  <c r="H35" i="59"/>
  <c r="AQ35" i="59"/>
  <c r="AR35" i="59"/>
  <c r="AR42" i="59"/>
  <c r="H42" i="59"/>
  <c r="AQ42" i="59"/>
  <c r="H37" i="59"/>
  <c r="AQ37" i="59"/>
  <c r="AR37" i="59"/>
  <c r="AR39" i="59"/>
  <c r="H39" i="59"/>
  <c r="AQ39" i="59"/>
  <c r="U38" i="59"/>
  <c r="C38" i="59" s="1"/>
  <c r="AR41" i="59"/>
  <c r="H41" i="59"/>
  <c r="AQ41" i="59"/>
  <c r="AR36" i="59"/>
  <c r="H36" i="59"/>
  <c r="AQ36" i="59"/>
  <c r="H40" i="59"/>
  <c r="AQ40" i="59"/>
  <c r="AR40" i="59"/>
  <c r="AR38" i="59"/>
  <c r="AQ38" i="59"/>
  <c r="Y38" i="75" l="1"/>
  <c r="H36" i="75"/>
  <c r="AS35" i="75"/>
  <c r="AR36" i="75"/>
  <c r="AR37" i="75"/>
  <c r="H35" i="75"/>
  <c r="Y41" i="75"/>
  <c r="AS39" i="75"/>
  <c r="H40" i="75"/>
  <c r="AQ35" i="75"/>
  <c r="AQ38" i="75"/>
  <c r="AQ41" i="75"/>
  <c r="AQ37" i="75"/>
  <c r="AR33" i="75"/>
  <c r="Y36" i="75"/>
  <c r="AS42" i="75"/>
  <c r="AQ40" i="75"/>
  <c r="AQ39" i="75"/>
  <c r="Y42" i="75"/>
  <c r="AR38" i="75"/>
  <c r="H41" i="75"/>
  <c r="H37" i="75"/>
  <c r="AQ33" i="75"/>
  <c r="Y40" i="75"/>
  <c r="AS40" i="75"/>
  <c r="H42" i="75"/>
  <c r="AR42" i="75"/>
  <c r="AR39" i="75"/>
  <c r="Y37" i="75"/>
  <c r="AR40" i="75"/>
  <c r="AR41" i="75"/>
  <c r="AQ42" i="75"/>
  <c r="H33" i="75"/>
  <c r="Y35" i="75"/>
  <c r="AS36" i="75"/>
  <c r="AS38" i="75"/>
  <c r="AS37" i="75"/>
  <c r="AS41" i="75"/>
  <c r="AQ36" i="75"/>
  <c r="H39" i="75"/>
  <c r="AR35" i="75"/>
  <c r="Y39" i="75"/>
  <c r="AS33" i="75"/>
  <c r="Y33" i="75"/>
  <c r="U40" i="59"/>
  <c r="C40" i="59" s="1"/>
  <c r="U39" i="59"/>
  <c r="C39" i="59" s="1"/>
  <c r="U35" i="59"/>
  <c r="C35" i="59" s="1"/>
  <c r="U37" i="59"/>
  <c r="C37" i="59" s="1"/>
  <c r="U33" i="59"/>
  <c r="C33" i="59" s="1"/>
  <c r="U41" i="59"/>
  <c r="C41" i="59" s="1"/>
  <c r="U36" i="59"/>
  <c r="C36" i="59" s="1"/>
  <c r="U42" i="59"/>
  <c r="C42" i="59" s="1"/>
  <c r="BQ48" i="59"/>
  <c r="BQ44" i="59"/>
  <c r="BM44" i="59"/>
  <c r="BL44" i="59"/>
  <c r="BK44" i="59"/>
  <c r="H50" i="59"/>
  <c r="BQ36" i="59"/>
  <c r="BQ37" i="59" s="1"/>
  <c r="AY32" i="59"/>
  <c r="AY32" i="75" s="1"/>
  <c r="AX32" i="59"/>
  <c r="AX32" i="75" s="1"/>
  <c r="AW32" i="59"/>
  <c r="AW32" i="75" s="1"/>
  <c r="O32" i="59"/>
  <c r="O32" i="75" s="1"/>
  <c r="AY31" i="59"/>
  <c r="AY31" i="75" s="1"/>
  <c r="AX31" i="59"/>
  <c r="AX31" i="75" s="1"/>
  <c r="AW31" i="59"/>
  <c r="AW31" i="75" s="1"/>
  <c r="O31" i="59"/>
  <c r="O31" i="75" s="1"/>
  <c r="BQ30" i="59"/>
  <c r="BI6" i="59" s="1"/>
  <c r="BI6" i="75" s="1"/>
  <c r="BI44" i="75" s="1"/>
  <c r="AY30" i="59"/>
  <c r="AY30" i="75" s="1"/>
  <c r="AX30" i="59"/>
  <c r="AX30" i="75" s="1"/>
  <c r="AW30" i="59"/>
  <c r="AW30" i="75" s="1"/>
  <c r="O30" i="59"/>
  <c r="O30" i="75" s="1"/>
  <c r="AY29" i="59"/>
  <c r="AY29" i="75" s="1"/>
  <c r="AX29" i="59"/>
  <c r="AX29" i="75" s="1"/>
  <c r="AW29" i="59"/>
  <c r="AW29" i="75" s="1"/>
  <c r="O29" i="59"/>
  <c r="O29" i="75" s="1"/>
  <c r="AY28" i="59"/>
  <c r="AY28" i="75" s="1"/>
  <c r="AX28" i="59"/>
  <c r="AX28" i="75" s="1"/>
  <c r="AW28" i="59"/>
  <c r="AW28" i="75" s="1"/>
  <c r="O28" i="59"/>
  <c r="O28" i="75" s="1"/>
  <c r="AY27" i="59"/>
  <c r="AY27" i="75" s="1"/>
  <c r="AX27" i="59"/>
  <c r="AX27" i="75" s="1"/>
  <c r="AW27" i="59"/>
  <c r="AW27" i="75" s="1"/>
  <c r="M27" i="59"/>
  <c r="M27" i="75" s="1"/>
  <c r="AY26" i="59"/>
  <c r="AY26" i="75" s="1"/>
  <c r="AX26" i="59"/>
  <c r="AX26" i="75" s="1"/>
  <c r="AW26" i="59"/>
  <c r="AW26" i="75" s="1"/>
  <c r="K26" i="59"/>
  <c r="K26" i="75" s="1"/>
  <c r="AY25" i="59"/>
  <c r="AY25" i="75" s="1"/>
  <c r="AX25" i="59"/>
  <c r="AX25" i="75" s="1"/>
  <c r="AW25" i="59"/>
  <c r="AW25" i="75" s="1"/>
  <c r="I25" i="59"/>
  <c r="BQ24" i="59"/>
  <c r="BN6" i="59" s="1"/>
  <c r="BN6" i="75" s="1"/>
  <c r="BN44" i="75" s="1"/>
  <c r="AY24" i="59"/>
  <c r="AY24" i="75" s="1"/>
  <c r="AX24" i="59"/>
  <c r="AX24" i="75" s="1"/>
  <c r="AW24" i="59"/>
  <c r="AW24" i="75" s="1"/>
  <c r="I24" i="59"/>
  <c r="AY23" i="59"/>
  <c r="AY23" i="75" s="1"/>
  <c r="AX23" i="59"/>
  <c r="AX23" i="75" s="1"/>
  <c r="AW23" i="59"/>
  <c r="AW23" i="75" s="1"/>
  <c r="O23" i="59"/>
  <c r="O23" i="75" s="1"/>
  <c r="AY22" i="59"/>
  <c r="AY22" i="75" s="1"/>
  <c r="AX22" i="59"/>
  <c r="AX22" i="75" s="1"/>
  <c r="AW22" i="59"/>
  <c r="AW22" i="75" s="1"/>
  <c r="M22" i="59"/>
  <c r="M22" i="75" s="1"/>
  <c r="O22" i="59"/>
  <c r="O22" i="75" s="1"/>
  <c r="AY21" i="59"/>
  <c r="AY21" i="75" s="1"/>
  <c r="AX21" i="59"/>
  <c r="AX21" i="75" s="1"/>
  <c r="AW21" i="59"/>
  <c r="AW21" i="75" s="1"/>
  <c r="M21" i="59"/>
  <c r="M21" i="75" s="1"/>
  <c r="AY19" i="59"/>
  <c r="AY19" i="75" s="1"/>
  <c r="AX19" i="59"/>
  <c r="AX19" i="75" s="1"/>
  <c r="AW19" i="59"/>
  <c r="AW19" i="75" s="1"/>
  <c r="O19" i="59"/>
  <c r="O19" i="75" s="1"/>
  <c r="AY18" i="59"/>
  <c r="AY18" i="75" s="1"/>
  <c r="AX18" i="59"/>
  <c r="AX18" i="75" s="1"/>
  <c r="AW18" i="59"/>
  <c r="AW18" i="75" s="1"/>
  <c r="O18" i="59"/>
  <c r="O18" i="75" s="1"/>
  <c r="BQ17" i="59"/>
  <c r="BH6" i="59" s="1"/>
  <c r="BH6" i="75" s="1"/>
  <c r="BH44" i="75" s="1"/>
  <c r="AY17" i="59"/>
  <c r="AY17" i="75" s="1"/>
  <c r="AX17" i="59"/>
  <c r="AX17" i="75" s="1"/>
  <c r="AW17" i="59"/>
  <c r="AW17" i="75" s="1"/>
  <c r="O17" i="59"/>
  <c r="O17" i="75" s="1"/>
  <c r="AY16" i="59"/>
  <c r="AY16" i="75" s="1"/>
  <c r="AX16" i="59"/>
  <c r="AX16" i="75" s="1"/>
  <c r="AW16" i="59"/>
  <c r="AW16" i="75" s="1"/>
  <c r="M16" i="59"/>
  <c r="M16" i="75" s="1"/>
  <c r="AY14" i="59"/>
  <c r="AY14" i="75" s="1"/>
  <c r="AX14" i="59"/>
  <c r="AX14" i="75" s="1"/>
  <c r="AW14" i="59"/>
  <c r="AW14" i="75" s="1"/>
  <c r="AY13" i="59"/>
  <c r="AY13" i="75" s="1"/>
  <c r="AX13" i="59"/>
  <c r="AX13" i="75" s="1"/>
  <c r="AW13" i="59"/>
  <c r="AW13" i="75" s="1"/>
  <c r="I13" i="59"/>
  <c r="AY12" i="59"/>
  <c r="AY12" i="75" s="1"/>
  <c r="AX12" i="59"/>
  <c r="AX12" i="75" s="1"/>
  <c r="AW12" i="59"/>
  <c r="AW12" i="75" s="1"/>
  <c r="O12" i="59"/>
  <c r="K12" i="59"/>
  <c r="AY11" i="59"/>
  <c r="AY11" i="75" s="1"/>
  <c r="AW11" i="59"/>
  <c r="AW11" i="75" s="1"/>
  <c r="AX11" i="59"/>
  <c r="AX11" i="75" s="1"/>
  <c r="O11" i="59"/>
  <c r="O11" i="75" s="1"/>
  <c r="AY10" i="59"/>
  <c r="AY10" i="75" s="1"/>
  <c r="AW10" i="59"/>
  <c r="AW10" i="75" s="1"/>
  <c r="AX10" i="59"/>
  <c r="AX10" i="75" s="1"/>
  <c r="O10" i="59"/>
  <c r="O10" i="75" s="1"/>
  <c r="AY9" i="59"/>
  <c r="AY9" i="75" s="1"/>
  <c r="AX9" i="59"/>
  <c r="AX9" i="75" s="1"/>
  <c r="AW9" i="59"/>
  <c r="AW9" i="75" s="1"/>
  <c r="O9" i="59"/>
  <c r="O9" i="75" s="1"/>
  <c r="AY8" i="59"/>
  <c r="AY8" i="75" s="1"/>
  <c r="AX8" i="59"/>
  <c r="AX8" i="75" s="1"/>
  <c r="AW8" i="59"/>
  <c r="AW8" i="75" s="1"/>
  <c r="O8" i="59"/>
  <c r="O8" i="75" s="1"/>
  <c r="AY7" i="59"/>
  <c r="AY7" i="75" s="1"/>
  <c r="AX7" i="59"/>
  <c r="AX7" i="75" s="1"/>
  <c r="AW7" i="59"/>
  <c r="AW7" i="75" s="1"/>
  <c r="O7" i="59"/>
  <c r="O7" i="75" s="1"/>
  <c r="BF6" i="59"/>
  <c r="BF6" i="75" s="1"/>
  <c r="BF44" i="75" s="1"/>
  <c r="AY6" i="59"/>
  <c r="AY6" i="75" s="1"/>
  <c r="AX6" i="59"/>
  <c r="AX6" i="75" s="1"/>
  <c r="AW6" i="59"/>
  <c r="AW6" i="75" s="1"/>
  <c r="AY44" i="75" l="1"/>
  <c r="AW44" i="75"/>
  <c r="AX44" i="75"/>
  <c r="AZ26" i="59"/>
  <c r="AZ10" i="59"/>
  <c r="AZ11" i="59"/>
  <c r="AZ28" i="59"/>
  <c r="AZ30" i="59"/>
  <c r="AZ13" i="59"/>
  <c r="AZ18" i="59"/>
  <c r="AZ21" i="59"/>
  <c r="AZ23" i="59"/>
  <c r="AY44" i="59"/>
  <c r="AZ8" i="59"/>
  <c r="AZ14" i="59"/>
  <c r="AZ17" i="59"/>
  <c r="AZ31" i="59"/>
  <c r="AZ19" i="59"/>
  <c r="BF44" i="59"/>
  <c r="AZ12" i="59"/>
  <c r="AZ22" i="59"/>
  <c r="AZ24" i="59"/>
  <c r="AZ7" i="59"/>
  <c r="AZ16" i="59"/>
  <c r="AZ32" i="59"/>
  <c r="AZ25" i="59"/>
  <c r="AZ27" i="59"/>
  <c r="AZ29" i="59"/>
  <c r="BH44" i="59"/>
  <c r="BI44" i="59"/>
  <c r="AZ9" i="59"/>
  <c r="AW44" i="59"/>
  <c r="AX44" i="59"/>
  <c r="M12" i="59"/>
  <c r="BJ6" i="59"/>
  <c r="O16" i="59"/>
  <c r="O16" i="75" s="1"/>
  <c r="K13" i="59"/>
  <c r="K22" i="59"/>
  <c r="K24" i="59"/>
  <c r="M7" i="59"/>
  <c r="M7" i="75" s="1"/>
  <c r="I12" i="59"/>
  <c r="O13" i="59"/>
  <c r="O13" i="75" s="1"/>
  <c r="I30" i="59"/>
  <c r="K14" i="59"/>
  <c r="K14" i="75" s="1"/>
  <c r="I22" i="59"/>
  <c r="K31" i="59"/>
  <c r="K31" i="75" s="1"/>
  <c r="I23" i="59"/>
  <c r="I11" i="59"/>
  <c r="M26" i="59"/>
  <c r="M26" i="75" s="1"/>
  <c r="I9" i="59"/>
  <c r="I10" i="59"/>
  <c r="K11" i="59"/>
  <c r="K11" i="75" s="1"/>
  <c r="K21" i="59"/>
  <c r="K21" i="75" s="1"/>
  <c r="M23" i="59"/>
  <c r="M23" i="75" s="1"/>
  <c r="I31" i="59"/>
  <c r="I32" i="59"/>
  <c r="I8" i="59"/>
  <c r="K9" i="59"/>
  <c r="K9" i="75" s="1"/>
  <c r="K10" i="59"/>
  <c r="K10" i="75" s="1"/>
  <c r="M11" i="59"/>
  <c r="M11" i="75" s="1"/>
  <c r="I7" i="59"/>
  <c r="K8" i="59"/>
  <c r="K8" i="75" s="1"/>
  <c r="M9" i="59"/>
  <c r="M9" i="75" s="1"/>
  <c r="M10" i="59"/>
  <c r="M10" i="75" s="1"/>
  <c r="M14" i="59"/>
  <c r="M14" i="75" s="1"/>
  <c r="I19" i="59"/>
  <c r="O21" i="59"/>
  <c r="O21" i="75" s="1"/>
  <c r="K25" i="59"/>
  <c r="K30" i="59"/>
  <c r="K30" i="75" s="1"/>
  <c r="M31" i="59"/>
  <c r="M31" i="75" s="1"/>
  <c r="M32" i="59"/>
  <c r="M32" i="75" s="1"/>
  <c r="O6" i="59"/>
  <c r="O6" i="75" s="1"/>
  <c r="I21" i="59"/>
  <c r="G50" i="59"/>
  <c r="I50" i="59" s="1"/>
  <c r="K32" i="59"/>
  <c r="K32" i="75" s="1"/>
  <c r="K7" i="59"/>
  <c r="K7" i="75" s="1"/>
  <c r="M8" i="59"/>
  <c r="M8" i="75" s="1"/>
  <c r="K19" i="59"/>
  <c r="K19" i="75" s="1"/>
  <c r="O25" i="59"/>
  <c r="O27" i="59"/>
  <c r="O27" i="75" s="1"/>
  <c r="I29" i="59"/>
  <c r="M30" i="59"/>
  <c r="M30" i="75" s="1"/>
  <c r="K29" i="59"/>
  <c r="K29" i="75" s="1"/>
  <c r="O24" i="59"/>
  <c r="O24" i="75" s="1"/>
  <c r="I6" i="59"/>
  <c r="K6" i="59"/>
  <c r="K6" i="75" s="1"/>
  <c r="M6" i="59"/>
  <c r="M6" i="75" s="1"/>
  <c r="H25" i="59"/>
  <c r="AQ13" i="59"/>
  <c r="H13" i="59"/>
  <c r="AR13" i="59"/>
  <c r="H24" i="59"/>
  <c r="M13" i="59"/>
  <c r="M13" i="75" s="1"/>
  <c r="O14" i="59"/>
  <c r="O14" i="75" s="1"/>
  <c r="K23" i="59"/>
  <c r="K23" i="75" s="1"/>
  <c r="M24" i="59"/>
  <c r="M24" i="75" s="1"/>
  <c r="M25" i="59"/>
  <c r="M25" i="75" s="1"/>
  <c r="O26" i="59"/>
  <c r="O26" i="75" s="1"/>
  <c r="I28" i="59"/>
  <c r="I16" i="59"/>
  <c r="K17" i="59"/>
  <c r="K17" i="75" s="1"/>
  <c r="K18" i="59"/>
  <c r="K18" i="75" s="1"/>
  <c r="M19" i="59"/>
  <c r="M19" i="75" s="1"/>
  <c r="I27" i="59"/>
  <c r="K28" i="59"/>
  <c r="K28" i="75" s="1"/>
  <c r="M29" i="59"/>
  <c r="M29" i="75" s="1"/>
  <c r="I18" i="59"/>
  <c r="I14" i="59"/>
  <c r="K16" i="59"/>
  <c r="K16" i="75" s="1"/>
  <c r="M17" i="59"/>
  <c r="M17" i="75" s="1"/>
  <c r="M18" i="59"/>
  <c r="M18" i="75" s="1"/>
  <c r="I26" i="59"/>
  <c r="K27" i="59"/>
  <c r="K27" i="75" s="1"/>
  <c r="M28" i="59"/>
  <c r="M28" i="75" s="1"/>
  <c r="I17" i="59"/>
  <c r="BQ28" i="55"/>
  <c r="BD16" i="59" l="1"/>
  <c r="AZ16" i="75"/>
  <c r="BD9" i="59"/>
  <c r="AZ9" i="75"/>
  <c r="BD7" i="59"/>
  <c r="AZ7" i="75"/>
  <c r="BD14" i="59"/>
  <c r="AZ14" i="75"/>
  <c r="BD28" i="59"/>
  <c r="AZ28" i="75"/>
  <c r="BD24" i="59"/>
  <c r="AZ24" i="75"/>
  <c r="BD8" i="59"/>
  <c r="AZ8" i="75"/>
  <c r="BD11" i="59"/>
  <c r="AZ11" i="75"/>
  <c r="BD22" i="59"/>
  <c r="AZ22" i="75"/>
  <c r="BD10" i="59"/>
  <c r="AZ10" i="75"/>
  <c r="BD29" i="59"/>
  <c r="AZ29" i="75"/>
  <c r="BD12" i="59"/>
  <c r="AZ12" i="75"/>
  <c r="BD23" i="59"/>
  <c r="AZ23" i="75"/>
  <c r="BD26" i="59"/>
  <c r="AZ26" i="75"/>
  <c r="BD30" i="59"/>
  <c r="AZ30" i="75"/>
  <c r="BJ44" i="59"/>
  <c r="BJ6" i="75"/>
  <c r="BJ44" i="75" s="1"/>
  <c r="BD27" i="59"/>
  <c r="AZ27" i="75"/>
  <c r="BD21" i="59"/>
  <c r="AZ21" i="75"/>
  <c r="BD17" i="59"/>
  <c r="AZ17" i="75"/>
  <c r="BD25" i="59"/>
  <c r="AZ25" i="75"/>
  <c r="BD19" i="59"/>
  <c r="AZ19" i="75"/>
  <c r="BD18" i="59"/>
  <c r="AZ18" i="75"/>
  <c r="BD32" i="59"/>
  <c r="AZ32" i="75"/>
  <c r="BD31" i="59"/>
  <c r="AZ31" i="75"/>
  <c r="BD13" i="59"/>
  <c r="AZ13" i="75"/>
  <c r="H25" i="75"/>
  <c r="AQ25" i="59"/>
  <c r="O25" i="75"/>
  <c r="AS24" i="59"/>
  <c r="K24" i="75"/>
  <c r="Y22" i="59"/>
  <c r="K22" i="75"/>
  <c r="AS13" i="59"/>
  <c r="K13" i="75"/>
  <c r="AQ13" i="75"/>
  <c r="H24" i="75"/>
  <c r="AS25" i="59"/>
  <c r="K25" i="75"/>
  <c r="AR13" i="75"/>
  <c r="H13" i="75"/>
  <c r="Y12" i="59"/>
  <c r="AS7" i="59"/>
  <c r="AS14" i="59"/>
  <c r="AS26" i="59"/>
  <c r="AS28" i="59"/>
  <c r="AS17" i="59"/>
  <c r="AS12" i="59"/>
  <c r="AS22" i="59"/>
  <c r="AS10" i="59"/>
  <c r="AS30" i="59"/>
  <c r="AS19" i="59"/>
  <c r="AS21" i="59"/>
  <c r="AS8" i="59"/>
  <c r="AS18" i="59"/>
  <c r="AS11" i="59"/>
  <c r="AS31" i="59"/>
  <c r="AS9" i="59"/>
  <c r="AS29" i="59"/>
  <c r="AS32" i="59"/>
  <c r="AS27" i="59"/>
  <c r="AS23" i="59"/>
  <c r="AS16" i="59"/>
  <c r="AZ6" i="59"/>
  <c r="AR30" i="59"/>
  <c r="AR12" i="59"/>
  <c r="Y9" i="59"/>
  <c r="Y27" i="59"/>
  <c r="AQ12" i="59"/>
  <c r="Y28" i="59"/>
  <c r="Y16" i="59"/>
  <c r="Y18" i="59"/>
  <c r="Y23" i="59"/>
  <c r="Y26" i="59"/>
  <c r="AQ24" i="59"/>
  <c r="Y24" i="59"/>
  <c r="Y17" i="59"/>
  <c r="Y6" i="59"/>
  <c r="Y19" i="59"/>
  <c r="Y8" i="59"/>
  <c r="Y31" i="59"/>
  <c r="Y30" i="59"/>
  <c r="Y21" i="59"/>
  <c r="Y13" i="59"/>
  <c r="Y7" i="59"/>
  <c r="Y25" i="59"/>
  <c r="Y11" i="59"/>
  <c r="Y14" i="59"/>
  <c r="Y29" i="59"/>
  <c r="Y32" i="59"/>
  <c r="Y10" i="59"/>
  <c r="U13" i="59"/>
  <c r="C13" i="59" s="1"/>
  <c r="U7" i="59"/>
  <c r="C7" i="59" s="1"/>
  <c r="AQ10" i="59"/>
  <c r="U14" i="59"/>
  <c r="C14" i="59" s="1"/>
  <c r="U25" i="59"/>
  <c r="C25" i="59" s="1"/>
  <c r="AQ21" i="59"/>
  <c r="U10" i="59"/>
  <c r="C10" i="59" s="1"/>
  <c r="H11" i="59"/>
  <c r="H12" i="59"/>
  <c r="U24" i="59"/>
  <c r="C24" i="59" s="1"/>
  <c r="AQ19" i="59"/>
  <c r="H23" i="59"/>
  <c r="AR23" i="59"/>
  <c r="AQ6" i="59"/>
  <c r="H6" i="59"/>
  <c r="AQ23" i="59"/>
  <c r="AR24" i="59"/>
  <c r="AQ30" i="59"/>
  <c r="AR25" i="59"/>
  <c r="AQ8" i="59"/>
  <c r="AQ7" i="59"/>
  <c r="AR10" i="59"/>
  <c r="AR21" i="59"/>
  <c r="H30" i="59"/>
  <c r="AQ31" i="59"/>
  <c r="H31" i="59"/>
  <c r="AR31" i="59"/>
  <c r="AR8" i="59"/>
  <c r="H8" i="59"/>
  <c r="H21" i="59"/>
  <c r="AQ22" i="59"/>
  <c r="AR22" i="59"/>
  <c r="H22" i="59"/>
  <c r="H29" i="59"/>
  <c r="AR29" i="59"/>
  <c r="AQ29" i="59"/>
  <c r="AR7" i="59"/>
  <c r="AR11" i="59"/>
  <c r="AQ11" i="59"/>
  <c r="AR19" i="59"/>
  <c r="H19" i="59"/>
  <c r="AQ32" i="59"/>
  <c r="AR32" i="59"/>
  <c r="H32" i="59"/>
  <c r="AQ9" i="59"/>
  <c r="AR9" i="59"/>
  <c r="H9" i="59"/>
  <c r="AR6" i="59"/>
  <c r="AR16" i="59"/>
  <c r="H16" i="59"/>
  <c r="AQ16" i="59"/>
  <c r="AR28" i="59"/>
  <c r="AQ28" i="59"/>
  <c r="H28" i="59"/>
  <c r="AQ17" i="59"/>
  <c r="AR17" i="59"/>
  <c r="H17" i="59"/>
  <c r="AQ18" i="59"/>
  <c r="AR18" i="59"/>
  <c r="H18" i="59"/>
  <c r="AR26" i="59"/>
  <c r="AQ26" i="59"/>
  <c r="H26" i="59"/>
  <c r="AR14" i="59"/>
  <c r="AQ14" i="59"/>
  <c r="AR27" i="59"/>
  <c r="AQ27" i="59"/>
  <c r="H27" i="59"/>
  <c r="BF7" i="58"/>
  <c r="BF8" i="58"/>
  <c r="BF9" i="58"/>
  <c r="BF10" i="58"/>
  <c r="BF11" i="58"/>
  <c r="BF12" i="58"/>
  <c r="BF13" i="58"/>
  <c r="BF14" i="58"/>
  <c r="BF15" i="58"/>
  <c r="BF16" i="58"/>
  <c r="BF17" i="58"/>
  <c r="BF18" i="58"/>
  <c r="BF19" i="58"/>
  <c r="BF20" i="58"/>
  <c r="BF21" i="58"/>
  <c r="BF22" i="58"/>
  <c r="BF23" i="58"/>
  <c r="BF24" i="58"/>
  <c r="BF25" i="58"/>
  <c r="BF26" i="58"/>
  <c r="BF27" i="58"/>
  <c r="BF28" i="58"/>
  <c r="BF29" i="58"/>
  <c r="BF30" i="58"/>
  <c r="BF31" i="58"/>
  <c r="BF32" i="58"/>
  <c r="BF33" i="58"/>
  <c r="BF34" i="58"/>
  <c r="BF35" i="58"/>
  <c r="BF36" i="58"/>
  <c r="BF37" i="58"/>
  <c r="BF38" i="58"/>
  <c r="BQ45" i="58"/>
  <c r="BQ40" i="58"/>
  <c r="BM40" i="58"/>
  <c r="BL40" i="58"/>
  <c r="BK40" i="58"/>
  <c r="BE40" i="58"/>
  <c r="BC40" i="58"/>
  <c r="BB40" i="58"/>
  <c r="BA40" i="58"/>
  <c r="AV40" i="58"/>
  <c r="AU40" i="58"/>
  <c r="AT40" i="58"/>
  <c r="AP40" i="58"/>
  <c r="AO40" i="58"/>
  <c r="AN40" i="58"/>
  <c r="AM40" i="58"/>
  <c r="AL40" i="58"/>
  <c r="AK40" i="58"/>
  <c r="AJ40" i="58"/>
  <c r="AI40" i="58"/>
  <c r="AG40" i="58"/>
  <c r="AF40" i="58"/>
  <c r="AE40" i="58"/>
  <c r="AD40" i="58"/>
  <c r="AC40" i="58"/>
  <c r="AA40" i="58"/>
  <c r="Z40" i="58"/>
  <c r="Y40" i="58"/>
  <c r="X40" i="58"/>
  <c r="W40" i="58"/>
  <c r="V40" i="58"/>
  <c r="N40" i="58"/>
  <c r="L40" i="58"/>
  <c r="J40" i="58"/>
  <c r="G40" i="58"/>
  <c r="BS38" i="58"/>
  <c r="AY38" i="58"/>
  <c r="AX38" i="58"/>
  <c r="AW38" i="58"/>
  <c r="BS37" i="58"/>
  <c r="AY37" i="58"/>
  <c r="AX37" i="58"/>
  <c r="AW37" i="58"/>
  <c r="BS36" i="58"/>
  <c r="AY36" i="58"/>
  <c r="AX36" i="58"/>
  <c r="AW36" i="58"/>
  <c r="BS35" i="58"/>
  <c r="AY35" i="58"/>
  <c r="AX35" i="58"/>
  <c r="AW35" i="58"/>
  <c r="BS34" i="58"/>
  <c r="AY34" i="58"/>
  <c r="AX34" i="58"/>
  <c r="AW34" i="58"/>
  <c r="AZ34" i="58"/>
  <c r="BD34" i="58" s="1"/>
  <c r="BS33" i="58"/>
  <c r="BQ33" i="58"/>
  <c r="BQ34" i="58" s="1"/>
  <c r="AY33" i="58"/>
  <c r="AX33" i="58"/>
  <c r="AW33" i="58"/>
  <c r="BS32" i="58"/>
  <c r="AY32" i="58"/>
  <c r="AX32" i="58"/>
  <c r="AW32" i="58"/>
  <c r="BS31" i="58"/>
  <c r="AY31" i="58"/>
  <c r="AX31" i="58"/>
  <c r="AW31" i="58"/>
  <c r="BS30" i="58"/>
  <c r="AY30" i="58"/>
  <c r="AX30" i="58"/>
  <c r="AW30" i="58"/>
  <c r="BS29" i="58"/>
  <c r="AY29" i="58"/>
  <c r="AX29" i="58"/>
  <c r="AW29" i="58"/>
  <c r="BS28" i="58"/>
  <c r="BQ28" i="58"/>
  <c r="BI6" i="58" s="1"/>
  <c r="BI40" i="58" s="1"/>
  <c r="AY28" i="58"/>
  <c r="AX28" i="58"/>
  <c r="AW28" i="58"/>
  <c r="BS27" i="58"/>
  <c r="AY27" i="58"/>
  <c r="AX27" i="58"/>
  <c r="AW27" i="58"/>
  <c r="BS26" i="58"/>
  <c r="AY26" i="58"/>
  <c r="AX26" i="58"/>
  <c r="AW26" i="58"/>
  <c r="BS25" i="58"/>
  <c r="AY25" i="58"/>
  <c r="AX25" i="58"/>
  <c r="AW25" i="58"/>
  <c r="BS24" i="58"/>
  <c r="AY24" i="58"/>
  <c r="AX24" i="58"/>
  <c r="AW24" i="58"/>
  <c r="BS23" i="58"/>
  <c r="AY23" i="58"/>
  <c r="AX23" i="58"/>
  <c r="AW23" i="58"/>
  <c r="BS22" i="58"/>
  <c r="BQ22" i="58"/>
  <c r="BN6" i="58" s="1"/>
  <c r="AY22" i="58"/>
  <c r="AX22" i="58"/>
  <c r="AW22" i="58"/>
  <c r="BS21" i="58"/>
  <c r="AY21" i="58"/>
  <c r="AX21" i="58"/>
  <c r="AW21" i="58"/>
  <c r="S21" i="58"/>
  <c r="S40" i="58" s="1"/>
  <c r="AZ21" i="58"/>
  <c r="BD21" i="58" s="1"/>
  <c r="BS20" i="58"/>
  <c r="AY20" i="58"/>
  <c r="AX20" i="58"/>
  <c r="AW20" i="58"/>
  <c r="BS19" i="58"/>
  <c r="K19" i="58" s="1"/>
  <c r="AY19" i="58"/>
  <c r="AX19" i="58"/>
  <c r="AW19" i="58"/>
  <c r="AZ19" i="58" s="1"/>
  <c r="BD19" i="58" s="1"/>
  <c r="BS18" i="58"/>
  <c r="AY18" i="58"/>
  <c r="AX18" i="58"/>
  <c r="AW18" i="58"/>
  <c r="AZ18" i="58"/>
  <c r="BD18" i="58" s="1"/>
  <c r="BS17" i="58"/>
  <c r="K17" i="58" s="1"/>
  <c r="AY17" i="58"/>
  <c r="AX17" i="58"/>
  <c r="AW17" i="58"/>
  <c r="BS16" i="58"/>
  <c r="M16" i="58" s="1"/>
  <c r="BQ16" i="58"/>
  <c r="AY16" i="58"/>
  <c r="AX16" i="58"/>
  <c r="AW16" i="58"/>
  <c r="I16" i="58"/>
  <c r="I40" i="58" s="1"/>
  <c r="BS15" i="58"/>
  <c r="AY15" i="58"/>
  <c r="AX15" i="58"/>
  <c r="AW15" i="58"/>
  <c r="BS14" i="58"/>
  <c r="AY14" i="58"/>
  <c r="AX14" i="58"/>
  <c r="AW14" i="58"/>
  <c r="BS13" i="58"/>
  <c r="AY13" i="58"/>
  <c r="AX13" i="58"/>
  <c r="AW13" i="58"/>
  <c r="BS12" i="58"/>
  <c r="AY12" i="58"/>
  <c r="AX12" i="58"/>
  <c r="AW12" i="58"/>
  <c r="BS11" i="58"/>
  <c r="AY11" i="58"/>
  <c r="AX11" i="58"/>
  <c r="AW11" i="58"/>
  <c r="BS10" i="58"/>
  <c r="AY10" i="58"/>
  <c r="AX10" i="58"/>
  <c r="AW10" i="58"/>
  <c r="AZ10" i="58" s="1"/>
  <c r="BD10" i="58" s="1"/>
  <c r="BS9" i="58"/>
  <c r="AY9" i="58"/>
  <c r="AX9" i="58"/>
  <c r="AW9" i="58"/>
  <c r="BS8" i="58"/>
  <c r="AY8" i="58"/>
  <c r="AX8" i="58"/>
  <c r="AW8" i="58"/>
  <c r="BS7" i="58"/>
  <c r="AY7" i="58"/>
  <c r="AX7" i="58"/>
  <c r="AW7" i="58"/>
  <c r="BS6" i="58"/>
  <c r="H6" i="58" s="1"/>
  <c r="AQ6" i="58" s="1"/>
  <c r="BJ6" i="58"/>
  <c r="BJ40" i="58" s="1"/>
  <c r="BH6" i="58"/>
  <c r="BF6" i="58"/>
  <c r="AY6" i="58"/>
  <c r="AX6" i="58"/>
  <c r="AW6" i="58"/>
  <c r="BF27" i="56"/>
  <c r="BF21" i="56"/>
  <c r="BF7" i="56"/>
  <c r="I16" i="56"/>
  <c r="BD31" i="75" l="1"/>
  <c r="BD25" i="75"/>
  <c r="BD12" i="75"/>
  <c r="BD11" i="75"/>
  <c r="BD14" i="75"/>
  <c r="BD32" i="75"/>
  <c r="BD17" i="75"/>
  <c r="BD30" i="75"/>
  <c r="BD29" i="75"/>
  <c r="BD8" i="75"/>
  <c r="BD7" i="75"/>
  <c r="BD18" i="75"/>
  <c r="BD21" i="75"/>
  <c r="BD26" i="75"/>
  <c r="BD10" i="75"/>
  <c r="BD24" i="75"/>
  <c r="BD9" i="75"/>
  <c r="BD13" i="75"/>
  <c r="BD19" i="75"/>
  <c r="BD27" i="75"/>
  <c r="BD23" i="75"/>
  <c r="BD22" i="75"/>
  <c r="BD28" i="75"/>
  <c r="BD16" i="75"/>
  <c r="BD6" i="59"/>
  <c r="AZ6" i="75"/>
  <c r="AZ44" i="75" s="1"/>
  <c r="AZ88" i="75" s="1"/>
  <c r="AZ36" i="58"/>
  <c r="BD36" i="58" s="1"/>
  <c r="AZ37" i="58"/>
  <c r="BD37" i="58" s="1"/>
  <c r="AQ27" i="75"/>
  <c r="AR18" i="75"/>
  <c r="AQ16" i="75"/>
  <c r="AR32" i="75"/>
  <c r="AR29" i="75"/>
  <c r="AR31" i="75"/>
  <c r="AR25" i="75"/>
  <c r="AQ19" i="75"/>
  <c r="AQ10" i="75"/>
  <c r="Y25" i="75"/>
  <c r="Y6" i="75"/>
  <c r="Y28" i="75"/>
  <c r="AS23" i="75"/>
  <c r="AS8" i="75"/>
  <c r="AS28" i="75"/>
  <c r="H18" i="75"/>
  <c r="AQ29" i="75"/>
  <c r="AS18" i="75"/>
  <c r="AR27" i="75"/>
  <c r="AQ18" i="75"/>
  <c r="H16" i="75"/>
  <c r="AQ32" i="75"/>
  <c r="H29" i="75"/>
  <c r="H31" i="75"/>
  <c r="AQ30" i="75"/>
  <c r="Y7" i="75"/>
  <c r="Y17" i="75"/>
  <c r="AS27" i="75"/>
  <c r="AS21" i="75"/>
  <c r="AS26" i="75"/>
  <c r="H27" i="75"/>
  <c r="H32" i="75"/>
  <c r="AR8" i="75"/>
  <c r="Y11" i="75"/>
  <c r="AQ14" i="75"/>
  <c r="H17" i="75"/>
  <c r="AR16" i="75"/>
  <c r="H19" i="75"/>
  <c r="H22" i="75"/>
  <c r="AQ31" i="75"/>
  <c r="AR24" i="75"/>
  <c r="Y13" i="75"/>
  <c r="Y24" i="75"/>
  <c r="Y27" i="75"/>
  <c r="AS32" i="75"/>
  <c r="AS19" i="75"/>
  <c r="AS14" i="75"/>
  <c r="AS24" i="75"/>
  <c r="AR28" i="75"/>
  <c r="H23" i="75"/>
  <c r="Y16" i="75"/>
  <c r="Y22" i="75"/>
  <c r="AR14" i="75"/>
  <c r="AR17" i="75"/>
  <c r="AR6" i="75"/>
  <c r="AR19" i="75"/>
  <c r="AR22" i="75"/>
  <c r="H30" i="75"/>
  <c r="AQ23" i="75"/>
  <c r="H11" i="75"/>
  <c r="Y10" i="75"/>
  <c r="Y21" i="75"/>
  <c r="AQ24" i="75"/>
  <c r="Y9" i="75"/>
  <c r="AS29" i="75"/>
  <c r="AS30" i="75"/>
  <c r="AS7" i="75"/>
  <c r="AS25" i="75"/>
  <c r="AQ8" i="75"/>
  <c r="AS16" i="75"/>
  <c r="H26" i="75"/>
  <c r="AQ17" i="75"/>
  <c r="H9" i="75"/>
  <c r="AQ11" i="75"/>
  <c r="AQ22" i="75"/>
  <c r="AR21" i="75"/>
  <c r="H6" i="75"/>
  <c r="Y32" i="75"/>
  <c r="Y30" i="75"/>
  <c r="Y26" i="75"/>
  <c r="AS9" i="75"/>
  <c r="AS10" i="75"/>
  <c r="AQ25" i="75"/>
  <c r="AQ26" i="75"/>
  <c r="H28" i="75"/>
  <c r="AR9" i="75"/>
  <c r="AR11" i="75"/>
  <c r="H21" i="75"/>
  <c r="AR10" i="75"/>
  <c r="AQ6" i="75"/>
  <c r="AQ21" i="75"/>
  <c r="Y29" i="75"/>
  <c r="Y31" i="75"/>
  <c r="Y23" i="75"/>
  <c r="AR30" i="75"/>
  <c r="AS31" i="75"/>
  <c r="AS22" i="75"/>
  <c r="AS13" i="75"/>
  <c r="Y19" i="75"/>
  <c r="AS17" i="75"/>
  <c r="AR26" i="75"/>
  <c r="AQ28" i="75"/>
  <c r="AQ9" i="75"/>
  <c r="AR7" i="75"/>
  <c r="H8" i="75"/>
  <c r="AQ7" i="75"/>
  <c r="AR23" i="75"/>
  <c r="Y14" i="75"/>
  <c r="Y8" i="75"/>
  <c r="Y18" i="75"/>
  <c r="AS11" i="75"/>
  <c r="AZ44" i="59"/>
  <c r="AZ88" i="59" s="1"/>
  <c r="U16" i="59"/>
  <c r="C16" i="59" s="1"/>
  <c r="U30" i="59"/>
  <c r="C30" i="59" s="1"/>
  <c r="U23" i="59"/>
  <c r="C23" i="59" s="1"/>
  <c r="U31" i="59"/>
  <c r="C31" i="59" s="1"/>
  <c r="U28" i="59"/>
  <c r="C28" i="59" s="1"/>
  <c r="U21" i="59"/>
  <c r="C21" i="59" s="1"/>
  <c r="U29" i="59"/>
  <c r="C29" i="59" s="1"/>
  <c r="U8" i="59"/>
  <c r="C8" i="59" s="1"/>
  <c r="U9" i="59"/>
  <c r="C9" i="59" s="1"/>
  <c r="U17" i="59"/>
  <c r="C17" i="59" s="1"/>
  <c r="U19" i="59"/>
  <c r="C19" i="59" s="1"/>
  <c r="U22" i="59"/>
  <c r="C22" i="59" s="1"/>
  <c r="U12" i="59"/>
  <c r="C12" i="59" s="1"/>
  <c r="U26" i="59"/>
  <c r="C26" i="59" s="1"/>
  <c r="U6" i="59"/>
  <c r="C6" i="59" s="1"/>
  <c r="U27" i="59"/>
  <c r="C27" i="59" s="1"/>
  <c r="U18" i="59"/>
  <c r="C18" i="59" s="1"/>
  <c r="U32" i="59"/>
  <c r="C32" i="59" s="1"/>
  <c r="U11" i="59"/>
  <c r="C11" i="59" s="1"/>
  <c r="AZ31" i="58"/>
  <c r="BD31" i="58" s="1"/>
  <c r="K21" i="58"/>
  <c r="AZ33" i="58"/>
  <c r="BD33" i="58" s="1"/>
  <c r="AZ32" i="58"/>
  <c r="BD32" i="58" s="1"/>
  <c r="AZ16" i="58"/>
  <c r="BD16" i="58" s="1"/>
  <c r="AZ8" i="58"/>
  <c r="BD8" i="58" s="1"/>
  <c r="M10" i="58"/>
  <c r="O10" i="58"/>
  <c r="M13" i="58"/>
  <c r="O13" i="58"/>
  <c r="M15" i="58"/>
  <c r="O15" i="58"/>
  <c r="M9" i="58"/>
  <c r="O9" i="58"/>
  <c r="M11" i="58"/>
  <c r="O11" i="58"/>
  <c r="M14" i="58"/>
  <c r="O14" i="58"/>
  <c r="M12" i="58"/>
  <c r="O12" i="58"/>
  <c r="M7" i="58"/>
  <c r="O7" i="58"/>
  <c r="M8" i="58"/>
  <c r="O8" i="58"/>
  <c r="AX40" i="58"/>
  <c r="AZ38" i="58"/>
  <c r="BD38" i="58" s="1"/>
  <c r="AZ30" i="58"/>
  <c r="BD30" i="58" s="1"/>
  <c r="AZ22" i="58"/>
  <c r="BD22" i="58" s="1"/>
  <c r="AZ14" i="58"/>
  <c r="BD14" i="58" s="1"/>
  <c r="AW40" i="58"/>
  <c r="AZ29" i="58"/>
  <c r="BD29" i="58" s="1"/>
  <c r="E40" i="58"/>
  <c r="F47" i="58" s="1"/>
  <c r="AY40" i="58"/>
  <c r="AZ17" i="58"/>
  <c r="BD17" i="58" s="1"/>
  <c r="F40" i="58"/>
  <c r="AZ28" i="58"/>
  <c r="BD28" i="58" s="1"/>
  <c r="AZ20" i="58"/>
  <c r="BD20" i="58" s="1"/>
  <c r="AZ12" i="58"/>
  <c r="BD12" i="58" s="1"/>
  <c r="AZ6" i="58"/>
  <c r="BD6" i="58" s="1"/>
  <c r="AZ35" i="58"/>
  <c r="BD35" i="58" s="1"/>
  <c r="AZ24" i="58"/>
  <c r="BD24" i="58" s="1"/>
  <c r="AZ26" i="58"/>
  <c r="BD26" i="58" s="1"/>
  <c r="AZ27" i="58"/>
  <c r="BD27" i="58" s="1"/>
  <c r="AZ23" i="58"/>
  <c r="BD23" i="58" s="1"/>
  <c r="AZ25" i="58"/>
  <c r="BD25" i="58" s="1"/>
  <c r="O24" i="58"/>
  <c r="M24" i="58"/>
  <c r="K24" i="58"/>
  <c r="H24" i="58"/>
  <c r="O31" i="58"/>
  <c r="M31" i="58"/>
  <c r="K31" i="58"/>
  <c r="H31" i="58"/>
  <c r="H17" i="58"/>
  <c r="O17" i="58"/>
  <c r="M17" i="58"/>
  <c r="H19" i="58"/>
  <c r="O19" i="58"/>
  <c r="M19" i="58"/>
  <c r="O25" i="58"/>
  <c r="K25" i="58"/>
  <c r="M25" i="58"/>
  <c r="H25" i="58"/>
  <c r="O34" i="58"/>
  <c r="M34" i="58"/>
  <c r="K34" i="58"/>
  <c r="H34" i="58"/>
  <c r="O32" i="58"/>
  <c r="M32" i="58"/>
  <c r="K32" i="58"/>
  <c r="H32" i="58"/>
  <c r="BF40" i="58"/>
  <c r="AZ7" i="58"/>
  <c r="BD7" i="58" s="1"/>
  <c r="H20" i="58"/>
  <c r="O20" i="58"/>
  <c r="M20" i="58"/>
  <c r="O35" i="58"/>
  <c r="M35" i="58"/>
  <c r="K35" i="58"/>
  <c r="H35" i="58"/>
  <c r="O38" i="58"/>
  <c r="M38" i="58"/>
  <c r="K38" i="58"/>
  <c r="H38" i="58"/>
  <c r="O29" i="58"/>
  <c r="M29" i="58"/>
  <c r="K29" i="58"/>
  <c r="H29" i="58"/>
  <c r="K26" i="58"/>
  <c r="O26" i="58"/>
  <c r="M26" i="58"/>
  <c r="H26" i="58"/>
  <c r="AZ9" i="58"/>
  <c r="BD9" i="58" s="1"/>
  <c r="AZ11" i="58"/>
  <c r="BD11" i="58" s="1"/>
  <c r="H18" i="58"/>
  <c r="O18" i="58"/>
  <c r="M18" i="58"/>
  <c r="K20" i="58"/>
  <c r="K27" i="58"/>
  <c r="O27" i="58"/>
  <c r="M27" i="58"/>
  <c r="H27" i="58"/>
  <c r="O30" i="58"/>
  <c r="M30" i="58"/>
  <c r="K30" i="58"/>
  <c r="H30" i="58"/>
  <c r="O37" i="58"/>
  <c r="M37" i="58"/>
  <c r="K37" i="58"/>
  <c r="H37" i="58"/>
  <c r="AZ13" i="58"/>
  <c r="BD13" i="58" s="1"/>
  <c r="K16" i="58"/>
  <c r="H16" i="58"/>
  <c r="O16" i="58"/>
  <c r="K18" i="58"/>
  <c r="M22" i="58"/>
  <c r="O22" i="58"/>
  <c r="K22" i="58"/>
  <c r="R40" i="58"/>
  <c r="AZ15" i="58"/>
  <c r="BD15" i="58" s="1"/>
  <c r="H22" i="58"/>
  <c r="H21" i="58"/>
  <c r="O21" i="58"/>
  <c r="M21" i="58"/>
  <c r="K23" i="58"/>
  <c r="O23" i="58"/>
  <c r="M23" i="58"/>
  <c r="H23" i="58"/>
  <c r="O28" i="58"/>
  <c r="M28" i="58"/>
  <c r="K28" i="58"/>
  <c r="H28" i="58"/>
  <c r="O33" i="58"/>
  <c r="M33" i="58"/>
  <c r="K33" i="58"/>
  <c r="H33" i="58"/>
  <c r="O36" i="58"/>
  <c r="M36" i="58"/>
  <c r="K36" i="58"/>
  <c r="H36" i="58"/>
  <c r="D40" i="58"/>
  <c r="K6" i="58"/>
  <c r="AR6" i="58"/>
  <c r="M6" i="58"/>
  <c r="BH40" i="58"/>
  <c r="O6" i="58"/>
  <c r="H8" i="58"/>
  <c r="H9" i="58"/>
  <c r="H10" i="58"/>
  <c r="H11" i="58"/>
  <c r="H12" i="58"/>
  <c r="H13" i="58"/>
  <c r="H14" i="58"/>
  <c r="H15" i="58"/>
  <c r="H7" i="58"/>
  <c r="K7" i="58"/>
  <c r="K8" i="58"/>
  <c r="K9" i="58"/>
  <c r="K10" i="58"/>
  <c r="K11" i="58"/>
  <c r="K12" i="58"/>
  <c r="K13" i="58"/>
  <c r="K14" i="58"/>
  <c r="K15" i="58"/>
  <c r="S21" i="56"/>
  <c r="BD6" i="75" l="1"/>
  <c r="BD44" i="75" s="1"/>
  <c r="BD47" i="75" s="1"/>
  <c r="BD44" i="59"/>
  <c r="BD47" i="59" s="1"/>
  <c r="BD40" i="58"/>
  <c r="AS10" i="58"/>
  <c r="AR10" i="58"/>
  <c r="AQ10" i="58"/>
  <c r="K40" i="58"/>
  <c r="AS33" i="58"/>
  <c r="AR33" i="58"/>
  <c r="AQ33" i="58"/>
  <c r="AS21" i="58"/>
  <c r="AR21" i="58"/>
  <c r="AQ21" i="58"/>
  <c r="U6" i="58"/>
  <c r="AR25" i="58"/>
  <c r="AS25" i="58"/>
  <c r="AQ25" i="58"/>
  <c r="AQ19" i="58"/>
  <c r="AS19" i="58"/>
  <c r="AR19" i="58"/>
  <c r="AS9" i="58"/>
  <c r="AR9" i="58"/>
  <c r="AQ9" i="58"/>
  <c r="AR16" i="58"/>
  <c r="AQ16" i="58"/>
  <c r="AS16" i="58"/>
  <c r="AS37" i="58"/>
  <c r="AR37" i="58"/>
  <c r="AQ37" i="58"/>
  <c r="AR26" i="58"/>
  <c r="AS26" i="58"/>
  <c r="AQ26" i="58"/>
  <c r="AS24" i="58"/>
  <c r="AR24" i="58"/>
  <c r="AQ24" i="58"/>
  <c r="AS14" i="58"/>
  <c r="AR14" i="58"/>
  <c r="AQ14" i="58"/>
  <c r="AS36" i="58"/>
  <c r="AR36" i="58"/>
  <c r="AQ36" i="58"/>
  <c r="AR23" i="58"/>
  <c r="AS23" i="58"/>
  <c r="AQ23" i="58"/>
  <c r="AQ22" i="58"/>
  <c r="AS22" i="58"/>
  <c r="AR22" i="58"/>
  <c r="AR27" i="58"/>
  <c r="AS27" i="58"/>
  <c r="AQ27" i="58"/>
  <c r="AQ17" i="58"/>
  <c r="AS17" i="58"/>
  <c r="AR17" i="58"/>
  <c r="AS7" i="58"/>
  <c r="AR7" i="58"/>
  <c r="AQ7" i="58"/>
  <c r="AS15" i="58"/>
  <c r="AR15" i="58"/>
  <c r="AQ15" i="58"/>
  <c r="AS13" i="58"/>
  <c r="AR13" i="58"/>
  <c r="AQ13" i="58"/>
  <c r="H40" i="58"/>
  <c r="AQ18" i="58"/>
  <c r="AS18" i="58"/>
  <c r="AR18" i="58"/>
  <c r="AS35" i="58"/>
  <c r="AR35" i="58"/>
  <c r="AQ35" i="58"/>
  <c r="AS32" i="58"/>
  <c r="AR32" i="58"/>
  <c r="AQ32" i="58"/>
  <c r="AS12" i="58"/>
  <c r="AR12" i="58"/>
  <c r="AQ12" i="58"/>
  <c r="M40" i="58"/>
  <c r="AQ20" i="58"/>
  <c r="AS20" i="58"/>
  <c r="AR20" i="58"/>
  <c r="AQ31" i="58"/>
  <c r="AS31" i="58"/>
  <c r="AR31" i="58"/>
  <c r="AS8" i="58"/>
  <c r="AR8" i="58"/>
  <c r="AQ8" i="58"/>
  <c r="D47" i="58"/>
  <c r="O40" i="58"/>
  <c r="AS34" i="58"/>
  <c r="AR34" i="58"/>
  <c r="AQ34" i="58"/>
  <c r="AS11" i="58"/>
  <c r="AR11" i="58"/>
  <c r="AQ11" i="58"/>
  <c r="AS28" i="58"/>
  <c r="AR28" i="58"/>
  <c r="AQ28" i="58"/>
  <c r="AZ40" i="58"/>
  <c r="AS30" i="58"/>
  <c r="AR30" i="58"/>
  <c r="AQ30" i="58"/>
  <c r="AS29" i="58"/>
  <c r="AR29" i="58"/>
  <c r="AQ29" i="58"/>
  <c r="AS38" i="58"/>
  <c r="AR38" i="58"/>
  <c r="AQ38" i="58"/>
  <c r="I33" i="54"/>
  <c r="C50" i="75" l="1"/>
  <c r="E50" i="75" s="1"/>
  <c r="C50" i="59"/>
  <c r="AR40" i="58"/>
  <c r="C47" i="58"/>
  <c r="AZ85" i="58"/>
  <c r="AQ40" i="58"/>
  <c r="AS40" i="58"/>
  <c r="C6" i="58"/>
  <c r="Q40" i="58" l="1"/>
  <c r="U14" i="58" l="1"/>
  <c r="C14" i="58" s="1"/>
  <c r="U22" i="58"/>
  <c r="C22" i="58" s="1"/>
  <c r="U38" i="58"/>
  <c r="C38" i="58" s="1"/>
  <c r="U27" i="58"/>
  <c r="C27" i="58" s="1"/>
  <c r="U21" i="58"/>
  <c r="C21" i="58" s="1"/>
  <c r="U30" i="58"/>
  <c r="C30" i="58" s="1"/>
  <c r="U37" i="58"/>
  <c r="C37" i="58" s="1"/>
  <c r="U11" i="58"/>
  <c r="C11" i="58" s="1"/>
  <c r="U9" i="58"/>
  <c r="C9" i="58" s="1"/>
  <c r="U25" i="58"/>
  <c r="C25" i="58" s="1"/>
  <c r="U29" i="58"/>
  <c r="C29" i="58" s="1"/>
  <c r="U33" i="58"/>
  <c r="C33" i="58" s="1"/>
  <c r="U34" i="58"/>
  <c r="C34" i="58" s="1"/>
  <c r="U35" i="58"/>
  <c r="C35" i="58" s="1"/>
  <c r="U17" i="58"/>
  <c r="C17" i="58" s="1"/>
  <c r="U19" i="58"/>
  <c r="C19" i="58" s="1"/>
  <c r="U13" i="58"/>
  <c r="C13" i="58" s="1"/>
  <c r="U10" i="58"/>
  <c r="C10" i="58" s="1"/>
  <c r="U15" i="58"/>
  <c r="C15" i="58" s="1"/>
  <c r="U18" i="58"/>
  <c r="C18" i="58" s="1"/>
  <c r="U26" i="58"/>
  <c r="C26" i="58" s="1"/>
  <c r="U20" i="58"/>
  <c r="C20" i="58" s="1"/>
  <c r="U28" i="58"/>
  <c r="C28" i="58" s="1"/>
  <c r="U36" i="58"/>
  <c r="C36" i="58" s="1"/>
  <c r="U23" i="58"/>
  <c r="C23" i="58" s="1"/>
  <c r="U12" i="58"/>
  <c r="C12" i="58" s="1"/>
  <c r="U8" i="58"/>
  <c r="C8" i="58" s="1"/>
  <c r="U16" i="58"/>
  <c r="C16" i="58" s="1"/>
  <c r="U24" i="58"/>
  <c r="C24" i="58" s="1"/>
  <c r="U32" i="58"/>
  <c r="C32" i="58" s="1"/>
  <c r="U31" i="58"/>
  <c r="C31" i="58" s="1"/>
  <c r="U7" i="58" l="1"/>
  <c r="P40" i="58"/>
  <c r="C7" i="58" l="1"/>
  <c r="C40" i="58" s="1"/>
  <c r="U40" i="58"/>
  <c r="BS38" i="56" l="1"/>
  <c r="BS35" i="56"/>
  <c r="BS33" i="56"/>
  <c r="BS32" i="56"/>
  <c r="BS31" i="56"/>
  <c r="BS29" i="56"/>
  <c r="BS28" i="56"/>
  <c r="BS27" i="56"/>
  <c r="BS25" i="56"/>
  <c r="BS22" i="56"/>
  <c r="BS18" i="56"/>
  <c r="BS17" i="56"/>
  <c r="BS14" i="56"/>
  <c r="BS13" i="56"/>
  <c r="BS10" i="56"/>
  <c r="BS6" i="56"/>
  <c r="BF8" i="52" l="1"/>
  <c r="I16" i="55" l="1"/>
  <c r="AN20" i="54" l="1"/>
  <c r="AK20" i="54"/>
  <c r="AJ32" i="53"/>
  <c r="I25" i="52" l="1"/>
  <c r="I24" i="52"/>
  <c r="I18" i="52"/>
  <c r="AL32" i="53"/>
  <c r="AI32" i="53"/>
  <c r="I33" i="53" l="1"/>
  <c r="AK25" i="53" l="1"/>
  <c r="BB37" i="53"/>
  <c r="BC58" i="51" l="1"/>
  <c r="BC68" i="51"/>
  <c r="BF26" i="51" l="1"/>
  <c r="BF20" i="51" l="1"/>
  <c r="AJ11" i="51" l="1"/>
  <c r="BF23" i="51"/>
  <c r="BQ28" i="51"/>
  <c r="I12" i="51" l="1"/>
  <c r="BF12" i="51"/>
  <c r="BM6" i="57" l="1"/>
  <c r="BL6" i="57"/>
  <c r="BQ38" i="57" l="1"/>
  <c r="BQ37" i="57"/>
  <c r="BQ36" i="57"/>
  <c r="BQ31" i="57"/>
  <c r="BQ30" i="57"/>
  <c r="BQ26" i="57"/>
  <c r="BQ25" i="57"/>
  <c r="BQ24" i="57"/>
  <c r="BQ18" i="57"/>
  <c r="BQ7" i="57"/>
  <c r="BQ8" i="57"/>
  <c r="BQ9" i="57"/>
  <c r="BQ10" i="57"/>
  <c r="BQ11" i="57"/>
  <c r="BQ12" i="57"/>
  <c r="BQ13" i="57"/>
  <c r="BQ14" i="57"/>
  <c r="BQ6" i="57"/>
  <c r="BF11" i="48" l="1"/>
  <c r="BF12" i="48"/>
  <c r="BF30" i="50" l="1"/>
  <c r="I7" i="50" l="1"/>
  <c r="BF11" i="50"/>
  <c r="BF31" i="50"/>
  <c r="AN18" i="48" l="1"/>
  <c r="AN25" i="48"/>
  <c r="BF8" i="56" l="1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2" i="56"/>
  <c r="BF23" i="56"/>
  <c r="BF24" i="56"/>
  <c r="BF25" i="56"/>
  <c r="BF26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3" i="51"/>
  <c r="BF14" i="51"/>
  <c r="BF15" i="51"/>
  <c r="BF16" i="51"/>
  <c r="BF17" i="51"/>
  <c r="BF18" i="51"/>
  <c r="BF19" i="51"/>
  <c r="BF21" i="51"/>
  <c r="BF22" i="51"/>
  <c r="BF24" i="51"/>
  <c r="BF25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BB38" i="57" l="1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7" i="57"/>
  <c r="BA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M20" i="57"/>
  <c r="AL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I11" i="57"/>
  <c r="AN10" i="57"/>
  <c r="AM10" i="57"/>
  <c r="AL10" i="57"/>
  <c r="AK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Y6" i="57"/>
  <c r="X6" i="57"/>
  <c r="W6" i="57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Q45" i="57"/>
  <c r="BQ40" i="57"/>
  <c r="BL40" i="57"/>
  <c r="BE40" i="57"/>
  <c r="BC40" i="57"/>
  <c r="AV40" i="57"/>
  <c r="AU40" i="57"/>
  <c r="AT40" i="57"/>
  <c r="AP40" i="57"/>
  <c r="AO40" i="57"/>
  <c r="AG40" i="57"/>
  <c r="AF40" i="57"/>
  <c r="AA40" i="57"/>
  <c r="N40" i="57"/>
  <c r="L40" i="57"/>
  <c r="J40" i="57"/>
  <c r="BQ33" i="57"/>
  <c r="BQ34" i="57" s="1"/>
  <c r="BQ28" i="57"/>
  <c r="BQ22" i="57"/>
  <c r="BM40" i="57" s="1"/>
  <c r="BQ16" i="57"/>
  <c r="BQ45" i="56"/>
  <c r="BQ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AY37" i="56"/>
  <c r="AX37" i="56"/>
  <c r="AW37" i="56"/>
  <c r="AY36" i="56"/>
  <c r="AX36" i="56"/>
  <c r="AW36" i="56"/>
  <c r="AY35" i="56"/>
  <c r="AX35" i="56"/>
  <c r="AW35" i="56"/>
  <c r="AY34" i="56"/>
  <c r="AX34" i="56"/>
  <c r="AW34" i="56"/>
  <c r="BQ33" i="56"/>
  <c r="AY33" i="56"/>
  <c r="AX33" i="56"/>
  <c r="AW33" i="56"/>
  <c r="AY32" i="56"/>
  <c r="AX32" i="56"/>
  <c r="AW32" i="56"/>
  <c r="AY31" i="56"/>
  <c r="AX31" i="56"/>
  <c r="AW31" i="56"/>
  <c r="AY30" i="56"/>
  <c r="AX30" i="56"/>
  <c r="AW30" i="56"/>
  <c r="AY29" i="56"/>
  <c r="AX29" i="56"/>
  <c r="AW29" i="56"/>
  <c r="BQ28" i="56"/>
  <c r="AY28" i="56"/>
  <c r="AX28" i="56"/>
  <c r="AW28" i="56"/>
  <c r="AY27" i="56"/>
  <c r="AX27" i="56"/>
  <c r="AW27" i="56"/>
  <c r="AZ27" i="56" s="1"/>
  <c r="AY26" i="56"/>
  <c r="AX26" i="56"/>
  <c r="AW26" i="56"/>
  <c r="AY25" i="56"/>
  <c r="AX25" i="56"/>
  <c r="AW25" i="56"/>
  <c r="AY24" i="56"/>
  <c r="AX24" i="56"/>
  <c r="AW24" i="56"/>
  <c r="AY23" i="56"/>
  <c r="AX23" i="56"/>
  <c r="AW23" i="56"/>
  <c r="BQ22" i="56"/>
  <c r="BN6" i="56" s="1"/>
  <c r="AY22" i="56"/>
  <c r="AX22" i="56"/>
  <c r="AW22" i="56"/>
  <c r="AZ22" i="56" s="1"/>
  <c r="BD22" i="56" s="1"/>
  <c r="AY21" i="56"/>
  <c r="AX21" i="56"/>
  <c r="AW21" i="56"/>
  <c r="AY20" i="56"/>
  <c r="AX20" i="56"/>
  <c r="AW20" i="56"/>
  <c r="AY19" i="56"/>
  <c r="AX19" i="56"/>
  <c r="AW19" i="56"/>
  <c r="AY18" i="56"/>
  <c r="AX18" i="56"/>
  <c r="AW18" i="56"/>
  <c r="AY17" i="56"/>
  <c r="AX17" i="56"/>
  <c r="AW17" i="56"/>
  <c r="BQ16" i="56"/>
  <c r="BH6" i="56" s="1"/>
  <c r="AY16" i="56"/>
  <c r="AX16" i="56"/>
  <c r="AW16" i="56"/>
  <c r="AY15" i="56"/>
  <c r="AX15" i="56"/>
  <c r="AW15" i="56"/>
  <c r="AY14" i="56"/>
  <c r="AX14" i="56"/>
  <c r="AZ14" i="56" s="1"/>
  <c r="BD14" i="56" s="1"/>
  <c r="AW14" i="56"/>
  <c r="AY13" i="56"/>
  <c r="AX13" i="56"/>
  <c r="AW13" i="56"/>
  <c r="AY12" i="56"/>
  <c r="AX12" i="56"/>
  <c r="AW12" i="56"/>
  <c r="AY11" i="56"/>
  <c r="AX11" i="56"/>
  <c r="AW11" i="56"/>
  <c r="AY10" i="56"/>
  <c r="AX10" i="56"/>
  <c r="AW10" i="56"/>
  <c r="AY9" i="56"/>
  <c r="AX9" i="56"/>
  <c r="AW9" i="56"/>
  <c r="AY8" i="56"/>
  <c r="AX8" i="56"/>
  <c r="AZ8" i="56" s="1"/>
  <c r="BD8" i="56" s="1"/>
  <c r="AW8" i="56"/>
  <c r="AY7" i="56"/>
  <c r="AX7" i="56"/>
  <c r="AW7" i="56"/>
  <c r="BM40" i="56"/>
  <c r="BK40" i="56"/>
  <c r="BI6" i="56"/>
  <c r="BI40" i="56" s="1"/>
  <c r="BF6" i="56"/>
  <c r="AY6" i="56"/>
  <c r="AX6" i="56"/>
  <c r="AW6" i="56"/>
  <c r="BQ45" i="55"/>
  <c r="BQ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AY37" i="55"/>
  <c r="AX37" i="55"/>
  <c r="AW37" i="55"/>
  <c r="AY36" i="55"/>
  <c r="AX36" i="55"/>
  <c r="AW36" i="55"/>
  <c r="AY35" i="55"/>
  <c r="AX35" i="55"/>
  <c r="AW35" i="55"/>
  <c r="AY34" i="55"/>
  <c r="AX34" i="55"/>
  <c r="AW34" i="55"/>
  <c r="BQ33" i="55"/>
  <c r="BQ34" i="55" s="1"/>
  <c r="AY33" i="55"/>
  <c r="AX33" i="55"/>
  <c r="AW33" i="55"/>
  <c r="AY32" i="55"/>
  <c r="AX32" i="55"/>
  <c r="AW32" i="55"/>
  <c r="AY31" i="55"/>
  <c r="AX31" i="55"/>
  <c r="AW31" i="55"/>
  <c r="AY30" i="55"/>
  <c r="AX30" i="55"/>
  <c r="AW30" i="55"/>
  <c r="AY29" i="55"/>
  <c r="AX29" i="55"/>
  <c r="AW29" i="55"/>
  <c r="BI6" i="55"/>
  <c r="BI40" i="55" s="1"/>
  <c r="AY28" i="55"/>
  <c r="AX28" i="55"/>
  <c r="AW28" i="55"/>
  <c r="AY27" i="55"/>
  <c r="AX27" i="55"/>
  <c r="AW27" i="55"/>
  <c r="AY26" i="55"/>
  <c r="AX26" i="55"/>
  <c r="AW26" i="55"/>
  <c r="AZ26" i="55" s="1"/>
  <c r="BD26" i="55" s="1"/>
  <c r="AY25" i="55"/>
  <c r="AX25" i="55"/>
  <c r="AW25" i="55"/>
  <c r="AY24" i="55"/>
  <c r="AX24" i="55"/>
  <c r="AW24" i="55"/>
  <c r="AY23" i="55"/>
  <c r="AX23" i="55"/>
  <c r="AZ23" i="55" s="1"/>
  <c r="BD23" i="55" s="1"/>
  <c r="AW23" i="55"/>
  <c r="BQ22" i="55"/>
  <c r="BN6" i="55" s="1"/>
  <c r="AY22" i="55"/>
  <c r="AX22" i="55"/>
  <c r="AW22" i="55"/>
  <c r="AY21" i="55"/>
  <c r="AX21" i="55"/>
  <c r="AW21" i="55"/>
  <c r="AY20" i="55"/>
  <c r="AX20" i="55"/>
  <c r="AW20" i="55"/>
  <c r="AY19" i="55"/>
  <c r="AX19" i="55"/>
  <c r="AW19" i="55"/>
  <c r="AY18" i="55"/>
  <c r="AX18" i="55"/>
  <c r="AW18" i="55"/>
  <c r="AY17" i="55"/>
  <c r="AX17" i="55"/>
  <c r="AW17" i="55"/>
  <c r="BQ16" i="55"/>
  <c r="BH6" i="55" s="1"/>
  <c r="BH40" i="55" s="1"/>
  <c r="AY16" i="55"/>
  <c r="AX16" i="55"/>
  <c r="AW16" i="55"/>
  <c r="AY15" i="55"/>
  <c r="AX15" i="55"/>
  <c r="AW15" i="55"/>
  <c r="AY14" i="55"/>
  <c r="AX14" i="55"/>
  <c r="AW14" i="55"/>
  <c r="AY13" i="55"/>
  <c r="AX13" i="55"/>
  <c r="AZ13" i="55" s="1"/>
  <c r="BD13" i="55" s="1"/>
  <c r="AW13" i="55"/>
  <c r="AY12" i="55"/>
  <c r="AX12" i="55"/>
  <c r="AW12" i="55"/>
  <c r="AY11" i="55"/>
  <c r="AX11" i="55"/>
  <c r="AW11" i="55"/>
  <c r="AY10" i="55"/>
  <c r="AX10" i="55"/>
  <c r="AW10" i="55"/>
  <c r="AY9" i="55"/>
  <c r="AX9" i="55"/>
  <c r="AW9" i="55"/>
  <c r="AZ9" i="55" s="1"/>
  <c r="BD9" i="55" s="1"/>
  <c r="AY8" i="55"/>
  <c r="AX8" i="55"/>
  <c r="AW8" i="55"/>
  <c r="AY7" i="55"/>
  <c r="AX7" i="55"/>
  <c r="AW7" i="55"/>
  <c r="BM40" i="55"/>
  <c r="BK40" i="55"/>
  <c r="BJ6" i="55"/>
  <c r="BJ40" i="55" s="1"/>
  <c r="BF6" i="55"/>
  <c r="AY6" i="55"/>
  <c r="AX6" i="55"/>
  <c r="AW6" i="55"/>
  <c r="BQ45" i="54"/>
  <c r="BQ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AY37" i="54"/>
  <c r="AX37" i="54"/>
  <c r="AW37" i="54"/>
  <c r="AY36" i="54"/>
  <c r="AX36" i="54"/>
  <c r="AW36" i="54"/>
  <c r="AY35" i="54"/>
  <c r="AX35" i="54"/>
  <c r="AW35" i="54"/>
  <c r="AY34" i="54"/>
  <c r="AX34" i="54"/>
  <c r="AW34" i="54"/>
  <c r="BQ33" i="54"/>
  <c r="BQ34" i="54" s="1"/>
  <c r="AY33" i="54"/>
  <c r="AX33" i="54"/>
  <c r="AW33" i="54"/>
  <c r="AY32" i="54"/>
  <c r="AX32" i="54"/>
  <c r="AW32" i="54"/>
  <c r="AY31" i="54"/>
  <c r="AX31" i="54"/>
  <c r="AW31" i="54"/>
  <c r="AY30" i="54"/>
  <c r="AX30" i="54"/>
  <c r="AW30" i="54"/>
  <c r="AY29" i="54"/>
  <c r="AX29" i="54"/>
  <c r="AW29" i="54"/>
  <c r="BQ28" i="54"/>
  <c r="BI6" i="54" s="1"/>
  <c r="AY28" i="54"/>
  <c r="AX28" i="54"/>
  <c r="AW28" i="54"/>
  <c r="AY27" i="54"/>
  <c r="AX27" i="54"/>
  <c r="AW27" i="54"/>
  <c r="AY26" i="54"/>
  <c r="AX26" i="54"/>
  <c r="AW26" i="54"/>
  <c r="AY25" i="54"/>
  <c r="AX25" i="54"/>
  <c r="AW25" i="54"/>
  <c r="AY24" i="54"/>
  <c r="AX24" i="54"/>
  <c r="AW24" i="54"/>
  <c r="AY23" i="54"/>
  <c r="AX23" i="54"/>
  <c r="AW23" i="54"/>
  <c r="BQ22" i="54"/>
  <c r="BN6" i="54" s="1"/>
  <c r="AY22" i="54"/>
  <c r="AX22" i="54"/>
  <c r="AW22" i="54"/>
  <c r="AY21" i="54"/>
  <c r="AX21" i="54"/>
  <c r="AW21" i="54"/>
  <c r="AY20" i="54"/>
  <c r="AX20" i="54"/>
  <c r="AW20" i="54"/>
  <c r="AY19" i="54"/>
  <c r="AX19" i="54"/>
  <c r="AW19" i="54"/>
  <c r="AY18" i="54"/>
  <c r="AX18" i="54"/>
  <c r="AZ18" i="54" s="1"/>
  <c r="BD18" i="54" s="1"/>
  <c r="AW18" i="54"/>
  <c r="AY17" i="54"/>
  <c r="AX17" i="54"/>
  <c r="AW17" i="54"/>
  <c r="BQ16" i="54"/>
  <c r="BH6" i="54" s="1"/>
  <c r="AY16" i="54"/>
  <c r="AX16" i="54"/>
  <c r="AW16" i="54"/>
  <c r="AY15" i="54"/>
  <c r="AX15" i="54"/>
  <c r="AW15" i="54"/>
  <c r="AY14" i="54"/>
  <c r="AX14" i="54"/>
  <c r="AW14" i="54"/>
  <c r="AY13" i="54"/>
  <c r="AX13" i="54"/>
  <c r="AW13" i="54"/>
  <c r="AY12" i="54"/>
  <c r="AX12" i="54"/>
  <c r="AW12" i="54"/>
  <c r="AY11" i="54"/>
  <c r="AX11" i="54"/>
  <c r="AW11" i="54"/>
  <c r="AY10" i="54"/>
  <c r="AX10" i="54"/>
  <c r="AW10" i="54"/>
  <c r="AY9" i="54"/>
  <c r="AX9" i="54"/>
  <c r="AW9" i="54"/>
  <c r="AY8" i="54"/>
  <c r="AX8" i="54"/>
  <c r="AW8" i="54"/>
  <c r="AY7" i="54"/>
  <c r="AX7" i="54"/>
  <c r="AW7" i="54"/>
  <c r="BM40" i="54"/>
  <c r="BK6" i="54"/>
  <c r="BJ6" i="54"/>
  <c r="BF6" i="54"/>
  <c r="AY6" i="54"/>
  <c r="AX6" i="54"/>
  <c r="AW6" i="54"/>
  <c r="BQ45" i="53"/>
  <c r="BQ40" i="53"/>
  <c r="BK40" i="53" s="1"/>
  <c r="BL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AY37" i="53"/>
  <c r="AX37" i="53"/>
  <c r="AW37" i="53"/>
  <c r="AY36" i="53"/>
  <c r="AX36" i="53"/>
  <c r="AW36" i="53"/>
  <c r="AY35" i="53"/>
  <c r="AX35" i="53"/>
  <c r="AW35" i="53"/>
  <c r="AY34" i="53"/>
  <c r="AX34" i="53"/>
  <c r="AW34" i="53"/>
  <c r="AZ34" i="53" s="1"/>
  <c r="BD34" i="53" s="1"/>
  <c r="BQ33" i="53"/>
  <c r="BQ34" i="53" s="1"/>
  <c r="AY33" i="53"/>
  <c r="AX33" i="53"/>
  <c r="AW33" i="53"/>
  <c r="AY32" i="53"/>
  <c r="AX32" i="53"/>
  <c r="AW32" i="53"/>
  <c r="AY31" i="53"/>
  <c r="AX31" i="53"/>
  <c r="AW31" i="53"/>
  <c r="AY30" i="53"/>
  <c r="AX30" i="53"/>
  <c r="AW30" i="53"/>
  <c r="AY29" i="53"/>
  <c r="AX29" i="53"/>
  <c r="AW29" i="53"/>
  <c r="BQ28" i="53"/>
  <c r="AY28" i="53"/>
  <c r="AX28" i="53"/>
  <c r="AW28" i="53"/>
  <c r="AY27" i="53"/>
  <c r="AX27" i="53"/>
  <c r="AW27" i="53"/>
  <c r="AZ27" i="53" s="1"/>
  <c r="BD27" i="53" s="1"/>
  <c r="AY26" i="53"/>
  <c r="AX26" i="53"/>
  <c r="AW26" i="53"/>
  <c r="AY25" i="53"/>
  <c r="AX25" i="53"/>
  <c r="AW25" i="53"/>
  <c r="AY24" i="53"/>
  <c r="AX24" i="53"/>
  <c r="AW24" i="53"/>
  <c r="AY23" i="53"/>
  <c r="AX23" i="53"/>
  <c r="AW23" i="53"/>
  <c r="BQ22" i="53"/>
  <c r="BN6" i="53" s="1"/>
  <c r="AY22" i="53"/>
  <c r="AX22" i="53"/>
  <c r="AW22" i="53"/>
  <c r="AZ22" i="53" s="1"/>
  <c r="BD22" i="53" s="1"/>
  <c r="AY21" i="53"/>
  <c r="AX21" i="53"/>
  <c r="AW21" i="53"/>
  <c r="AY20" i="53"/>
  <c r="AX20" i="53"/>
  <c r="AZ20" i="53" s="1"/>
  <c r="BD20" i="53" s="1"/>
  <c r="AW20" i="53"/>
  <c r="AY19" i="53"/>
  <c r="AX19" i="53"/>
  <c r="AZ19" i="53" s="1"/>
  <c r="BD19" i="53" s="1"/>
  <c r="AW19" i="53"/>
  <c r="AY18" i="53"/>
  <c r="AX18" i="53"/>
  <c r="AW18" i="53"/>
  <c r="AY17" i="53"/>
  <c r="AX17" i="53"/>
  <c r="AW17" i="53"/>
  <c r="BQ16" i="53"/>
  <c r="BH6" i="53" s="1"/>
  <c r="AY16" i="53"/>
  <c r="AX16" i="53"/>
  <c r="AW16" i="53"/>
  <c r="AY15" i="53"/>
  <c r="AX15" i="53"/>
  <c r="AW15" i="53"/>
  <c r="AY14" i="53"/>
  <c r="AX14" i="53"/>
  <c r="AW14" i="53"/>
  <c r="AY13" i="53"/>
  <c r="AX13" i="53"/>
  <c r="AZ13" i="53" s="1"/>
  <c r="BD13" i="53" s="1"/>
  <c r="AW13" i="53"/>
  <c r="AY12" i="53"/>
  <c r="AX12" i="53"/>
  <c r="AW12" i="53"/>
  <c r="AY11" i="53"/>
  <c r="AX11" i="53"/>
  <c r="AW11" i="53"/>
  <c r="AY10" i="53"/>
  <c r="AX10" i="53"/>
  <c r="AW10" i="53"/>
  <c r="AY9" i="53"/>
  <c r="AX9" i="53"/>
  <c r="AW9" i="53"/>
  <c r="AY8" i="53"/>
  <c r="AX8" i="53"/>
  <c r="AW8" i="53"/>
  <c r="AY7" i="53"/>
  <c r="AX7" i="53"/>
  <c r="AW7" i="53"/>
  <c r="BM40" i="53"/>
  <c r="BI6" i="53"/>
  <c r="BI40" i="53" s="1"/>
  <c r="BF6" i="53"/>
  <c r="AY6" i="53"/>
  <c r="AX6" i="53"/>
  <c r="AW6" i="53"/>
  <c r="BQ45" i="52"/>
  <c r="BQ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AY37" i="52"/>
  <c r="AX37" i="52"/>
  <c r="AW37" i="52"/>
  <c r="AZ37" i="52" s="1"/>
  <c r="BD37" i="52" s="1"/>
  <c r="AY36" i="52"/>
  <c r="AX36" i="52"/>
  <c r="AW36" i="52"/>
  <c r="AY35" i="52"/>
  <c r="AX35" i="52"/>
  <c r="AW35" i="52"/>
  <c r="AZ35" i="52" s="1"/>
  <c r="BD35" i="52" s="1"/>
  <c r="AY34" i="52"/>
  <c r="AX34" i="52"/>
  <c r="AW34" i="52"/>
  <c r="BQ33" i="52"/>
  <c r="BQ34" i="52" s="1"/>
  <c r="AY33" i="52"/>
  <c r="AX33" i="52"/>
  <c r="AW33" i="52"/>
  <c r="AY32" i="52"/>
  <c r="AX32" i="52"/>
  <c r="AZ32" i="52" s="1"/>
  <c r="BD32" i="52" s="1"/>
  <c r="AW32" i="52"/>
  <c r="AY31" i="52"/>
  <c r="AX31" i="52"/>
  <c r="AZ31" i="52" s="1"/>
  <c r="BD31" i="52" s="1"/>
  <c r="AW31" i="52"/>
  <c r="AY30" i="52"/>
  <c r="AX30" i="52"/>
  <c r="AW30" i="52"/>
  <c r="AY29" i="52"/>
  <c r="AX29" i="52"/>
  <c r="AW29" i="52"/>
  <c r="BQ28" i="52"/>
  <c r="AY28" i="52"/>
  <c r="AX28" i="52"/>
  <c r="AW28" i="52"/>
  <c r="AY27" i="52"/>
  <c r="AX27" i="52"/>
  <c r="AW27" i="52"/>
  <c r="AY26" i="52"/>
  <c r="AX26" i="52"/>
  <c r="AW26" i="52"/>
  <c r="AY25" i="52"/>
  <c r="AX25" i="52"/>
  <c r="AW25" i="52"/>
  <c r="AY24" i="52"/>
  <c r="AX24" i="52"/>
  <c r="AW24" i="52"/>
  <c r="AY23" i="52"/>
  <c r="AX23" i="52"/>
  <c r="AW23" i="52"/>
  <c r="BQ22" i="52"/>
  <c r="BN6" i="52" s="1"/>
  <c r="AY22" i="52"/>
  <c r="AX22" i="52"/>
  <c r="AW22" i="52"/>
  <c r="AY21" i="52"/>
  <c r="AX21" i="52"/>
  <c r="AW21" i="52"/>
  <c r="AY20" i="52"/>
  <c r="AX20" i="52"/>
  <c r="AW20" i="52"/>
  <c r="AY19" i="52"/>
  <c r="AX19" i="52"/>
  <c r="AW19" i="52"/>
  <c r="AY18" i="52"/>
  <c r="AX18" i="52"/>
  <c r="AW18" i="52"/>
  <c r="AY17" i="52"/>
  <c r="AX17" i="52"/>
  <c r="AW17" i="52"/>
  <c r="BQ16" i="52"/>
  <c r="BH6" i="52" s="1"/>
  <c r="BH40" i="52" s="1"/>
  <c r="AY16" i="52"/>
  <c r="AX16" i="52"/>
  <c r="AW16" i="52"/>
  <c r="AY15" i="52"/>
  <c r="AX15" i="52"/>
  <c r="AW15" i="52"/>
  <c r="AY14" i="52"/>
  <c r="AX14" i="52"/>
  <c r="AW14" i="52"/>
  <c r="AY13" i="52"/>
  <c r="AX13" i="52"/>
  <c r="AW13" i="52"/>
  <c r="AY12" i="52"/>
  <c r="AX12" i="52"/>
  <c r="AW12" i="52"/>
  <c r="AY11" i="52"/>
  <c r="AX11" i="52"/>
  <c r="AW11" i="52"/>
  <c r="AY10" i="52"/>
  <c r="AX10" i="52"/>
  <c r="AW10" i="52"/>
  <c r="AY9" i="52"/>
  <c r="AX9" i="52"/>
  <c r="AW9" i="52"/>
  <c r="AY8" i="52"/>
  <c r="AX8" i="52"/>
  <c r="AZ8" i="52" s="1"/>
  <c r="BD8" i="52" s="1"/>
  <c r="AW8" i="52"/>
  <c r="AY7" i="52"/>
  <c r="AX7" i="52"/>
  <c r="AW7" i="52"/>
  <c r="BK40" i="52"/>
  <c r="BI6" i="52"/>
  <c r="BI40" i="52" s="1"/>
  <c r="BF6" i="52"/>
  <c r="AY6" i="52"/>
  <c r="AX6" i="52"/>
  <c r="AW6" i="52"/>
  <c r="BQ45" i="51"/>
  <c r="BQ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AY37" i="51"/>
  <c r="AX37" i="51"/>
  <c r="AW37" i="51"/>
  <c r="AZ37" i="51" s="1"/>
  <c r="BD37" i="51" s="1"/>
  <c r="AY36" i="51"/>
  <c r="AX36" i="51"/>
  <c r="AW36" i="51"/>
  <c r="AY35" i="51"/>
  <c r="AX35" i="51"/>
  <c r="AW35" i="51"/>
  <c r="AY34" i="51"/>
  <c r="AX34" i="51"/>
  <c r="AW34" i="51"/>
  <c r="BQ33" i="51"/>
  <c r="AY33" i="51"/>
  <c r="AX33" i="51"/>
  <c r="AW33" i="51"/>
  <c r="AY32" i="51"/>
  <c r="AX32" i="51"/>
  <c r="AW32" i="51"/>
  <c r="AY31" i="51"/>
  <c r="AX31" i="51"/>
  <c r="AW31" i="51"/>
  <c r="AY30" i="51"/>
  <c r="AX30" i="51"/>
  <c r="AW30" i="51"/>
  <c r="AY29" i="51"/>
  <c r="AX29" i="51"/>
  <c r="AW29" i="51"/>
  <c r="AY28" i="51"/>
  <c r="AX28" i="51"/>
  <c r="AW28" i="51"/>
  <c r="AY27" i="51"/>
  <c r="AX27" i="51"/>
  <c r="AW27" i="51"/>
  <c r="AY26" i="51"/>
  <c r="AX26" i="51"/>
  <c r="AW26" i="51"/>
  <c r="AY25" i="51"/>
  <c r="AX25" i="51"/>
  <c r="AW25" i="51"/>
  <c r="AY24" i="51"/>
  <c r="AX24" i="51"/>
  <c r="AW24" i="51"/>
  <c r="AY23" i="51"/>
  <c r="AX23" i="51"/>
  <c r="AW23" i="51"/>
  <c r="BQ22" i="51"/>
  <c r="BN6" i="51" s="1"/>
  <c r="AY22" i="51"/>
  <c r="AX22" i="51"/>
  <c r="AW22" i="51"/>
  <c r="AY21" i="51"/>
  <c r="AX21" i="51"/>
  <c r="AW21" i="51"/>
  <c r="AY20" i="51"/>
  <c r="AX20" i="51"/>
  <c r="AW20" i="51"/>
  <c r="AY19" i="51"/>
  <c r="AX19" i="51"/>
  <c r="AZ19" i="51" s="1"/>
  <c r="BD19" i="51" s="1"/>
  <c r="AW19" i="51"/>
  <c r="AY18" i="51"/>
  <c r="AX18" i="51"/>
  <c r="AW18" i="51"/>
  <c r="AY17" i="51"/>
  <c r="AX17" i="51"/>
  <c r="AW17" i="51"/>
  <c r="BQ16" i="51"/>
  <c r="BH6" i="51" s="1"/>
  <c r="BH40" i="51" s="1"/>
  <c r="AY16" i="51"/>
  <c r="AX16" i="51"/>
  <c r="AZ16" i="51" s="1"/>
  <c r="BD16" i="51" s="1"/>
  <c r="AW16" i="51"/>
  <c r="AY15" i="51"/>
  <c r="AX15" i="51"/>
  <c r="AW15" i="51"/>
  <c r="AY14" i="51"/>
  <c r="AX14" i="51"/>
  <c r="AZ14" i="51" s="1"/>
  <c r="BD14" i="51" s="1"/>
  <c r="AW14" i="51"/>
  <c r="AY13" i="51"/>
  <c r="AX13" i="51"/>
  <c r="AW13" i="51"/>
  <c r="AY12" i="51"/>
  <c r="AX12" i="51"/>
  <c r="AW12" i="51"/>
  <c r="AY11" i="51"/>
  <c r="AX11" i="51"/>
  <c r="AW11" i="51"/>
  <c r="AY10" i="51"/>
  <c r="AX10" i="51"/>
  <c r="AW10" i="51"/>
  <c r="AY9" i="51"/>
  <c r="AX9" i="51"/>
  <c r="AW9" i="51"/>
  <c r="AY8" i="51"/>
  <c r="AX8" i="51"/>
  <c r="AW8" i="51"/>
  <c r="AY7" i="51"/>
  <c r="AX7" i="51"/>
  <c r="AW7" i="51"/>
  <c r="BM40" i="51"/>
  <c r="BF6" i="51"/>
  <c r="AY6" i="51"/>
  <c r="AX6" i="51"/>
  <c r="AW6" i="51"/>
  <c r="BQ45" i="50"/>
  <c r="BQ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AY37" i="50"/>
  <c r="AX37" i="50"/>
  <c r="AW37" i="50"/>
  <c r="AY36" i="50"/>
  <c r="AX36" i="50"/>
  <c r="AW36" i="50"/>
  <c r="AY35" i="50"/>
  <c r="AX35" i="50"/>
  <c r="AW35" i="50"/>
  <c r="AY34" i="50"/>
  <c r="AX34" i="50"/>
  <c r="AW34" i="50"/>
  <c r="BQ33" i="50"/>
  <c r="BQ34" i="50" s="1"/>
  <c r="AY33" i="50"/>
  <c r="AX33" i="50"/>
  <c r="AW33" i="50"/>
  <c r="AY32" i="50"/>
  <c r="AX32" i="50"/>
  <c r="AW32" i="50"/>
  <c r="AY31" i="50"/>
  <c r="AX31" i="50"/>
  <c r="AW31" i="50"/>
  <c r="AY30" i="50"/>
  <c r="AX30" i="50"/>
  <c r="AW30" i="50"/>
  <c r="AY29" i="50"/>
  <c r="AX29" i="50"/>
  <c r="AW29" i="50"/>
  <c r="BQ28" i="50"/>
  <c r="AY28" i="50"/>
  <c r="AX28" i="50"/>
  <c r="AW28" i="50"/>
  <c r="AY27" i="50"/>
  <c r="AX27" i="50"/>
  <c r="AW27" i="50"/>
  <c r="AY26" i="50"/>
  <c r="AX26" i="50"/>
  <c r="AW26" i="50"/>
  <c r="AY25" i="50"/>
  <c r="AX25" i="50"/>
  <c r="AW25" i="50"/>
  <c r="AY24" i="50"/>
  <c r="AX24" i="50"/>
  <c r="AW24" i="50"/>
  <c r="AY23" i="50"/>
  <c r="AX23" i="50"/>
  <c r="AW23" i="50"/>
  <c r="BQ22" i="50"/>
  <c r="BN6" i="50" s="1"/>
  <c r="AY22" i="50"/>
  <c r="AX22" i="50"/>
  <c r="AW22" i="50"/>
  <c r="AY21" i="50"/>
  <c r="AX21" i="50"/>
  <c r="AW21" i="50"/>
  <c r="AY20" i="50"/>
  <c r="AX20" i="50"/>
  <c r="AW20" i="50"/>
  <c r="AY19" i="50"/>
  <c r="AX19" i="50"/>
  <c r="AW19" i="50"/>
  <c r="AY18" i="50"/>
  <c r="AX18" i="50"/>
  <c r="AW18" i="50"/>
  <c r="AY17" i="50"/>
  <c r="AX17" i="50"/>
  <c r="AW17" i="50"/>
  <c r="BQ16" i="50"/>
  <c r="BH6" i="50" s="1"/>
  <c r="BH40" i="50" s="1"/>
  <c r="AY16" i="50"/>
  <c r="AX16" i="50"/>
  <c r="AW16" i="50"/>
  <c r="AY15" i="50"/>
  <c r="AX15" i="50"/>
  <c r="AW15" i="50"/>
  <c r="AY14" i="50"/>
  <c r="AX14" i="50"/>
  <c r="AW14" i="50"/>
  <c r="AY13" i="50"/>
  <c r="AX13" i="50"/>
  <c r="AW13" i="50"/>
  <c r="AY12" i="50"/>
  <c r="AX12" i="50"/>
  <c r="AW12" i="50"/>
  <c r="AY11" i="50"/>
  <c r="AX11" i="50"/>
  <c r="AW11" i="50"/>
  <c r="AY10" i="50"/>
  <c r="AX10" i="50"/>
  <c r="AW10" i="50"/>
  <c r="AY9" i="50"/>
  <c r="AX9" i="50"/>
  <c r="AW9" i="50"/>
  <c r="AY8" i="50"/>
  <c r="AX8" i="50"/>
  <c r="AW8" i="50"/>
  <c r="AY7" i="50"/>
  <c r="AX7" i="50"/>
  <c r="AW7" i="50"/>
  <c r="BM40" i="50"/>
  <c r="BK40" i="50"/>
  <c r="BI6" i="50"/>
  <c r="BI40" i="50" s="1"/>
  <c r="BF6" i="50"/>
  <c r="AY6" i="50"/>
  <c r="AX6" i="50"/>
  <c r="AW6" i="50"/>
  <c r="BQ45" i="49"/>
  <c r="BQ40" i="49"/>
  <c r="BK40" i="49" s="1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AZ38" i="49" s="1"/>
  <c r="BD38" i="49" s="1"/>
  <c r="AY37" i="49"/>
  <c r="AX37" i="49"/>
  <c r="AW37" i="49"/>
  <c r="AY36" i="49"/>
  <c r="AX36" i="49"/>
  <c r="AW36" i="49"/>
  <c r="AY35" i="49"/>
  <c r="AX35" i="49"/>
  <c r="AW35" i="49"/>
  <c r="AY34" i="49"/>
  <c r="AX34" i="49"/>
  <c r="AW34" i="49"/>
  <c r="BQ33" i="49"/>
  <c r="BQ34" i="49" s="1"/>
  <c r="AY33" i="49"/>
  <c r="AX33" i="49"/>
  <c r="AW33" i="49"/>
  <c r="AY32" i="49"/>
  <c r="AX32" i="49"/>
  <c r="AW32" i="49"/>
  <c r="AY31" i="49"/>
  <c r="AX31" i="49"/>
  <c r="AW31" i="49"/>
  <c r="AY30" i="49"/>
  <c r="AX30" i="49"/>
  <c r="AW30" i="49"/>
  <c r="AY29" i="49"/>
  <c r="AX29" i="49"/>
  <c r="AZ29" i="49" s="1"/>
  <c r="BD29" i="49" s="1"/>
  <c r="AW29" i="49"/>
  <c r="BQ28" i="49"/>
  <c r="BI6" i="49" s="1"/>
  <c r="BI40" i="49" s="1"/>
  <c r="AY28" i="49"/>
  <c r="AX28" i="49"/>
  <c r="AW28" i="49"/>
  <c r="AY27" i="49"/>
  <c r="AX27" i="49"/>
  <c r="AW27" i="49"/>
  <c r="AY26" i="49"/>
  <c r="AX26" i="49"/>
  <c r="AW26" i="49"/>
  <c r="AY25" i="49"/>
  <c r="AX25" i="49"/>
  <c r="AW25" i="49"/>
  <c r="AY24" i="49"/>
  <c r="AX24" i="49"/>
  <c r="AW24" i="49"/>
  <c r="AY23" i="49"/>
  <c r="AX23" i="49"/>
  <c r="AW23" i="49"/>
  <c r="BQ22" i="49"/>
  <c r="BN6" i="49" s="1"/>
  <c r="AY22" i="49"/>
  <c r="AX22" i="49"/>
  <c r="AW22" i="49"/>
  <c r="AY21" i="49"/>
  <c r="AX21" i="49"/>
  <c r="AW21" i="49"/>
  <c r="AY20" i="49"/>
  <c r="AX20" i="49"/>
  <c r="AW20" i="49"/>
  <c r="AY19" i="49"/>
  <c r="AX19" i="49"/>
  <c r="AW19" i="49"/>
  <c r="AY18" i="49"/>
  <c r="AX18" i="49"/>
  <c r="AW18" i="49"/>
  <c r="AY17" i="49"/>
  <c r="AX17" i="49"/>
  <c r="AW17" i="49"/>
  <c r="BQ16" i="49"/>
  <c r="BH6" i="49" s="1"/>
  <c r="AY16" i="49"/>
  <c r="AX16" i="49"/>
  <c r="AW16" i="49"/>
  <c r="AY15" i="49"/>
  <c r="AX15" i="49"/>
  <c r="AW15" i="49"/>
  <c r="AZ15" i="49" s="1"/>
  <c r="BD15" i="49" s="1"/>
  <c r="AY14" i="49"/>
  <c r="AX14" i="49"/>
  <c r="AW14" i="49"/>
  <c r="AY13" i="49"/>
  <c r="AZ13" i="49" s="1"/>
  <c r="BD13" i="49" s="1"/>
  <c r="AX13" i="49"/>
  <c r="AW13" i="49"/>
  <c r="AY12" i="49"/>
  <c r="AX12" i="49"/>
  <c r="AW12" i="49"/>
  <c r="AY11" i="49"/>
  <c r="AX11" i="49"/>
  <c r="AW11" i="49"/>
  <c r="AY10" i="49"/>
  <c r="AX10" i="49"/>
  <c r="AW10" i="49"/>
  <c r="AZ10" i="49" s="1"/>
  <c r="BD10" i="49" s="1"/>
  <c r="AY9" i="49"/>
  <c r="AX9" i="49"/>
  <c r="AW9" i="49"/>
  <c r="AZ9" i="49" s="1"/>
  <c r="BD9" i="49" s="1"/>
  <c r="AY8" i="49"/>
  <c r="AX8" i="49"/>
  <c r="AW8" i="49"/>
  <c r="AY7" i="49"/>
  <c r="AX7" i="49"/>
  <c r="AZ7" i="49" s="1"/>
  <c r="BD7" i="49" s="1"/>
  <c r="AW7" i="49"/>
  <c r="BM40" i="49"/>
  <c r="BF6" i="49"/>
  <c r="AY6" i="49"/>
  <c r="AX6" i="49"/>
  <c r="AW6" i="49"/>
  <c r="BQ45" i="48"/>
  <c r="BQ40" i="48"/>
  <c r="BK6" i="48" s="1"/>
  <c r="BK40" i="48" s="1"/>
  <c r="BL40" i="48"/>
  <c r="BE40" i="48"/>
  <c r="BC40" i="48"/>
  <c r="BB40" i="48"/>
  <c r="AV40" i="48"/>
  <c r="AU40" i="48"/>
  <c r="AT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AY37" i="48"/>
  <c r="AX37" i="48"/>
  <c r="AW37" i="48"/>
  <c r="AY36" i="48"/>
  <c r="AX36" i="48"/>
  <c r="AW36" i="48"/>
  <c r="AY35" i="48"/>
  <c r="AX35" i="48"/>
  <c r="AW35" i="48"/>
  <c r="AY34" i="48"/>
  <c r="AX34" i="48"/>
  <c r="AW34" i="48"/>
  <c r="BQ33" i="48"/>
  <c r="BQ34" i="48" s="1"/>
  <c r="AY33" i="48"/>
  <c r="AX33" i="48"/>
  <c r="AW33" i="48"/>
  <c r="AY32" i="48"/>
  <c r="AX32" i="48"/>
  <c r="AW32" i="48"/>
  <c r="AY31" i="48"/>
  <c r="AX31" i="48"/>
  <c r="AW31" i="48"/>
  <c r="AY30" i="48"/>
  <c r="AX30" i="48"/>
  <c r="AW30" i="48"/>
  <c r="AY29" i="48"/>
  <c r="AX29" i="48"/>
  <c r="AW29" i="48"/>
  <c r="BQ28" i="48"/>
  <c r="BI6" i="48" s="1"/>
  <c r="BI40" i="48" s="1"/>
  <c r="AY28" i="48"/>
  <c r="AX28" i="48"/>
  <c r="AW28" i="48"/>
  <c r="AY27" i="48"/>
  <c r="AX27" i="48"/>
  <c r="AW27" i="48"/>
  <c r="AY26" i="48"/>
  <c r="AX26" i="48"/>
  <c r="AW26" i="48"/>
  <c r="AY25" i="48"/>
  <c r="AX25" i="48"/>
  <c r="AW25" i="48"/>
  <c r="AY24" i="48"/>
  <c r="AX24" i="48"/>
  <c r="AW24" i="48"/>
  <c r="AY23" i="48"/>
  <c r="AX23" i="48"/>
  <c r="AW23" i="48"/>
  <c r="BQ22" i="48"/>
  <c r="BN6" i="48" s="1"/>
  <c r="AY22" i="48"/>
  <c r="AX22" i="48"/>
  <c r="AW22" i="48"/>
  <c r="AY21" i="48"/>
  <c r="AX21" i="48"/>
  <c r="AW21" i="48"/>
  <c r="BA40" i="48"/>
  <c r="AY20" i="48"/>
  <c r="AX20" i="48"/>
  <c r="AW20" i="48"/>
  <c r="AY19" i="48"/>
  <c r="AX19" i="48"/>
  <c r="AW19" i="48"/>
  <c r="AY18" i="48"/>
  <c r="AX18" i="48"/>
  <c r="AW18" i="48"/>
  <c r="AY17" i="48"/>
  <c r="AX17" i="48"/>
  <c r="AW17" i="48"/>
  <c r="BQ16" i="48"/>
  <c r="BH6" i="48" s="1"/>
  <c r="BH40" i="48" s="1"/>
  <c r="AY16" i="48"/>
  <c r="AX16" i="48"/>
  <c r="AW16" i="48"/>
  <c r="AY15" i="48"/>
  <c r="AX15" i="48"/>
  <c r="AW15" i="48"/>
  <c r="AY14" i="48"/>
  <c r="AX14" i="48"/>
  <c r="AW14" i="48"/>
  <c r="AY13" i="48"/>
  <c r="AX13" i="48"/>
  <c r="AW13" i="48"/>
  <c r="AY12" i="48"/>
  <c r="AX12" i="48"/>
  <c r="AW12" i="48"/>
  <c r="AY11" i="48"/>
  <c r="AX11" i="48"/>
  <c r="AW11" i="48"/>
  <c r="AZ11" i="48" s="1"/>
  <c r="AY10" i="48"/>
  <c r="AX10" i="48"/>
  <c r="AW10" i="48"/>
  <c r="AY9" i="48"/>
  <c r="AX9" i="48"/>
  <c r="AW9" i="48"/>
  <c r="AY8" i="48"/>
  <c r="AX8" i="48"/>
  <c r="AW8" i="48"/>
  <c r="AY7" i="48"/>
  <c r="AX7" i="48"/>
  <c r="AW7" i="48"/>
  <c r="BM40" i="48"/>
  <c r="BF6" i="48"/>
  <c r="AY6" i="48"/>
  <c r="AX6" i="48"/>
  <c r="AW6" i="48"/>
  <c r="AZ36" i="49" l="1"/>
  <c r="BD36" i="49" s="1"/>
  <c r="AZ7" i="50"/>
  <c r="BD7" i="50" s="1"/>
  <c r="AZ25" i="52"/>
  <c r="BD25" i="52" s="1"/>
  <c r="AZ22" i="55"/>
  <c r="BD22" i="55" s="1"/>
  <c r="AZ32" i="55"/>
  <c r="BD32" i="55" s="1"/>
  <c r="AZ37" i="55"/>
  <c r="BD37" i="55" s="1"/>
  <c r="AZ10" i="56"/>
  <c r="BD10" i="56" s="1"/>
  <c r="AZ16" i="56"/>
  <c r="BD16" i="56" s="1"/>
  <c r="AZ31" i="56"/>
  <c r="BD31" i="56" s="1"/>
  <c r="AZ30" i="51"/>
  <c r="BD30" i="51" s="1"/>
  <c r="AZ36" i="53"/>
  <c r="BD36" i="53" s="1"/>
  <c r="AZ37" i="54"/>
  <c r="BD37" i="54" s="1"/>
  <c r="AZ28" i="55"/>
  <c r="BD28" i="55" s="1"/>
  <c r="AZ11" i="56"/>
  <c r="BD11" i="56" s="1"/>
  <c r="AZ7" i="51"/>
  <c r="BD7" i="51" s="1"/>
  <c r="AZ29" i="56"/>
  <c r="AZ32" i="56"/>
  <c r="BD32" i="56" s="1"/>
  <c r="AZ36" i="51"/>
  <c r="BD36" i="51" s="1"/>
  <c r="AZ28" i="54"/>
  <c r="BD28" i="54" s="1"/>
  <c r="AZ17" i="56"/>
  <c r="BD17" i="56" s="1"/>
  <c r="AZ26" i="49"/>
  <c r="BD26" i="49" s="1"/>
  <c r="AZ27" i="50"/>
  <c r="BD27" i="50" s="1"/>
  <c r="AZ8" i="55"/>
  <c r="BD8" i="55" s="1"/>
  <c r="AZ28" i="49"/>
  <c r="BD28" i="49" s="1"/>
  <c r="AZ33" i="49"/>
  <c r="BD33" i="49" s="1"/>
  <c r="AZ24" i="54"/>
  <c r="BD24" i="54" s="1"/>
  <c r="AZ13" i="56"/>
  <c r="BD13" i="56" s="1"/>
  <c r="AZ28" i="56"/>
  <c r="BD28" i="56" s="1"/>
  <c r="AZ15" i="55"/>
  <c r="BD15" i="55" s="1"/>
  <c r="AZ25" i="55"/>
  <c r="BD25" i="55" s="1"/>
  <c r="AZ18" i="56"/>
  <c r="BD18" i="56" s="1"/>
  <c r="AZ13" i="51"/>
  <c r="BD13" i="51" s="1"/>
  <c r="AZ21" i="56"/>
  <c r="BD21" i="56" s="1"/>
  <c r="AZ19" i="49"/>
  <c r="BD19" i="49" s="1"/>
  <c r="AZ11" i="52"/>
  <c r="BD11" i="52" s="1"/>
  <c r="AZ34" i="52"/>
  <c r="BD34" i="52" s="1"/>
  <c r="AZ12" i="53"/>
  <c r="BD12" i="53" s="1"/>
  <c r="AZ9" i="54"/>
  <c r="BD9" i="54" s="1"/>
  <c r="AZ21" i="55"/>
  <c r="BD21" i="55" s="1"/>
  <c r="AZ26" i="56"/>
  <c r="BD26" i="56" s="1"/>
  <c r="AZ12" i="49"/>
  <c r="AZ22" i="49"/>
  <c r="BD22" i="49" s="1"/>
  <c r="AZ34" i="49"/>
  <c r="BD34" i="49" s="1"/>
  <c r="AZ22" i="50"/>
  <c r="BD22" i="50" s="1"/>
  <c r="AZ26" i="51"/>
  <c r="BD26" i="51" s="1"/>
  <c r="AZ31" i="51"/>
  <c r="BD31" i="51" s="1"/>
  <c r="AZ14" i="52"/>
  <c r="BD14" i="52" s="1"/>
  <c r="AZ22" i="52"/>
  <c r="BD22" i="52" s="1"/>
  <c r="AZ15" i="53"/>
  <c r="BD15" i="53" s="1"/>
  <c r="AZ19" i="56"/>
  <c r="AZ34" i="51"/>
  <c r="BD34" i="51" s="1"/>
  <c r="AZ11" i="55"/>
  <c r="BD11" i="55" s="1"/>
  <c r="AZ26" i="54"/>
  <c r="BD26" i="54" s="1"/>
  <c r="AZ7" i="56"/>
  <c r="BD7" i="56" s="1"/>
  <c r="AZ22" i="51"/>
  <c r="BD22" i="51" s="1"/>
  <c r="AZ32" i="51"/>
  <c r="BD32" i="51" s="1"/>
  <c r="AZ27" i="55"/>
  <c r="BD27" i="55" s="1"/>
  <c r="AZ20" i="56"/>
  <c r="BH40" i="56"/>
  <c r="AZ38" i="52"/>
  <c r="BD38" i="52" s="1"/>
  <c r="AZ28" i="53"/>
  <c r="BD28" i="53" s="1"/>
  <c r="AZ14" i="54"/>
  <c r="BD14" i="54" s="1"/>
  <c r="AZ19" i="55"/>
  <c r="BD19" i="55" s="1"/>
  <c r="AZ34" i="55"/>
  <c r="BD34" i="55" s="1"/>
  <c r="AZ36" i="55"/>
  <c r="BD36" i="55" s="1"/>
  <c r="AZ20" i="49"/>
  <c r="BD20" i="49" s="1"/>
  <c r="AZ9" i="51"/>
  <c r="BD9" i="51" s="1"/>
  <c r="AZ15" i="51"/>
  <c r="BD15" i="51" s="1"/>
  <c r="AZ35" i="51"/>
  <c r="BD35" i="51" s="1"/>
  <c r="BJ6" i="52"/>
  <c r="BJ40" i="52" s="1"/>
  <c r="AZ33" i="52"/>
  <c r="BD33" i="52" s="1"/>
  <c r="AZ21" i="53"/>
  <c r="BD21" i="53" s="1"/>
  <c r="AZ35" i="54"/>
  <c r="BD35" i="54" s="1"/>
  <c r="AZ14" i="55"/>
  <c r="BD14" i="55" s="1"/>
  <c r="AZ38" i="55"/>
  <c r="BD38" i="55" s="1"/>
  <c r="AZ9" i="56"/>
  <c r="BD9" i="56" s="1"/>
  <c r="AZ37" i="48"/>
  <c r="BD37" i="48" s="1"/>
  <c r="AZ29" i="48"/>
  <c r="BD29" i="48" s="1"/>
  <c r="AZ21" i="48"/>
  <c r="BD21" i="48" s="1"/>
  <c r="AZ13" i="48"/>
  <c r="BD13" i="48" s="1"/>
  <c r="AZ36" i="48"/>
  <c r="BD36" i="48" s="1"/>
  <c r="AZ12" i="48"/>
  <c r="BD12" i="48" s="1"/>
  <c r="AZ8" i="49"/>
  <c r="BD8" i="49" s="1"/>
  <c r="AZ34" i="50"/>
  <c r="BD34" i="50" s="1"/>
  <c r="AZ21" i="51"/>
  <c r="BD21" i="51" s="1"/>
  <c r="AZ28" i="51"/>
  <c r="BD28" i="51" s="1"/>
  <c r="AZ8" i="53"/>
  <c r="BD8" i="53" s="1"/>
  <c r="AZ14" i="53"/>
  <c r="BD14" i="53" s="1"/>
  <c r="AZ17" i="53"/>
  <c r="BD17" i="53" s="1"/>
  <c r="AZ16" i="55"/>
  <c r="BD16" i="55" s="1"/>
  <c r="AZ18" i="55"/>
  <c r="BD18" i="55" s="1"/>
  <c r="AZ29" i="55"/>
  <c r="BD29" i="55" s="1"/>
  <c r="AZ31" i="55"/>
  <c r="BD31" i="55" s="1"/>
  <c r="AZ33" i="55"/>
  <c r="BD33" i="55" s="1"/>
  <c r="AZ15" i="56"/>
  <c r="BD15" i="56" s="1"/>
  <c r="AZ24" i="56"/>
  <c r="BD24" i="56" s="1"/>
  <c r="AZ33" i="56"/>
  <c r="BD33" i="56" s="1"/>
  <c r="AZ35" i="56"/>
  <c r="BD35" i="56" s="1"/>
  <c r="AZ37" i="56"/>
  <c r="BD37" i="56" s="1"/>
  <c r="AZ27" i="48"/>
  <c r="BD27" i="48" s="1"/>
  <c r="AZ35" i="49"/>
  <c r="BD35" i="49" s="1"/>
  <c r="AZ8" i="51"/>
  <c r="BD8" i="51" s="1"/>
  <c r="AZ10" i="51"/>
  <c r="BD10" i="51" s="1"/>
  <c r="AZ7" i="52"/>
  <c r="BD7" i="52" s="1"/>
  <c r="AZ28" i="52"/>
  <c r="BD28" i="52" s="1"/>
  <c r="AZ38" i="53"/>
  <c r="BD38" i="53" s="1"/>
  <c r="AZ14" i="49"/>
  <c r="BD14" i="49" s="1"/>
  <c r="AZ23" i="49"/>
  <c r="BD23" i="49" s="1"/>
  <c r="AZ30" i="49"/>
  <c r="BD30" i="49" s="1"/>
  <c r="AZ37" i="49"/>
  <c r="BD37" i="49" s="1"/>
  <c r="BJ6" i="50"/>
  <c r="BJ40" i="50" s="1"/>
  <c r="AZ33" i="50"/>
  <c r="BD33" i="50" s="1"/>
  <c r="AZ38" i="51"/>
  <c r="BD38" i="51" s="1"/>
  <c r="AZ13" i="52"/>
  <c r="BD13" i="52" s="1"/>
  <c r="AZ15" i="52"/>
  <c r="BD15" i="52" s="1"/>
  <c r="AZ24" i="52"/>
  <c r="BD24" i="52" s="1"/>
  <c r="AZ30" i="52"/>
  <c r="BD30" i="52" s="1"/>
  <c r="AZ34" i="54"/>
  <c r="BD34" i="54" s="1"/>
  <c r="AZ7" i="55"/>
  <c r="BD7" i="55" s="1"/>
  <c r="AZ30" i="56"/>
  <c r="BD30" i="56" s="1"/>
  <c r="AZ33" i="48"/>
  <c r="BD33" i="48" s="1"/>
  <c r="AZ8" i="48"/>
  <c r="BD8" i="48" s="1"/>
  <c r="AZ16" i="49"/>
  <c r="BD16" i="49" s="1"/>
  <c r="AZ27" i="49"/>
  <c r="BD27" i="49" s="1"/>
  <c r="AZ27" i="51"/>
  <c r="BD27" i="51" s="1"/>
  <c r="AZ19" i="52"/>
  <c r="BD19" i="52" s="1"/>
  <c r="AZ18" i="49"/>
  <c r="BD18" i="49" s="1"/>
  <c r="AZ16" i="50"/>
  <c r="BD16" i="50" s="1"/>
  <c r="AZ35" i="50"/>
  <c r="BD35" i="50" s="1"/>
  <c r="AZ33" i="51"/>
  <c r="BD33" i="51" s="1"/>
  <c r="AZ21" i="52"/>
  <c r="BD21" i="52" s="1"/>
  <c r="AZ23" i="52"/>
  <c r="BD23" i="52" s="1"/>
  <c r="AZ36" i="52"/>
  <c r="BD36" i="52" s="1"/>
  <c r="AZ7" i="53"/>
  <c r="BD7" i="53" s="1"/>
  <c r="AZ11" i="53"/>
  <c r="BD11" i="53" s="1"/>
  <c r="AZ24" i="53"/>
  <c r="BD24" i="53" s="1"/>
  <c r="AZ35" i="53"/>
  <c r="BD35" i="53" s="1"/>
  <c r="AZ23" i="54"/>
  <c r="BD23" i="54" s="1"/>
  <c r="AZ31" i="54"/>
  <c r="BD31" i="54" s="1"/>
  <c r="AZ12" i="56"/>
  <c r="BD12" i="56" s="1"/>
  <c r="AZ23" i="56"/>
  <c r="BD23" i="56" s="1"/>
  <c r="AZ25" i="56"/>
  <c r="BD25" i="56" s="1"/>
  <c r="BD27" i="56"/>
  <c r="AZ34" i="56"/>
  <c r="BD34" i="56" s="1"/>
  <c r="AZ36" i="56"/>
  <c r="BD36" i="56" s="1"/>
  <c r="AZ38" i="56"/>
  <c r="BD38" i="56" s="1"/>
  <c r="AZ30" i="55"/>
  <c r="BD30" i="55" s="1"/>
  <c r="AZ24" i="55"/>
  <c r="BD24" i="55" s="1"/>
  <c r="AZ10" i="55"/>
  <c r="BD10" i="55" s="1"/>
  <c r="AZ20" i="55"/>
  <c r="BD20" i="55" s="1"/>
  <c r="AZ12" i="55"/>
  <c r="BD12" i="55" s="1"/>
  <c r="AZ17" i="55"/>
  <c r="BD17" i="55" s="1"/>
  <c r="AZ35" i="55"/>
  <c r="BD35" i="55" s="1"/>
  <c r="AZ36" i="54"/>
  <c r="BD36" i="54" s="1"/>
  <c r="AZ28" i="48"/>
  <c r="BD28" i="48" s="1"/>
  <c r="AZ21" i="49"/>
  <c r="BD21" i="49" s="1"/>
  <c r="AZ8" i="50"/>
  <c r="BD8" i="50" s="1"/>
  <c r="AZ12" i="50"/>
  <c r="BD12" i="50" s="1"/>
  <c r="AZ29" i="50"/>
  <c r="BD29" i="50" s="1"/>
  <c r="AZ31" i="50"/>
  <c r="BD31" i="50" s="1"/>
  <c r="AZ20" i="51"/>
  <c r="BD20" i="51" s="1"/>
  <c r="AZ16" i="52"/>
  <c r="BD16" i="52" s="1"/>
  <c r="AZ9" i="53"/>
  <c r="BD9" i="53" s="1"/>
  <c r="AZ37" i="53"/>
  <c r="BD37" i="53" s="1"/>
  <c r="AZ19" i="54"/>
  <c r="BD19" i="54" s="1"/>
  <c r="AZ27" i="54"/>
  <c r="BD27" i="54" s="1"/>
  <c r="AZ34" i="48"/>
  <c r="BD34" i="48" s="1"/>
  <c r="AZ26" i="48"/>
  <c r="BD26" i="48" s="1"/>
  <c r="AZ9" i="48"/>
  <c r="BD9" i="48" s="1"/>
  <c r="AZ29" i="51"/>
  <c r="BD29" i="51" s="1"/>
  <c r="AZ9" i="52"/>
  <c r="BD9" i="52" s="1"/>
  <c r="AZ18" i="52"/>
  <c r="BD18" i="52" s="1"/>
  <c r="AZ20" i="52"/>
  <c r="BD20" i="52" s="1"/>
  <c r="AZ16" i="53"/>
  <c r="BD16" i="53" s="1"/>
  <c r="AZ25" i="53"/>
  <c r="BD25" i="53" s="1"/>
  <c r="AZ30" i="53"/>
  <c r="BD30" i="53" s="1"/>
  <c r="AZ22" i="54"/>
  <c r="BD22" i="54" s="1"/>
  <c r="AZ33" i="54"/>
  <c r="BD33" i="54" s="1"/>
  <c r="AY40" i="56"/>
  <c r="AZ18" i="50"/>
  <c r="BD18" i="50" s="1"/>
  <c r="AZ18" i="53"/>
  <c r="BD18" i="53" s="1"/>
  <c r="AZ23" i="53"/>
  <c r="BD23" i="53" s="1"/>
  <c r="AZ16" i="54"/>
  <c r="BD16" i="54" s="1"/>
  <c r="AZ23" i="51"/>
  <c r="BD23" i="51" s="1"/>
  <c r="BJ6" i="48"/>
  <c r="BJ40" i="48" s="1"/>
  <c r="AZ16" i="48"/>
  <c r="BD16" i="48" s="1"/>
  <c r="AZ7" i="48"/>
  <c r="BD7" i="48" s="1"/>
  <c r="AZ25" i="49"/>
  <c r="BD25" i="49" s="1"/>
  <c r="AZ37" i="50"/>
  <c r="BD37" i="50" s="1"/>
  <c r="AZ27" i="52"/>
  <c r="BD27" i="52" s="1"/>
  <c r="AZ29" i="52"/>
  <c r="BD29" i="52" s="1"/>
  <c r="AZ29" i="53"/>
  <c r="BD29" i="53" s="1"/>
  <c r="AZ31" i="53"/>
  <c r="BD31" i="53" s="1"/>
  <c r="AZ33" i="53"/>
  <c r="BD33" i="53" s="1"/>
  <c r="AZ19" i="48"/>
  <c r="BD19" i="48" s="1"/>
  <c r="AZ24" i="49"/>
  <c r="BD24" i="49" s="1"/>
  <c r="AZ17" i="48"/>
  <c r="BD17" i="48" s="1"/>
  <c r="AZ23" i="48"/>
  <c r="BD23" i="48" s="1"/>
  <c r="AZ15" i="48"/>
  <c r="BD15" i="48" s="1"/>
  <c r="AZ19" i="50"/>
  <c r="BD19" i="50" s="1"/>
  <c r="AZ17" i="51"/>
  <c r="BD17" i="51" s="1"/>
  <c r="BJ6" i="53"/>
  <c r="BJ40" i="53" s="1"/>
  <c r="AZ26" i="53"/>
  <c r="BD26" i="53" s="1"/>
  <c r="AZ13" i="54"/>
  <c r="BD13" i="54" s="1"/>
  <c r="AZ30" i="54"/>
  <c r="BD30" i="54" s="1"/>
  <c r="AZ35" i="48"/>
  <c r="BD35" i="48" s="1"/>
  <c r="AZ38" i="48"/>
  <c r="BD38" i="48" s="1"/>
  <c r="AZ30" i="48"/>
  <c r="BD30" i="48" s="1"/>
  <c r="AZ22" i="48"/>
  <c r="BD22" i="48" s="1"/>
  <c r="AZ14" i="48"/>
  <c r="BD14" i="48" s="1"/>
  <c r="AZ17" i="49"/>
  <c r="BD17" i="49" s="1"/>
  <c r="AZ32" i="49"/>
  <c r="BD32" i="49" s="1"/>
  <c r="AZ21" i="50"/>
  <c r="BD21" i="50" s="1"/>
  <c r="AZ17" i="52"/>
  <c r="BD17" i="52" s="1"/>
  <c r="AZ26" i="52"/>
  <c r="BD26" i="52" s="1"/>
  <c r="AZ7" i="54"/>
  <c r="BD7" i="54" s="1"/>
  <c r="AZ15" i="54"/>
  <c r="BD15" i="54" s="1"/>
  <c r="AZ21" i="54"/>
  <c r="BD21" i="54" s="1"/>
  <c r="AZ32" i="54"/>
  <c r="BD32" i="54" s="1"/>
  <c r="AZ20" i="54"/>
  <c r="BD20" i="54" s="1"/>
  <c r="AZ10" i="54"/>
  <c r="BD10" i="54" s="1"/>
  <c r="AZ29" i="54"/>
  <c r="BD29" i="54" s="1"/>
  <c r="AZ11" i="54"/>
  <c r="BD11" i="54" s="1"/>
  <c r="AZ38" i="54"/>
  <c r="BD38" i="54" s="1"/>
  <c r="AZ25" i="54"/>
  <c r="BD25" i="54" s="1"/>
  <c r="AZ12" i="54"/>
  <c r="BD12" i="54" s="1"/>
  <c r="AZ17" i="54"/>
  <c r="BD17" i="54" s="1"/>
  <c r="AZ8" i="54"/>
  <c r="BD8" i="54" s="1"/>
  <c r="BI40" i="54"/>
  <c r="BJ40" i="54"/>
  <c r="BK40" i="54"/>
  <c r="AW40" i="54"/>
  <c r="BH40" i="54"/>
  <c r="AY40" i="54"/>
  <c r="AZ32" i="53"/>
  <c r="BD32" i="53" s="1"/>
  <c r="BH40" i="53"/>
  <c r="AZ10" i="53"/>
  <c r="BD10" i="53" s="1"/>
  <c r="AW40" i="53"/>
  <c r="AZ12" i="52"/>
  <c r="BD12" i="52" s="1"/>
  <c r="AZ10" i="52"/>
  <c r="BD10" i="52" s="1"/>
  <c r="AW40" i="52"/>
  <c r="BK40" i="51"/>
  <c r="AZ11" i="51"/>
  <c r="BD11" i="51" s="1"/>
  <c r="AZ12" i="51"/>
  <c r="BD12" i="51" s="1"/>
  <c r="AZ25" i="51"/>
  <c r="BD25" i="51" s="1"/>
  <c r="AX40" i="51"/>
  <c r="Y40" i="57"/>
  <c r="AZ14" i="50"/>
  <c r="BD14" i="50" s="1"/>
  <c r="AZ28" i="50"/>
  <c r="BD28" i="50" s="1"/>
  <c r="AZ36" i="50"/>
  <c r="BD36" i="50" s="1"/>
  <c r="AZ9" i="50"/>
  <c r="BD9" i="50" s="1"/>
  <c r="AZ38" i="50"/>
  <c r="BD38" i="50" s="1"/>
  <c r="AZ13" i="50"/>
  <c r="BD13" i="50" s="1"/>
  <c r="AZ25" i="50"/>
  <c r="BD25" i="50" s="1"/>
  <c r="AZ30" i="50"/>
  <c r="BD30" i="50" s="1"/>
  <c r="AZ32" i="50"/>
  <c r="BD32" i="50" s="1"/>
  <c r="AZ10" i="50"/>
  <c r="BD10" i="50" s="1"/>
  <c r="AZ15" i="50"/>
  <c r="BD15" i="50" s="1"/>
  <c r="X40" i="57"/>
  <c r="BB40" i="57"/>
  <c r="W40" i="57"/>
  <c r="V40" i="57"/>
  <c r="Z40" i="57"/>
  <c r="AZ26" i="50"/>
  <c r="BD26" i="50" s="1"/>
  <c r="AZ11" i="50"/>
  <c r="BD11" i="50" s="1"/>
  <c r="AZ24" i="50"/>
  <c r="BD24" i="50" s="1"/>
  <c r="AZ20" i="50"/>
  <c r="BD20" i="50" s="1"/>
  <c r="AZ17" i="50"/>
  <c r="BD17" i="50" s="1"/>
  <c r="AZ23" i="50"/>
  <c r="BD23" i="50" s="1"/>
  <c r="AY40" i="50"/>
  <c r="AD40" i="57"/>
  <c r="BH40" i="49"/>
  <c r="AZ11" i="49"/>
  <c r="BD11" i="49" s="1"/>
  <c r="AL40" i="57"/>
  <c r="AI40" i="57"/>
  <c r="AW40" i="49"/>
  <c r="AZ31" i="49"/>
  <c r="BD31" i="49" s="1"/>
  <c r="AM40" i="57"/>
  <c r="AX40" i="49"/>
  <c r="BD12" i="49"/>
  <c r="S40" i="57"/>
  <c r="AZ18" i="48"/>
  <c r="BD18" i="48" s="1"/>
  <c r="AZ24" i="48"/>
  <c r="BD24" i="48" s="1"/>
  <c r="AZ31" i="48"/>
  <c r="BD31" i="48" s="1"/>
  <c r="AC40" i="57"/>
  <c r="AZ25" i="48"/>
  <c r="BD25" i="48" s="1"/>
  <c r="AZ32" i="48"/>
  <c r="BD32" i="48" s="1"/>
  <c r="AZ10" i="48"/>
  <c r="BD10" i="48" s="1"/>
  <c r="AZ20" i="48"/>
  <c r="BD20" i="48" s="1"/>
  <c r="BD11" i="48"/>
  <c r="I40" i="57"/>
  <c r="F40" i="50"/>
  <c r="F40" i="49"/>
  <c r="F40" i="55"/>
  <c r="E40" i="52"/>
  <c r="F47" i="52" s="1"/>
  <c r="AE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Q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BD6" i="54" s="1"/>
  <c r="AX40" i="54"/>
  <c r="BF40" i="54"/>
  <c r="E40" i="54"/>
  <c r="F47" i="54" s="1"/>
  <c r="F40" i="53"/>
  <c r="E40" i="53"/>
  <c r="F47" i="53" s="1"/>
  <c r="AY40" i="53"/>
  <c r="AX40" i="53"/>
  <c r="BF40" i="53"/>
  <c r="AX40" i="52"/>
  <c r="BF40" i="52"/>
  <c r="AY40" i="52"/>
  <c r="F40" i="52"/>
  <c r="AY40" i="51"/>
  <c r="AW40" i="51"/>
  <c r="BF40" i="51"/>
  <c r="BQ34" i="51"/>
  <c r="BJ6" i="51"/>
  <c r="BJ40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W40" i="48"/>
  <c r="AZ6" i="52" l="1"/>
  <c r="AZ40" i="52" s="1"/>
  <c r="C47" i="52" s="1"/>
  <c r="AZ6" i="56"/>
  <c r="BD6" i="56" s="1"/>
  <c r="AZ6" i="48"/>
  <c r="AZ6" i="53"/>
  <c r="AQ36" i="57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40" i="55"/>
  <c r="C47" i="55" s="1"/>
  <c r="BD6" i="55"/>
  <c r="AZ40" i="54"/>
  <c r="C47" i="54" s="1"/>
  <c r="AZ40" i="53"/>
  <c r="C47" i="53" s="1"/>
  <c r="BD6" i="53"/>
  <c r="BD6" i="52"/>
  <c r="AZ40" i="50"/>
  <c r="C47" i="50" s="1"/>
  <c r="BD6" i="50"/>
  <c r="AZ6" i="49"/>
  <c r="AZ40" i="48"/>
  <c r="C47" i="48" s="1"/>
  <c r="BD6" i="48"/>
  <c r="BD40" i="48" l="1"/>
  <c r="BD40" i="54"/>
  <c r="BD40" i="55"/>
  <c r="BD40" i="52"/>
  <c r="BD40" i="50"/>
  <c r="AZ85" i="54"/>
  <c r="AZ85" i="52"/>
  <c r="AZ85" i="50"/>
  <c r="AZ85" i="48"/>
  <c r="C40" i="57"/>
  <c r="AZ40" i="56"/>
  <c r="AZ85" i="55"/>
  <c r="AZ85" i="53"/>
  <c r="BD40" i="53"/>
  <c r="AZ40" i="49"/>
  <c r="BD6" i="49"/>
  <c r="BD40" i="56" l="1"/>
  <c r="BD40" i="49"/>
  <c r="C47" i="56"/>
  <c r="AZ85" i="56"/>
  <c r="C47" i="49"/>
  <c r="AZ85" i="49"/>
  <c r="BF31" i="47" l="1"/>
  <c r="BA20" i="47"/>
  <c r="BA20" i="57" s="1"/>
  <c r="BA40" i="57" s="1"/>
  <c r="BF26" i="47"/>
  <c r="BF8" i="47"/>
  <c r="BF7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40" i="47" l="1"/>
  <c r="F40" i="47"/>
  <c r="BQ45" i="47"/>
  <c r="BQ40" i="47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Y37" i="47"/>
  <c r="AX37" i="47"/>
  <c r="AW37" i="47"/>
  <c r="AY36" i="47"/>
  <c r="AX36" i="47"/>
  <c r="AW36" i="47"/>
  <c r="AY35" i="47"/>
  <c r="AX35" i="47"/>
  <c r="AW35" i="47"/>
  <c r="AY34" i="47"/>
  <c r="AX34" i="47"/>
  <c r="AW34" i="47"/>
  <c r="BQ33" i="47"/>
  <c r="BJ6" i="47" s="1"/>
  <c r="AY33" i="47"/>
  <c r="AX33" i="47"/>
  <c r="AW33" i="47"/>
  <c r="AY32" i="47"/>
  <c r="AX32" i="47"/>
  <c r="AW32" i="47"/>
  <c r="AZ32" i="47" s="1"/>
  <c r="BD32" i="47" s="1"/>
  <c r="AY31" i="47"/>
  <c r="AX31" i="47"/>
  <c r="AW31" i="47"/>
  <c r="AY30" i="47"/>
  <c r="AX30" i="47"/>
  <c r="AW30" i="47"/>
  <c r="AY29" i="47"/>
  <c r="AX29" i="47"/>
  <c r="AW29" i="47"/>
  <c r="BQ28" i="47"/>
  <c r="AY28" i="47"/>
  <c r="AX28" i="47"/>
  <c r="AW28" i="47"/>
  <c r="AY27" i="47"/>
  <c r="AX27" i="47"/>
  <c r="AW27" i="47"/>
  <c r="AZ27" i="47" s="1"/>
  <c r="BD27" i="47" s="1"/>
  <c r="AY26" i="47"/>
  <c r="AX26" i="47"/>
  <c r="AW26" i="47"/>
  <c r="AY25" i="47"/>
  <c r="AX25" i="47"/>
  <c r="AW25" i="47"/>
  <c r="AY24" i="47"/>
  <c r="AX24" i="47"/>
  <c r="AW24" i="47"/>
  <c r="AY23" i="47"/>
  <c r="AX23" i="47"/>
  <c r="AW23" i="47"/>
  <c r="BQ22" i="47"/>
  <c r="AY22" i="47"/>
  <c r="AX22" i="47"/>
  <c r="AW22" i="47"/>
  <c r="AY21" i="47"/>
  <c r="AX21" i="47"/>
  <c r="AW21" i="47"/>
  <c r="AX20" i="47"/>
  <c r="AW20" i="47"/>
  <c r="AY20" i="47"/>
  <c r="AY19" i="47"/>
  <c r="AX19" i="47"/>
  <c r="AW19" i="47"/>
  <c r="AY18" i="47"/>
  <c r="AX18" i="47"/>
  <c r="AW18" i="47"/>
  <c r="AY17" i="47"/>
  <c r="AX17" i="47"/>
  <c r="AW17" i="47"/>
  <c r="BQ16" i="47"/>
  <c r="BH6" i="47" s="1"/>
  <c r="BH40" i="47" s="1"/>
  <c r="AY16" i="47"/>
  <c r="AX16" i="47"/>
  <c r="AW16" i="47"/>
  <c r="AZ16" i="47" s="1"/>
  <c r="BD16" i="47" s="1"/>
  <c r="AY15" i="47"/>
  <c r="AX15" i="47"/>
  <c r="AW15" i="47"/>
  <c r="AY14" i="47"/>
  <c r="AX14" i="47"/>
  <c r="AW14" i="47"/>
  <c r="AY13" i="47"/>
  <c r="AX13" i="47"/>
  <c r="AW13" i="47"/>
  <c r="AY12" i="47"/>
  <c r="AX12" i="47"/>
  <c r="AW12" i="47"/>
  <c r="AY11" i="47"/>
  <c r="AX11" i="47"/>
  <c r="AW11" i="47"/>
  <c r="AY10" i="47"/>
  <c r="AX10" i="47"/>
  <c r="AW10" i="47"/>
  <c r="AY9" i="47"/>
  <c r="AX9" i="47"/>
  <c r="AW9" i="47"/>
  <c r="AY8" i="47"/>
  <c r="AX8" i="47"/>
  <c r="AW8" i="47"/>
  <c r="AY7" i="47"/>
  <c r="AX7" i="47"/>
  <c r="AW7" i="47"/>
  <c r="BI6" i="47"/>
  <c r="BI40" i="47" s="1"/>
  <c r="BF6" i="47"/>
  <c r="AY6" i="47"/>
  <c r="AX6" i="47"/>
  <c r="AW6" i="47"/>
  <c r="AZ30" i="47" l="1"/>
  <c r="BD30" i="47" s="1"/>
  <c r="AZ24" i="47"/>
  <c r="AZ34" i="47"/>
  <c r="BD34" i="47" s="1"/>
  <c r="AZ36" i="47"/>
  <c r="BD36" i="47" s="1"/>
  <c r="AZ38" i="47"/>
  <c r="BD38" i="47" s="1"/>
  <c r="AZ26" i="47"/>
  <c r="BD26" i="47" s="1"/>
  <c r="AZ28" i="47"/>
  <c r="BD28" i="47" s="1"/>
  <c r="AZ18" i="47"/>
  <c r="BD18" i="47" s="1"/>
  <c r="AZ7" i="47"/>
  <c r="BD7" i="47" s="1"/>
  <c r="AZ13" i="47"/>
  <c r="BD13" i="47" s="1"/>
  <c r="AZ15" i="47"/>
  <c r="BD15" i="47" s="1"/>
  <c r="BM40" i="47"/>
  <c r="BN6" i="47"/>
  <c r="AZ19" i="47"/>
  <c r="BD19" i="47" s="1"/>
  <c r="AZ17" i="47"/>
  <c r="BD17" i="47" s="1"/>
  <c r="AZ21" i="47"/>
  <c r="BD21" i="47" s="1"/>
  <c r="AZ29" i="47"/>
  <c r="BD29" i="47" s="1"/>
  <c r="AZ31" i="47"/>
  <c r="BD31" i="47" s="1"/>
  <c r="AZ33" i="47"/>
  <c r="BD33" i="47" s="1"/>
  <c r="AZ8" i="47"/>
  <c r="BD8" i="47" s="1"/>
  <c r="AZ12" i="47"/>
  <c r="BD12" i="47" s="1"/>
  <c r="AZ14" i="47"/>
  <c r="BD14" i="47" s="1"/>
  <c r="AZ35" i="47"/>
  <c r="BD35" i="47" s="1"/>
  <c r="AZ37" i="47"/>
  <c r="BD37" i="47" s="1"/>
  <c r="BJ40" i="47"/>
  <c r="AZ23" i="47"/>
  <c r="BD23" i="47" s="1"/>
  <c r="AZ25" i="47"/>
  <c r="BD25" i="47" s="1"/>
  <c r="AZ10" i="47"/>
  <c r="BD10" i="47" s="1"/>
  <c r="AZ22" i="47"/>
  <c r="BD22" i="47" s="1"/>
  <c r="BD24" i="47"/>
  <c r="AZ9" i="47"/>
  <c r="BD9" i="47" s="1"/>
  <c r="AZ20" i="47"/>
  <c r="BD20" i="47" s="1"/>
  <c r="AZ11" i="47"/>
  <c r="BD11" i="47" s="1"/>
  <c r="AY40" i="47"/>
  <c r="AW40" i="47"/>
  <c r="BQ34" i="47"/>
  <c r="F47" i="47"/>
  <c r="AZ6" i="47"/>
  <c r="BF40" i="47"/>
  <c r="AX40" i="47"/>
  <c r="AK40" i="47"/>
  <c r="AN20" i="46"/>
  <c r="AN20" i="57" s="1"/>
  <c r="AN40" i="57" s="1"/>
  <c r="AK20" i="46"/>
  <c r="AK20" i="57" s="1"/>
  <c r="AK40" i="57" s="1"/>
  <c r="AZ40" i="47" l="1"/>
  <c r="C47" i="47" s="1"/>
  <c r="BD6" i="47"/>
  <c r="BF7" i="45"/>
  <c r="BF7" i="46"/>
  <c r="BD40" i="47" l="1"/>
  <c r="BF7" i="57"/>
  <c r="AZ85" i="47"/>
  <c r="BQ45" i="46"/>
  <c r="BQ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F37" i="46"/>
  <c r="AY37" i="46"/>
  <c r="AX37" i="46"/>
  <c r="AW37" i="46"/>
  <c r="BF36" i="46"/>
  <c r="AY36" i="46"/>
  <c r="AX36" i="46"/>
  <c r="AW36" i="46"/>
  <c r="BF35" i="46"/>
  <c r="AY35" i="46"/>
  <c r="AX35" i="46"/>
  <c r="AW35" i="46"/>
  <c r="BF34" i="46"/>
  <c r="AY34" i="46"/>
  <c r="AX34" i="46"/>
  <c r="AW34" i="46"/>
  <c r="BQ33" i="46"/>
  <c r="BQ34" i="46" s="1"/>
  <c r="BF33" i="46"/>
  <c r="AY33" i="46"/>
  <c r="AX33" i="46"/>
  <c r="AW33" i="46"/>
  <c r="BF32" i="46"/>
  <c r="AY32" i="46"/>
  <c r="AX32" i="46"/>
  <c r="AW32" i="46"/>
  <c r="BF31" i="46"/>
  <c r="AY31" i="46"/>
  <c r="AX31" i="46"/>
  <c r="AW31" i="46"/>
  <c r="BF30" i="46"/>
  <c r="AY30" i="46"/>
  <c r="AX30" i="46"/>
  <c r="AW30" i="46"/>
  <c r="BF29" i="46"/>
  <c r="AY29" i="46"/>
  <c r="AX29" i="46"/>
  <c r="AW29" i="46"/>
  <c r="BQ28" i="46"/>
  <c r="BI6" i="46" s="1"/>
  <c r="BI40" i="46" s="1"/>
  <c r="BF28" i="46"/>
  <c r="AY28" i="46"/>
  <c r="AX28" i="46"/>
  <c r="AW28" i="46"/>
  <c r="BF27" i="46"/>
  <c r="AY27" i="46"/>
  <c r="AX27" i="46"/>
  <c r="AW27" i="46"/>
  <c r="BF26" i="46"/>
  <c r="AY26" i="46"/>
  <c r="AX26" i="46"/>
  <c r="AW26" i="46"/>
  <c r="BF25" i="46"/>
  <c r="AY25" i="46"/>
  <c r="AX25" i="46"/>
  <c r="AW25" i="46"/>
  <c r="BF24" i="46"/>
  <c r="AY24" i="46"/>
  <c r="AX24" i="46"/>
  <c r="AW24" i="46"/>
  <c r="BF23" i="46"/>
  <c r="AY23" i="46"/>
  <c r="AX23" i="46"/>
  <c r="AW23" i="46"/>
  <c r="BQ22" i="46"/>
  <c r="BN6" i="46" s="1"/>
  <c r="BF22" i="46"/>
  <c r="AY22" i="46"/>
  <c r="AX22" i="46"/>
  <c r="AW22" i="46"/>
  <c r="BF21" i="46"/>
  <c r="AY21" i="46"/>
  <c r="AX21" i="46"/>
  <c r="AW21" i="46"/>
  <c r="BF20" i="46"/>
  <c r="AY20" i="46"/>
  <c r="AX20" i="46"/>
  <c r="AW20" i="46"/>
  <c r="BF19" i="46"/>
  <c r="AY19" i="46"/>
  <c r="AX19" i="46"/>
  <c r="AW19" i="46"/>
  <c r="BF18" i="46"/>
  <c r="AY18" i="46"/>
  <c r="AX18" i="46"/>
  <c r="AW18" i="46"/>
  <c r="BF17" i="46"/>
  <c r="AY17" i="46"/>
  <c r="AX17" i="46"/>
  <c r="AW17" i="46"/>
  <c r="BQ16" i="46"/>
  <c r="BH6" i="46" s="1"/>
  <c r="BH40" i="46" s="1"/>
  <c r="BF16" i="46"/>
  <c r="AY16" i="46"/>
  <c r="AX16" i="46"/>
  <c r="AW16" i="46"/>
  <c r="BF15" i="46"/>
  <c r="AY15" i="46"/>
  <c r="AX15" i="46"/>
  <c r="AW15" i="46"/>
  <c r="BF14" i="46"/>
  <c r="AY14" i="46"/>
  <c r="AX14" i="46"/>
  <c r="AW14" i="46"/>
  <c r="BF13" i="46"/>
  <c r="AY13" i="46"/>
  <c r="AX13" i="46"/>
  <c r="AW13" i="46"/>
  <c r="BF12" i="46"/>
  <c r="AY12" i="46"/>
  <c r="AX12" i="46"/>
  <c r="AW12" i="46"/>
  <c r="BF11" i="46"/>
  <c r="AY11" i="46"/>
  <c r="AW11" i="46"/>
  <c r="AX11" i="46"/>
  <c r="BF10" i="46"/>
  <c r="AY10" i="46"/>
  <c r="AX10" i="46"/>
  <c r="AW10" i="46"/>
  <c r="BF9" i="46"/>
  <c r="AY9" i="46"/>
  <c r="AX9" i="46"/>
  <c r="AW9" i="46"/>
  <c r="BF8" i="46"/>
  <c r="AY8" i="46"/>
  <c r="AX8" i="46"/>
  <c r="AW8" i="46"/>
  <c r="AY7" i="46"/>
  <c r="AX7" i="46"/>
  <c r="AW7" i="46"/>
  <c r="BM40" i="46"/>
  <c r="BK40" i="46"/>
  <c r="BF6" i="46"/>
  <c r="AY6" i="46"/>
  <c r="AX6" i="46"/>
  <c r="AW6" i="46"/>
  <c r="AZ7" i="46" l="1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AJ10" i="57" s="1"/>
  <c r="AZ40" i="46" l="1"/>
  <c r="C47" i="46" s="1"/>
  <c r="AJ11" i="45"/>
  <c r="AJ11" i="57" s="1"/>
  <c r="AJ40" i="57" s="1"/>
  <c r="BF19" i="45"/>
  <c r="BF19" i="57" s="1"/>
  <c r="AY19" i="45"/>
  <c r="AY19" i="57" s="1"/>
  <c r="AX19" i="45"/>
  <c r="AX19" i="57" s="1"/>
  <c r="AW19" i="45"/>
  <c r="AW19" i="57" s="1"/>
  <c r="F19" i="57"/>
  <c r="E19" i="57"/>
  <c r="BD40" i="46" l="1"/>
  <c r="AZ85" i="46"/>
  <c r="AZ19" i="45"/>
  <c r="BD19" i="45" l="1"/>
  <c r="AZ19" i="57"/>
  <c r="BF34" i="45"/>
  <c r="BF34" i="57" s="1"/>
  <c r="AY34" i="45"/>
  <c r="AY34" i="57" s="1"/>
  <c r="AX34" i="45"/>
  <c r="AX34" i="57" s="1"/>
  <c r="AW34" i="45"/>
  <c r="AW34" i="57" s="1"/>
  <c r="F34" i="57"/>
  <c r="E34" i="57"/>
  <c r="BF37" i="45"/>
  <c r="BF37" i="57" s="1"/>
  <c r="AY37" i="45"/>
  <c r="AY37" i="57" s="1"/>
  <c r="AX37" i="45"/>
  <c r="AX37" i="57" s="1"/>
  <c r="AW37" i="45"/>
  <c r="AW37" i="57" s="1"/>
  <c r="F37" i="57"/>
  <c r="BD19" i="57" l="1"/>
  <c r="AZ34" i="45"/>
  <c r="AZ37" i="45"/>
  <c r="BD37" i="45" l="1"/>
  <c r="AZ37" i="57"/>
  <c r="BD34" i="45"/>
  <c r="AZ34" i="57"/>
  <c r="F8" i="57"/>
  <c r="F9" i="57"/>
  <c r="F10" i="57"/>
  <c r="F11" i="57"/>
  <c r="F12" i="57"/>
  <c r="F13" i="57"/>
  <c r="F14" i="57"/>
  <c r="F15" i="57"/>
  <c r="F16" i="57"/>
  <c r="F17" i="57"/>
  <c r="F20" i="57"/>
  <c r="F21" i="57"/>
  <c r="F22" i="57"/>
  <c r="F23" i="57"/>
  <c r="F25" i="57"/>
  <c r="F26" i="57"/>
  <c r="F27" i="57"/>
  <c r="F28" i="57"/>
  <c r="F29" i="57"/>
  <c r="F30" i="57"/>
  <c r="F31" i="57"/>
  <c r="F32" i="57"/>
  <c r="F33" i="57"/>
  <c r="F35" i="57"/>
  <c r="F36" i="57"/>
  <c r="F38" i="57"/>
  <c r="F6" i="57"/>
  <c r="E7" i="57"/>
  <c r="E8" i="57"/>
  <c r="E9" i="57"/>
  <c r="E10" i="57"/>
  <c r="E11" i="57"/>
  <c r="E12" i="57"/>
  <c r="E13" i="57"/>
  <c r="E14" i="57"/>
  <c r="E15" i="57"/>
  <c r="E16" i="57"/>
  <c r="E17" i="57"/>
  <c r="E20" i="57"/>
  <c r="E21" i="57"/>
  <c r="E22" i="57"/>
  <c r="E23" i="57"/>
  <c r="E24" i="57"/>
  <c r="E25" i="57"/>
  <c r="E26" i="57"/>
  <c r="E27" i="57"/>
  <c r="E28" i="57"/>
  <c r="E29" i="57"/>
  <c r="E30" i="57"/>
  <c r="E31" i="57"/>
  <c r="E32" i="57"/>
  <c r="E33" i="57"/>
  <c r="E35" i="57"/>
  <c r="E36" i="57"/>
  <c r="E38" i="57"/>
  <c r="E6" i="57"/>
  <c r="BQ45" i="45"/>
  <c r="BQ40" i="45"/>
  <c r="BL40" i="45"/>
  <c r="BC40" i="45"/>
  <c r="BB40" i="45"/>
  <c r="BA40" i="45"/>
  <c r="G47" i="45" s="1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BF38" i="57" s="1"/>
  <c r="AY38" i="45"/>
  <c r="AY38" i="57" s="1"/>
  <c r="AX38" i="45"/>
  <c r="AX38" i="57" s="1"/>
  <c r="AW38" i="45"/>
  <c r="AW38" i="57" s="1"/>
  <c r="BF36" i="45"/>
  <c r="BF36" i="57" s="1"/>
  <c r="AY36" i="45"/>
  <c r="AY36" i="57" s="1"/>
  <c r="AX36" i="45"/>
  <c r="AX36" i="57" s="1"/>
  <c r="AW36" i="45"/>
  <c r="AW36" i="57" s="1"/>
  <c r="BF35" i="45"/>
  <c r="BF35" i="57" s="1"/>
  <c r="AY35" i="45"/>
  <c r="AY35" i="57" s="1"/>
  <c r="AX35" i="45"/>
  <c r="AX35" i="57" s="1"/>
  <c r="AW35" i="45"/>
  <c r="AW35" i="57" s="1"/>
  <c r="BQ33" i="45"/>
  <c r="BQ34" i="45" s="1"/>
  <c r="BF33" i="45"/>
  <c r="BF33" i="57" s="1"/>
  <c r="AY33" i="45"/>
  <c r="AY33" i="57" s="1"/>
  <c r="AX33" i="45"/>
  <c r="AX33" i="57" s="1"/>
  <c r="AW33" i="45"/>
  <c r="AW33" i="57" s="1"/>
  <c r="BF32" i="45"/>
  <c r="BF32" i="57" s="1"/>
  <c r="AY32" i="45"/>
  <c r="AY32" i="57" s="1"/>
  <c r="AX32" i="45"/>
  <c r="AX32" i="57" s="1"/>
  <c r="AW32" i="45"/>
  <c r="AW32" i="57" s="1"/>
  <c r="BF31" i="45"/>
  <c r="BF31" i="57" s="1"/>
  <c r="AY31" i="45"/>
  <c r="AY31" i="57" s="1"/>
  <c r="AX31" i="45"/>
  <c r="AX31" i="57" s="1"/>
  <c r="AW31" i="45"/>
  <c r="AW31" i="57" s="1"/>
  <c r="BF30" i="45"/>
  <c r="BF30" i="57" s="1"/>
  <c r="AY30" i="45"/>
  <c r="AY30" i="57" s="1"/>
  <c r="AX30" i="45"/>
  <c r="AX30" i="57" s="1"/>
  <c r="AW30" i="45"/>
  <c r="AW30" i="57" s="1"/>
  <c r="BF29" i="45"/>
  <c r="BF29" i="57" s="1"/>
  <c r="AY29" i="45"/>
  <c r="AY29" i="57" s="1"/>
  <c r="AX29" i="45"/>
  <c r="AX29" i="57" s="1"/>
  <c r="AW29" i="45"/>
  <c r="AW29" i="57" s="1"/>
  <c r="BQ28" i="45"/>
  <c r="BI6" i="45" s="1"/>
  <c r="BF28" i="45"/>
  <c r="BF28" i="57" s="1"/>
  <c r="AY28" i="45"/>
  <c r="AY28" i="57" s="1"/>
  <c r="AX28" i="45"/>
  <c r="AX28" i="57" s="1"/>
  <c r="AW28" i="45"/>
  <c r="AW28" i="57" s="1"/>
  <c r="BF27" i="45"/>
  <c r="BF27" i="57" s="1"/>
  <c r="AY27" i="45"/>
  <c r="AY27" i="57" s="1"/>
  <c r="AX27" i="45"/>
  <c r="AX27" i="57" s="1"/>
  <c r="AW27" i="45"/>
  <c r="AW27" i="57" s="1"/>
  <c r="BF26" i="45"/>
  <c r="BF26" i="57" s="1"/>
  <c r="AY26" i="45"/>
  <c r="AY26" i="57" s="1"/>
  <c r="AX26" i="45"/>
  <c r="AX26" i="57" s="1"/>
  <c r="AW26" i="45"/>
  <c r="AW26" i="57" s="1"/>
  <c r="BF25" i="45"/>
  <c r="BF25" i="57" s="1"/>
  <c r="AX25" i="45"/>
  <c r="AX25" i="57" s="1"/>
  <c r="AW25" i="45"/>
  <c r="AW25" i="57" s="1"/>
  <c r="AY25" i="45"/>
  <c r="AY25" i="57" s="1"/>
  <c r="BF24" i="45"/>
  <c r="BF24" i="57" s="1"/>
  <c r="AY24" i="45"/>
  <c r="AY24" i="57" s="1"/>
  <c r="AW24" i="45"/>
  <c r="AW24" i="57" s="1"/>
  <c r="AX24" i="45"/>
  <c r="AX24" i="57" s="1"/>
  <c r="BF23" i="45"/>
  <c r="BF23" i="57" s="1"/>
  <c r="AY23" i="45"/>
  <c r="AY23" i="57" s="1"/>
  <c r="AX23" i="45"/>
  <c r="AX23" i="57" s="1"/>
  <c r="AW23" i="45"/>
  <c r="AW23" i="57" s="1"/>
  <c r="BQ22" i="45"/>
  <c r="BN6" i="45" s="1"/>
  <c r="BN6" i="57" s="1"/>
  <c r="BN40" i="57" s="1"/>
  <c r="BF22" i="45"/>
  <c r="BF22" i="57" s="1"/>
  <c r="AY22" i="45"/>
  <c r="AY22" i="57" s="1"/>
  <c r="AX22" i="45"/>
  <c r="AX22" i="57" s="1"/>
  <c r="AW22" i="45"/>
  <c r="AW22" i="57" s="1"/>
  <c r="BF21" i="45"/>
  <c r="BF21" i="57" s="1"/>
  <c r="AY21" i="45"/>
  <c r="AY21" i="57" s="1"/>
  <c r="AX21" i="45"/>
  <c r="AX21" i="57" s="1"/>
  <c r="AW21" i="45"/>
  <c r="AW21" i="57" s="1"/>
  <c r="BF20" i="45"/>
  <c r="BF20" i="57" s="1"/>
  <c r="AY20" i="45"/>
  <c r="AY20" i="57" s="1"/>
  <c r="AW20" i="45"/>
  <c r="AW20" i="57" s="1"/>
  <c r="AX20" i="45"/>
  <c r="AX20" i="57" s="1"/>
  <c r="BF18" i="45"/>
  <c r="BF18" i="57" s="1"/>
  <c r="AY18" i="45"/>
  <c r="AY18" i="57" s="1"/>
  <c r="AX18" i="45"/>
  <c r="AX18" i="57" s="1"/>
  <c r="AW18" i="45"/>
  <c r="AW18" i="57" s="1"/>
  <c r="BF17" i="45"/>
  <c r="BF17" i="57" s="1"/>
  <c r="AY17" i="45"/>
  <c r="AY17" i="57" s="1"/>
  <c r="AX17" i="45"/>
  <c r="AX17" i="57" s="1"/>
  <c r="AW17" i="45"/>
  <c r="AW17" i="57" s="1"/>
  <c r="BQ16" i="45"/>
  <c r="BH6" i="45" s="1"/>
  <c r="BF16" i="45"/>
  <c r="BF16" i="57" s="1"/>
  <c r="AY16" i="45"/>
  <c r="AY16" i="57" s="1"/>
  <c r="AX16" i="45"/>
  <c r="AX16" i="57" s="1"/>
  <c r="AW16" i="45"/>
  <c r="AW16" i="57" s="1"/>
  <c r="BF15" i="45"/>
  <c r="BF15" i="57" s="1"/>
  <c r="AY15" i="45"/>
  <c r="AY15" i="57" s="1"/>
  <c r="AX15" i="45"/>
  <c r="AX15" i="57" s="1"/>
  <c r="AW15" i="45"/>
  <c r="AW15" i="57" s="1"/>
  <c r="BF14" i="45"/>
  <c r="BF14" i="57" s="1"/>
  <c r="AY14" i="45"/>
  <c r="AY14" i="57" s="1"/>
  <c r="AX14" i="45"/>
  <c r="AX14" i="57" s="1"/>
  <c r="AW14" i="45"/>
  <c r="AW14" i="57" s="1"/>
  <c r="BF13" i="45"/>
  <c r="BF13" i="57" s="1"/>
  <c r="AY13" i="45"/>
  <c r="AY13" i="57" s="1"/>
  <c r="AX13" i="45"/>
  <c r="AX13" i="57" s="1"/>
  <c r="AW13" i="45"/>
  <c r="AW13" i="57" s="1"/>
  <c r="BF12" i="45"/>
  <c r="BF12" i="57" s="1"/>
  <c r="AY12" i="45"/>
  <c r="AY12" i="57" s="1"/>
  <c r="AX12" i="45"/>
  <c r="AX12" i="57" s="1"/>
  <c r="AW12" i="45"/>
  <c r="AW12" i="57" s="1"/>
  <c r="BF11" i="45"/>
  <c r="BF11" i="57" s="1"/>
  <c r="AY11" i="45"/>
  <c r="AY11" i="57" s="1"/>
  <c r="AX11" i="45"/>
  <c r="AX11" i="57" s="1"/>
  <c r="AW11" i="45"/>
  <c r="AW11" i="57" s="1"/>
  <c r="BF10" i="45"/>
  <c r="BF10" i="57" s="1"/>
  <c r="AY10" i="45"/>
  <c r="AY10" i="57" s="1"/>
  <c r="AX10" i="45"/>
  <c r="AX10" i="57" s="1"/>
  <c r="AW10" i="45"/>
  <c r="AW10" i="57" s="1"/>
  <c r="BF9" i="45"/>
  <c r="BF9" i="57" s="1"/>
  <c r="AY9" i="45"/>
  <c r="AY9" i="57" s="1"/>
  <c r="AX9" i="45"/>
  <c r="AX9" i="57" s="1"/>
  <c r="AW9" i="45"/>
  <c r="AW9" i="57" s="1"/>
  <c r="BF8" i="45"/>
  <c r="BF8" i="57" s="1"/>
  <c r="AY8" i="45"/>
  <c r="AY8" i="57" s="1"/>
  <c r="AX8" i="45"/>
  <c r="AX8" i="57" s="1"/>
  <c r="AW8" i="45"/>
  <c r="AW8" i="57" s="1"/>
  <c r="AY7" i="45"/>
  <c r="AY7" i="57" s="1"/>
  <c r="AX7" i="45"/>
  <c r="AX7" i="57" s="1"/>
  <c r="AW7" i="45"/>
  <c r="AW7" i="57" s="1"/>
  <c r="BM40" i="45"/>
  <c r="BJ6" i="45"/>
  <c r="BJ6" i="57" s="1"/>
  <c r="BJ40" i="57" s="1"/>
  <c r="BF6" i="45"/>
  <c r="BF6" i="57" s="1"/>
  <c r="AY6" i="45"/>
  <c r="AY6" i="57" s="1"/>
  <c r="AX6" i="45"/>
  <c r="AX6" i="57" s="1"/>
  <c r="AW6" i="45"/>
  <c r="AW6" i="57" s="1"/>
  <c r="AX40" i="57" l="1"/>
  <c r="AY40" i="57"/>
  <c r="BF40" i="57"/>
  <c r="AW40" i="57"/>
  <c r="BH40" i="45"/>
  <c r="BH6" i="57"/>
  <c r="BH40" i="57" s="1"/>
  <c r="F7" i="57"/>
  <c r="AZ7" i="45"/>
  <c r="BD7" i="45" s="1"/>
  <c r="BD34" i="57"/>
  <c r="BD37" i="57"/>
  <c r="BK40" i="45"/>
  <c r="BK6" i="57"/>
  <c r="BK40" i="57" s="1"/>
  <c r="BI40" i="45"/>
  <c r="AZ1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H47" i="45" s="1"/>
  <c r="BJ40" i="45"/>
  <c r="AZ18" i="45"/>
  <c r="F40" i="45"/>
  <c r="BF40" i="45"/>
  <c r="AZ6" i="45"/>
  <c r="BD6" i="45" s="1"/>
  <c r="AZ13" i="45"/>
  <c r="AZ35" i="45"/>
  <c r="AJ40" i="45"/>
  <c r="AZ23" i="45"/>
  <c r="AZ26" i="45"/>
  <c r="AZ28" i="45"/>
  <c r="AZ36" i="45"/>
  <c r="AZ24" i="45"/>
  <c r="S16" i="42"/>
  <c r="I12" i="42"/>
  <c r="BD24" i="45" l="1"/>
  <c r="BD23" i="45"/>
  <c r="AZ23" i="57"/>
  <c r="BD16" i="45"/>
  <c r="AZ16" i="57"/>
  <c r="BD15" i="45"/>
  <c r="AZ15" i="57"/>
  <c r="BD21" i="45"/>
  <c r="AZ21" i="57"/>
  <c r="BD27" i="45"/>
  <c r="AZ27" i="57"/>
  <c r="BD33" i="45"/>
  <c r="AZ33" i="57"/>
  <c r="BD36" i="45"/>
  <c r="AZ36" i="57"/>
  <c r="BD38" i="45"/>
  <c r="AZ38" i="57"/>
  <c r="BD30" i="45"/>
  <c r="AZ30" i="57"/>
  <c r="BD20" i="45"/>
  <c r="AZ20" i="57"/>
  <c r="BD25" i="45"/>
  <c r="AZ25" i="57"/>
  <c r="AZ7" i="57"/>
  <c r="BD28" i="45"/>
  <c r="AZ28" i="57"/>
  <c r="BD35" i="45"/>
  <c r="AZ35" i="57"/>
  <c r="BD29" i="45"/>
  <c r="AZ29" i="57"/>
  <c r="BD32" i="45"/>
  <c r="AZ32" i="57"/>
  <c r="BD8" i="45"/>
  <c r="AZ8" i="57"/>
  <c r="BD11" i="45"/>
  <c r="AZ11" i="57"/>
  <c r="BD22" i="45"/>
  <c r="AZ22" i="57"/>
  <c r="BD17" i="45"/>
  <c r="AZ17" i="57"/>
  <c r="BD26" i="45"/>
  <c r="AZ26" i="57"/>
  <c r="BD13" i="45"/>
  <c r="AZ13" i="57"/>
  <c r="BD18" i="45"/>
  <c r="BD12" i="45"/>
  <c r="AZ12" i="57"/>
  <c r="BD31" i="45"/>
  <c r="AZ31" i="57"/>
  <c r="BD10" i="45"/>
  <c r="AZ10" i="57"/>
  <c r="BD14" i="45"/>
  <c r="AZ14" i="57"/>
  <c r="BD9" i="45"/>
  <c r="AZ9" i="57"/>
  <c r="BE40" i="45"/>
  <c r="AZ40" i="45"/>
  <c r="I27" i="35"/>
  <c r="BD10" i="57" l="1"/>
  <c r="BD13" i="57"/>
  <c r="BD11" i="57"/>
  <c r="BD35" i="57"/>
  <c r="BD20" i="57"/>
  <c r="BD33" i="57"/>
  <c r="BD16" i="57"/>
  <c r="BD31" i="57"/>
  <c r="BD26" i="57"/>
  <c r="BD8" i="57"/>
  <c r="BD28" i="57"/>
  <c r="BD30" i="57"/>
  <c r="BD27" i="57"/>
  <c r="BD9" i="57"/>
  <c r="BD12" i="57"/>
  <c r="BD17" i="57"/>
  <c r="BD32" i="57"/>
  <c r="BD7" i="57"/>
  <c r="BD38" i="57"/>
  <c r="BD21" i="57"/>
  <c r="BD23" i="57"/>
  <c r="BD14" i="57"/>
  <c r="BD22" i="57"/>
  <c r="BD29" i="57"/>
  <c r="BD25" i="57"/>
  <c r="BD36" i="57"/>
  <c r="BD15" i="57"/>
  <c r="BD40" i="45"/>
  <c r="C47" i="45" s="1"/>
  <c r="AZ85" i="45"/>
  <c r="AW11" i="34"/>
  <c r="V30" i="42"/>
  <c r="V25" i="42"/>
  <c r="V24" i="42"/>
  <c r="V22" i="42"/>
  <c r="V19" i="42"/>
  <c r="V16" i="42"/>
  <c r="V15" i="42"/>
  <c r="V10" i="42"/>
  <c r="V8" i="42"/>
  <c r="V36" i="42"/>
  <c r="BF26" i="37" l="1"/>
  <c r="AM20" i="41" l="1"/>
  <c r="AJ20" i="41"/>
  <c r="I34" i="36"/>
  <c r="BA18" i="41" l="1"/>
  <c r="BP35" i="41"/>
  <c r="AK20" i="41"/>
  <c r="AY8" i="36" l="1"/>
  <c r="BP38" i="42"/>
  <c r="BP38" i="41"/>
  <c r="BK6" i="41" s="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BA20" i="39" l="1"/>
  <c r="BP28" i="33"/>
  <c r="BE18" i="31" l="1"/>
  <c r="BE24" i="31"/>
  <c r="BE30" i="40"/>
  <c r="BP25" i="36"/>
  <c r="BP25" i="43" s="1"/>
  <c r="BK6" i="36"/>
  <c r="BE20" i="36"/>
  <c r="BE38" i="36" s="1"/>
  <c r="BE16" i="36"/>
  <c r="BE18" i="36"/>
  <c r="BE20" i="35"/>
  <c r="BE38" i="35" s="1"/>
  <c r="BK6" i="35"/>
  <c r="BE11" i="40"/>
  <c r="BE20" i="40"/>
  <c r="BE38" i="40" s="1"/>
  <c r="BE23" i="40"/>
  <c r="BE23" i="38" l="1"/>
  <c r="BE22" i="38"/>
  <c r="BK6" i="39"/>
  <c r="BE17" i="39"/>
  <c r="BE20" i="39"/>
  <c r="BE15" i="39"/>
  <c r="BE38" i="39" s="1"/>
  <c r="BK6" i="38"/>
  <c r="BE7" i="38"/>
  <c r="BE11" i="38"/>
  <c r="BE20" i="38"/>
  <c r="BE36" i="38"/>
  <c r="BE38" i="38" l="1"/>
  <c r="BE11" i="37" l="1"/>
  <c r="BE12" i="37"/>
  <c r="AX18" i="34"/>
  <c r="BE11" i="34"/>
  <c r="BK6" i="34" l="1"/>
  <c r="AX32" i="33" l="1"/>
  <c r="BA25" i="31"/>
  <c r="BK6" i="31"/>
  <c r="BA20" i="36"/>
  <c r="AJ11" i="40"/>
  <c r="AM24" i="39" l="1"/>
  <c r="AJ24" i="39"/>
  <c r="AN20" i="39" l="1"/>
  <c r="AK20" i="39"/>
  <c r="AN9" i="39"/>
  <c r="AK9" i="39"/>
  <c r="BP38" i="37" l="1"/>
  <c r="BK6" i="37" s="1"/>
  <c r="AM11" i="37"/>
  <c r="AJ11" i="37"/>
  <c r="BE32" i="34" l="1"/>
  <c r="BE25" i="34"/>
  <c r="BE20" i="33"/>
  <c r="BE38" i="33" s="1"/>
  <c r="BE16" i="32"/>
  <c r="BE17" i="32"/>
  <c r="BE38" i="32" l="1"/>
  <c r="AY24" i="3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9" i="31"/>
  <c r="AX21" i="31"/>
  <c r="AX22" i="31"/>
  <c r="AX23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BP38" i="44" l="1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H36" i="44"/>
  <c r="BF35" i="44"/>
  <c r="AY35" i="44"/>
  <c r="AX35" i="44"/>
  <c r="AW35" i="44"/>
  <c r="H35" i="44"/>
  <c r="BF34" i="44"/>
  <c r="AY34" i="44"/>
  <c r="AX34" i="44"/>
  <c r="AW34" i="44"/>
  <c r="BP33" i="44"/>
  <c r="BJ6" i="44" s="1"/>
  <c r="BJ38" i="44" s="1"/>
  <c r="BF33" i="44"/>
  <c r="AY33" i="44"/>
  <c r="AX33" i="44"/>
  <c r="AW33" i="44"/>
  <c r="M33" i="44"/>
  <c r="BF32" i="44"/>
  <c r="AY32" i="44"/>
  <c r="AX32" i="44"/>
  <c r="AW32" i="44"/>
  <c r="S32" i="44"/>
  <c r="BF31" i="44"/>
  <c r="AY31" i="44"/>
  <c r="AX31" i="44"/>
  <c r="AW31" i="44"/>
  <c r="BF30" i="44"/>
  <c r="AY30" i="44"/>
  <c r="AX30" i="44"/>
  <c r="AW30" i="44"/>
  <c r="H30" i="44"/>
  <c r="BF29" i="44"/>
  <c r="AY29" i="44"/>
  <c r="AX29" i="44"/>
  <c r="AW29" i="44"/>
  <c r="M29" i="44"/>
  <c r="J29" i="44"/>
  <c r="BP28" i="44"/>
  <c r="BI6" i="44" s="1"/>
  <c r="BI38" i="44" s="1"/>
  <c r="BF28" i="44"/>
  <c r="AY28" i="44"/>
  <c r="AX28" i="44"/>
  <c r="AW28" i="44"/>
  <c r="S28" i="44"/>
  <c r="BF27" i="44"/>
  <c r="AY27" i="44"/>
  <c r="AX27" i="44"/>
  <c r="AW27" i="44"/>
  <c r="J27" i="44"/>
  <c r="BF26" i="44"/>
  <c r="AY26" i="44"/>
  <c r="AX26" i="44"/>
  <c r="AW26" i="44"/>
  <c r="M26" i="44"/>
  <c r="BF25" i="44"/>
  <c r="AY25" i="44"/>
  <c r="AX25" i="44"/>
  <c r="AW25" i="44"/>
  <c r="J25" i="44"/>
  <c r="BF24" i="44"/>
  <c r="AY24" i="44"/>
  <c r="AX24" i="44"/>
  <c r="AW24" i="44"/>
  <c r="M24" i="44"/>
  <c r="BF23" i="44"/>
  <c r="AY23" i="44"/>
  <c r="AX23" i="44"/>
  <c r="AW23" i="44"/>
  <c r="S23" i="44"/>
  <c r="H23" i="44"/>
  <c r="AQ23" i="44" s="1"/>
  <c r="BP22" i="44"/>
  <c r="BM6" i="44" s="1"/>
  <c r="BM38" i="44" s="1"/>
  <c r="BF22" i="44"/>
  <c r="AY22" i="44"/>
  <c r="AX22" i="44"/>
  <c r="AW22" i="44"/>
  <c r="M22" i="44"/>
  <c r="BF21" i="44"/>
  <c r="AY21" i="44"/>
  <c r="AX21" i="44"/>
  <c r="AW21" i="44"/>
  <c r="H21" i="44"/>
  <c r="BF20" i="44"/>
  <c r="AY20" i="44"/>
  <c r="AX20" i="44"/>
  <c r="AW20" i="44"/>
  <c r="M20" i="44"/>
  <c r="BF19" i="44"/>
  <c r="AY19" i="44"/>
  <c r="AX19" i="44"/>
  <c r="AW19" i="44"/>
  <c r="H19" i="44"/>
  <c r="G19" i="44" s="1"/>
  <c r="BF18" i="44"/>
  <c r="AY18" i="44"/>
  <c r="AX18" i="44"/>
  <c r="AW18" i="44"/>
  <c r="M18" i="44"/>
  <c r="BF17" i="44"/>
  <c r="AY17" i="44"/>
  <c r="AX17" i="44"/>
  <c r="AW17" i="44"/>
  <c r="H17" i="44"/>
  <c r="BP16" i="44"/>
  <c r="BH6" i="44" s="1"/>
  <c r="BH38" i="44" s="1"/>
  <c r="BF16" i="44"/>
  <c r="AY16" i="44"/>
  <c r="AX16" i="44"/>
  <c r="AW16" i="44"/>
  <c r="H16" i="44"/>
  <c r="BF15" i="44"/>
  <c r="AY15" i="44"/>
  <c r="AX15" i="44"/>
  <c r="AW15" i="44"/>
  <c r="BF14" i="44"/>
  <c r="AY14" i="44"/>
  <c r="AX14" i="44"/>
  <c r="AW14" i="44"/>
  <c r="BF13" i="44"/>
  <c r="AY13" i="44"/>
  <c r="AX13" i="44"/>
  <c r="AW13" i="44"/>
  <c r="H13" i="44"/>
  <c r="BF12" i="44"/>
  <c r="AY12" i="44"/>
  <c r="AX12" i="44"/>
  <c r="AW12" i="44"/>
  <c r="H12" i="44"/>
  <c r="BF11" i="44"/>
  <c r="AY11" i="44"/>
  <c r="AX11" i="44"/>
  <c r="AW11" i="44"/>
  <c r="J11" i="44"/>
  <c r="BF10" i="44"/>
  <c r="AY10" i="44"/>
  <c r="AX10" i="44"/>
  <c r="AW10" i="44"/>
  <c r="S10" i="44"/>
  <c r="H10" i="44"/>
  <c r="AQ10" i="44" s="1"/>
  <c r="BF9" i="44"/>
  <c r="AY9" i="44"/>
  <c r="AX9" i="44"/>
  <c r="AW9" i="44"/>
  <c r="J9" i="44"/>
  <c r="BF8" i="44"/>
  <c r="AY8" i="44"/>
  <c r="AX8" i="44"/>
  <c r="AW8" i="44"/>
  <c r="S8" i="44"/>
  <c r="G8" i="44"/>
  <c r="H8" i="44"/>
  <c r="AQ8" i="44" s="1"/>
  <c r="BF7" i="44"/>
  <c r="AY7" i="44"/>
  <c r="AX7" i="44"/>
  <c r="AW7" i="44"/>
  <c r="H7" i="44"/>
  <c r="BF6" i="44"/>
  <c r="AY6" i="44"/>
  <c r="AX6" i="44"/>
  <c r="AW6" i="44"/>
  <c r="O6" i="44"/>
  <c r="H31" i="44" l="1"/>
  <c r="M27" i="44"/>
  <c r="H22" i="44"/>
  <c r="M6" i="44"/>
  <c r="J14" i="44"/>
  <c r="AZ27" i="44"/>
  <c r="BD27" i="44" s="1"/>
  <c r="AZ30" i="44"/>
  <c r="BD30" i="44" s="1"/>
  <c r="AZ36" i="44"/>
  <c r="BD36" i="44" s="1"/>
  <c r="AZ32" i="44"/>
  <c r="BD32" i="44" s="1"/>
  <c r="G10" i="44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S35" i="44" s="1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G35" i="44"/>
  <c r="AQ35" i="44"/>
  <c r="O36" i="44"/>
  <c r="M36" i="44"/>
  <c r="J36" i="44"/>
  <c r="AS36" i="44" s="1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V7" i="43" l="1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K18" i="43"/>
  <c r="AL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K20" i="43"/>
  <c r="AL20" i="43"/>
  <c r="AN20" i="43"/>
  <c r="AO20" i="43"/>
  <c r="AP20" i="43"/>
  <c r="AT20" i="43"/>
  <c r="AU20" i="43"/>
  <c r="AV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L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BA6" i="43"/>
  <c r="BB6" i="43"/>
  <c r="BC6" i="43"/>
  <c r="BE6" i="43"/>
  <c r="BG6" i="43"/>
  <c r="BL6" i="43"/>
  <c r="J6" i="43"/>
  <c r="I6" i="43"/>
  <c r="BP33" i="43"/>
  <c r="BP28" i="43"/>
  <c r="BP22" i="43"/>
  <c r="BP1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F35" i="42"/>
  <c r="AY35" i="42"/>
  <c r="AX35" i="42"/>
  <c r="AW35" i="42"/>
  <c r="BF34" i="42"/>
  <c r="AY34" i="42"/>
  <c r="AX34" i="42"/>
  <c r="AW34" i="42"/>
  <c r="BP33" i="42"/>
  <c r="BF33" i="42"/>
  <c r="AY33" i="42"/>
  <c r="AX33" i="42"/>
  <c r="AW33" i="42"/>
  <c r="BF32" i="42"/>
  <c r="AY32" i="42"/>
  <c r="AX32" i="42"/>
  <c r="AW32" i="42"/>
  <c r="BF31" i="42"/>
  <c r="AY31" i="42"/>
  <c r="AX31" i="42"/>
  <c r="AW31" i="42"/>
  <c r="BF30" i="42"/>
  <c r="AY30" i="42"/>
  <c r="AX30" i="42"/>
  <c r="AW30" i="42"/>
  <c r="BF29" i="42"/>
  <c r="AY29" i="42"/>
  <c r="AX29" i="42"/>
  <c r="AW29" i="42"/>
  <c r="BP28" i="42"/>
  <c r="BF28" i="42"/>
  <c r="AY28" i="42"/>
  <c r="AX28" i="42"/>
  <c r="AW28" i="42"/>
  <c r="BF27" i="42"/>
  <c r="AY27" i="42"/>
  <c r="AX27" i="42"/>
  <c r="AW27" i="42"/>
  <c r="BF26" i="42"/>
  <c r="AY26" i="42"/>
  <c r="AX26" i="42"/>
  <c r="AW26" i="42"/>
  <c r="BF25" i="42"/>
  <c r="AY25" i="42"/>
  <c r="AX25" i="42"/>
  <c r="AW25" i="42"/>
  <c r="BF24" i="42"/>
  <c r="AY24" i="42"/>
  <c r="AX24" i="42"/>
  <c r="AW24" i="42"/>
  <c r="BF23" i="42"/>
  <c r="AY23" i="42"/>
  <c r="AX23" i="42"/>
  <c r="AW23" i="42"/>
  <c r="BP22" i="42"/>
  <c r="BF22" i="42"/>
  <c r="AY22" i="42"/>
  <c r="AX22" i="42"/>
  <c r="AW22" i="42"/>
  <c r="BF21" i="42"/>
  <c r="AY21" i="42"/>
  <c r="AX21" i="42"/>
  <c r="AW21" i="42"/>
  <c r="BF20" i="42"/>
  <c r="AY20" i="42"/>
  <c r="AX20" i="42"/>
  <c r="AW20" i="42"/>
  <c r="BF19" i="42"/>
  <c r="AZ19" i="42" s="1"/>
  <c r="BD19" i="42" s="1"/>
  <c r="AY19" i="42"/>
  <c r="AX19" i="42"/>
  <c r="AW19" i="42"/>
  <c r="BF18" i="42"/>
  <c r="AY18" i="42"/>
  <c r="AX18" i="42"/>
  <c r="AW18" i="42"/>
  <c r="BF17" i="42"/>
  <c r="AZ17" i="42" s="1"/>
  <c r="BD17" i="42" s="1"/>
  <c r="AY17" i="42"/>
  <c r="AX17" i="42"/>
  <c r="AW17" i="42"/>
  <c r="BP16" i="42"/>
  <c r="BF16" i="42"/>
  <c r="AY16" i="42"/>
  <c r="AX16" i="42"/>
  <c r="AW16" i="42"/>
  <c r="BF15" i="42"/>
  <c r="AY15" i="42"/>
  <c r="AX15" i="42"/>
  <c r="AW15" i="42"/>
  <c r="BF14" i="42"/>
  <c r="AY14" i="42"/>
  <c r="AX14" i="42"/>
  <c r="AW14" i="42"/>
  <c r="BF13" i="42"/>
  <c r="AY13" i="42"/>
  <c r="AX13" i="42"/>
  <c r="AW13" i="42"/>
  <c r="BF12" i="42"/>
  <c r="AY12" i="42"/>
  <c r="AX12" i="42"/>
  <c r="AW12" i="42"/>
  <c r="BF11" i="42"/>
  <c r="AY11" i="42"/>
  <c r="AX11" i="42"/>
  <c r="AW11" i="42"/>
  <c r="BF10" i="42"/>
  <c r="AY10" i="42"/>
  <c r="AX10" i="42"/>
  <c r="AW10" i="42"/>
  <c r="BF9" i="42"/>
  <c r="AY9" i="42"/>
  <c r="AX9" i="42"/>
  <c r="AW9" i="42"/>
  <c r="BF8" i="42"/>
  <c r="AY8" i="42"/>
  <c r="AX8" i="42"/>
  <c r="AW8" i="42"/>
  <c r="BM7" i="42"/>
  <c r="BI7" i="42"/>
  <c r="BH7" i="42"/>
  <c r="BF7" i="42"/>
  <c r="AY7" i="42"/>
  <c r="AX7" i="42"/>
  <c r="AW7" i="42"/>
  <c r="BM6" i="42"/>
  <c r="BI6" i="42"/>
  <c r="BF6" i="42"/>
  <c r="AY6" i="42"/>
  <c r="AX6" i="42"/>
  <c r="AW6" i="42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F35" i="41"/>
  <c r="AY35" i="41"/>
  <c r="AX35" i="41"/>
  <c r="AW35" i="41"/>
  <c r="BF34" i="41"/>
  <c r="AY34" i="41"/>
  <c r="AX34" i="41"/>
  <c r="AW34" i="41"/>
  <c r="BP33" i="41"/>
  <c r="BJ6" i="41" s="1"/>
  <c r="BF33" i="41"/>
  <c r="AY33" i="41"/>
  <c r="AX33" i="41"/>
  <c r="AW33" i="41"/>
  <c r="BF32" i="41"/>
  <c r="AY32" i="41"/>
  <c r="AX32" i="41"/>
  <c r="AZ32" i="41" s="1"/>
  <c r="BD32" i="41" s="1"/>
  <c r="AW32" i="41"/>
  <c r="BF31" i="41"/>
  <c r="AY31" i="41"/>
  <c r="AX31" i="41"/>
  <c r="AW31" i="41"/>
  <c r="BF30" i="41"/>
  <c r="AY30" i="41"/>
  <c r="AX30" i="41"/>
  <c r="AW30" i="41"/>
  <c r="BF29" i="41"/>
  <c r="AY29" i="41"/>
  <c r="AX29" i="41"/>
  <c r="AW29" i="41"/>
  <c r="BP28" i="41"/>
  <c r="BI6" i="41" s="1"/>
  <c r="BF28" i="41"/>
  <c r="AY28" i="41"/>
  <c r="AX28" i="41"/>
  <c r="AW28" i="41"/>
  <c r="BF27" i="41"/>
  <c r="AY27" i="41"/>
  <c r="AX27" i="41"/>
  <c r="AW27" i="41"/>
  <c r="BF26" i="41"/>
  <c r="AY26" i="41"/>
  <c r="AX26" i="41"/>
  <c r="AW26" i="41"/>
  <c r="BF25" i="41"/>
  <c r="AY25" i="41"/>
  <c r="AX25" i="41"/>
  <c r="AW25" i="41"/>
  <c r="BF24" i="41"/>
  <c r="AY24" i="41"/>
  <c r="AX24" i="41"/>
  <c r="AW24" i="41"/>
  <c r="BF23" i="41"/>
  <c r="AY23" i="41"/>
  <c r="AX23" i="41"/>
  <c r="AW23" i="41"/>
  <c r="BP22" i="41"/>
  <c r="BM6" i="41" s="1"/>
  <c r="BF22" i="41"/>
  <c r="AY22" i="41"/>
  <c r="AX22" i="41"/>
  <c r="AW22" i="41"/>
  <c r="BF21" i="41"/>
  <c r="AY21" i="41"/>
  <c r="AX21" i="41"/>
  <c r="AW21" i="41"/>
  <c r="BF20" i="41"/>
  <c r="AY20" i="41"/>
  <c r="AX20" i="41"/>
  <c r="AW20" i="41"/>
  <c r="BF19" i="41"/>
  <c r="AY19" i="41"/>
  <c r="AX19" i="41"/>
  <c r="AW19" i="41"/>
  <c r="BF18" i="41"/>
  <c r="AY18" i="41"/>
  <c r="AX18" i="41"/>
  <c r="AW18" i="41"/>
  <c r="BF17" i="41"/>
  <c r="AY17" i="41"/>
  <c r="AX17" i="41"/>
  <c r="AW17" i="41"/>
  <c r="BP16" i="41"/>
  <c r="BH6" i="41" s="1"/>
  <c r="BF16" i="41"/>
  <c r="AY16" i="41"/>
  <c r="AX16" i="41"/>
  <c r="AW16" i="41"/>
  <c r="BF15" i="41"/>
  <c r="AY15" i="41"/>
  <c r="AX15" i="41"/>
  <c r="AW15" i="41"/>
  <c r="BF14" i="41"/>
  <c r="AY14" i="41"/>
  <c r="AX14" i="41"/>
  <c r="AW14" i="41"/>
  <c r="BF13" i="41"/>
  <c r="AY13" i="41"/>
  <c r="AX13" i="41"/>
  <c r="AW13" i="41"/>
  <c r="BF12" i="41"/>
  <c r="AY12" i="41"/>
  <c r="AX12" i="41"/>
  <c r="AW12" i="41"/>
  <c r="BF11" i="41"/>
  <c r="AY11" i="41"/>
  <c r="AX11" i="41"/>
  <c r="AW11" i="41"/>
  <c r="BF10" i="41"/>
  <c r="AY10" i="41"/>
  <c r="AX10" i="41"/>
  <c r="AW10" i="41"/>
  <c r="BF9" i="41"/>
  <c r="AY9" i="41"/>
  <c r="AX9" i="41"/>
  <c r="AW9" i="41"/>
  <c r="BF8" i="41"/>
  <c r="AY8" i="41"/>
  <c r="AX8" i="41"/>
  <c r="AW8" i="41"/>
  <c r="BM7" i="41"/>
  <c r="BI7" i="41"/>
  <c r="BH7" i="41"/>
  <c r="BF7" i="41"/>
  <c r="AY7" i="41"/>
  <c r="AX7" i="41"/>
  <c r="AW7" i="41"/>
  <c r="BF6" i="41"/>
  <c r="AY6" i="41"/>
  <c r="AX6" i="41"/>
  <c r="AW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F35" i="40"/>
  <c r="AY35" i="40"/>
  <c r="AX35" i="40"/>
  <c r="AW35" i="40"/>
  <c r="BF34" i="40"/>
  <c r="AY34" i="40"/>
  <c r="AX34" i="40"/>
  <c r="AW34" i="40"/>
  <c r="BP33" i="40"/>
  <c r="BF33" i="40"/>
  <c r="AY33" i="40"/>
  <c r="AX33" i="40"/>
  <c r="AW33" i="40"/>
  <c r="BF32" i="40"/>
  <c r="AY32" i="40"/>
  <c r="AX32" i="40"/>
  <c r="AW32" i="40"/>
  <c r="BF31" i="40"/>
  <c r="AY31" i="40"/>
  <c r="AX31" i="40"/>
  <c r="AW31" i="40"/>
  <c r="BF30" i="40"/>
  <c r="AY30" i="40"/>
  <c r="AX30" i="40"/>
  <c r="AW30" i="40"/>
  <c r="BF29" i="40"/>
  <c r="AY29" i="40"/>
  <c r="AX29" i="40"/>
  <c r="AW29" i="40"/>
  <c r="BP28" i="40"/>
  <c r="BF28" i="40"/>
  <c r="AY28" i="40"/>
  <c r="AX28" i="40"/>
  <c r="AW28" i="40"/>
  <c r="BF27" i="40"/>
  <c r="AY27" i="40"/>
  <c r="AX27" i="40"/>
  <c r="AW27" i="40"/>
  <c r="BF26" i="40"/>
  <c r="AY26" i="40"/>
  <c r="AX26" i="40"/>
  <c r="AW26" i="40"/>
  <c r="BF25" i="40"/>
  <c r="AY25" i="40"/>
  <c r="AX25" i="40"/>
  <c r="AW25" i="40"/>
  <c r="BF24" i="40"/>
  <c r="AY24" i="40"/>
  <c r="AX24" i="40"/>
  <c r="AW24" i="40"/>
  <c r="BF23" i="40"/>
  <c r="AY23" i="40"/>
  <c r="AX23" i="40"/>
  <c r="AW23" i="40"/>
  <c r="BP22" i="40"/>
  <c r="BM6" i="40" s="1"/>
  <c r="BF22" i="40"/>
  <c r="AY22" i="40"/>
  <c r="AX22" i="40"/>
  <c r="AW22" i="40"/>
  <c r="BF21" i="40"/>
  <c r="AY21" i="40"/>
  <c r="AX21" i="40"/>
  <c r="AW21" i="40"/>
  <c r="BF20" i="40"/>
  <c r="AY20" i="40"/>
  <c r="AX20" i="40"/>
  <c r="AW20" i="40"/>
  <c r="BF19" i="40"/>
  <c r="AY19" i="40"/>
  <c r="AX19" i="40"/>
  <c r="AW19" i="40"/>
  <c r="BF18" i="40"/>
  <c r="AY18" i="40"/>
  <c r="AX18" i="40"/>
  <c r="AW18" i="40"/>
  <c r="BF17" i="40"/>
  <c r="AY17" i="40"/>
  <c r="AX17" i="40"/>
  <c r="AW17" i="40"/>
  <c r="BP16" i="40"/>
  <c r="BF16" i="40"/>
  <c r="AY16" i="40"/>
  <c r="AX16" i="40"/>
  <c r="AW16" i="40"/>
  <c r="BF15" i="40"/>
  <c r="AY15" i="40"/>
  <c r="AX15" i="40"/>
  <c r="AW15" i="40"/>
  <c r="BF14" i="40"/>
  <c r="AY14" i="40"/>
  <c r="AX14" i="40"/>
  <c r="AW14" i="40"/>
  <c r="BF13" i="40"/>
  <c r="AY13" i="40"/>
  <c r="AX13" i="40"/>
  <c r="AW13" i="40"/>
  <c r="BF12" i="40"/>
  <c r="AY12" i="40"/>
  <c r="AX12" i="40"/>
  <c r="AW12" i="40"/>
  <c r="BF11" i="40"/>
  <c r="AY11" i="40"/>
  <c r="AX11" i="40"/>
  <c r="AW11" i="40"/>
  <c r="BF10" i="40"/>
  <c r="AY10" i="40"/>
  <c r="AX10" i="40"/>
  <c r="AW10" i="40"/>
  <c r="BF9" i="40"/>
  <c r="AY9" i="40"/>
  <c r="AX9" i="40"/>
  <c r="AW9" i="40"/>
  <c r="BF8" i="40"/>
  <c r="AY8" i="40"/>
  <c r="AX8" i="40"/>
  <c r="AW8" i="40"/>
  <c r="BM7" i="40"/>
  <c r="BF7" i="40"/>
  <c r="AY7" i="40"/>
  <c r="AX7" i="40"/>
  <c r="AW7" i="40"/>
  <c r="BI6" i="40"/>
  <c r="BI38" i="40" s="1"/>
  <c r="BF6" i="40"/>
  <c r="AY6" i="40"/>
  <c r="AX6" i="40"/>
  <c r="AW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F35" i="39"/>
  <c r="AY35" i="39"/>
  <c r="AX35" i="39"/>
  <c r="AW35" i="39"/>
  <c r="BF34" i="39"/>
  <c r="AY34" i="39"/>
  <c r="AX34" i="39"/>
  <c r="AW34" i="39"/>
  <c r="BP33" i="39"/>
  <c r="BF33" i="39"/>
  <c r="AY33" i="39"/>
  <c r="AX33" i="39"/>
  <c r="AW33" i="39"/>
  <c r="BF32" i="39"/>
  <c r="AY32" i="39"/>
  <c r="AX32" i="39"/>
  <c r="AW32" i="39"/>
  <c r="BF31" i="39"/>
  <c r="AY31" i="39"/>
  <c r="AX31" i="39"/>
  <c r="AW31" i="39"/>
  <c r="BF30" i="39"/>
  <c r="AY30" i="39"/>
  <c r="AX30" i="39"/>
  <c r="AW30" i="39"/>
  <c r="BF29" i="39"/>
  <c r="AY29" i="39"/>
  <c r="AX29" i="39"/>
  <c r="AW29" i="39"/>
  <c r="BP28" i="39"/>
  <c r="BI6" i="39" s="1"/>
  <c r="BF28" i="39"/>
  <c r="AY28" i="39"/>
  <c r="AX28" i="39"/>
  <c r="AW28" i="39"/>
  <c r="BF27" i="39"/>
  <c r="AY27" i="39"/>
  <c r="AX27" i="39"/>
  <c r="AW27" i="39"/>
  <c r="BF26" i="39"/>
  <c r="AY26" i="39"/>
  <c r="AX26" i="39"/>
  <c r="AW26" i="39"/>
  <c r="BF25" i="39"/>
  <c r="AY25" i="39"/>
  <c r="AX25" i="39"/>
  <c r="AW25" i="39"/>
  <c r="BF24" i="39"/>
  <c r="AY24" i="39"/>
  <c r="AX24" i="39"/>
  <c r="AW24" i="39"/>
  <c r="BF23" i="39"/>
  <c r="AY23" i="39"/>
  <c r="AX23" i="39"/>
  <c r="AW23" i="39"/>
  <c r="BP22" i="39"/>
  <c r="BM6" i="39" s="1"/>
  <c r="BF22" i="39"/>
  <c r="AY22" i="39"/>
  <c r="AX22" i="39"/>
  <c r="AW22" i="39"/>
  <c r="BF21" i="39"/>
  <c r="AY21" i="39"/>
  <c r="AX21" i="39"/>
  <c r="AW21" i="39"/>
  <c r="BF20" i="39"/>
  <c r="AY20" i="39"/>
  <c r="AX20" i="39"/>
  <c r="AW20" i="39"/>
  <c r="BF19" i="39"/>
  <c r="AY19" i="39"/>
  <c r="AX19" i="39"/>
  <c r="AW19" i="39"/>
  <c r="BF18" i="39"/>
  <c r="AY18" i="39"/>
  <c r="AX18" i="39"/>
  <c r="AW18" i="39"/>
  <c r="BF17" i="39"/>
  <c r="AY17" i="39"/>
  <c r="AX17" i="39"/>
  <c r="AW17" i="39"/>
  <c r="BP16" i="39"/>
  <c r="BF16" i="39"/>
  <c r="AY16" i="39"/>
  <c r="AX16" i="39"/>
  <c r="AW16" i="39"/>
  <c r="BF15" i="39"/>
  <c r="AY15" i="39"/>
  <c r="AX15" i="39"/>
  <c r="AW15" i="39"/>
  <c r="BF14" i="39"/>
  <c r="AY14" i="39"/>
  <c r="AX14" i="39"/>
  <c r="AW14" i="39"/>
  <c r="BF13" i="39"/>
  <c r="AY13" i="39"/>
  <c r="AX13" i="39"/>
  <c r="AW13" i="39"/>
  <c r="BF12" i="39"/>
  <c r="AY12" i="39"/>
  <c r="AX12" i="39"/>
  <c r="AW12" i="39"/>
  <c r="BF11" i="39"/>
  <c r="AY11" i="39"/>
  <c r="AX11" i="39"/>
  <c r="AW11" i="39"/>
  <c r="BF10" i="39"/>
  <c r="AY10" i="39"/>
  <c r="AX10" i="39"/>
  <c r="AW10" i="39"/>
  <c r="BF9" i="39"/>
  <c r="AY9" i="39"/>
  <c r="AX9" i="39"/>
  <c r="AW9" i="39"/>
  <c r="BF8" i="39"/>
  <c r="AY8" i="39"/>
  <c r="AX8" i="39"/>
  <c r="AW8" i="39"/>
  <c r="BM7" i="39"/>
  <c r="BJ7" i="39"/>
  <c r="BI7" i="39"/>
  <c r="BH7" i="39"/>
  <c r="BF7" i="39"/>
  <c r="AY7" i="39"/>
  <c r="AX7" i="39"/>
  <c r="AW7" i="39"/>
  <c r="E38" i="39"/>
  <c r="F43" i="39" s="1"/>
  <c r="BH6" i="39"/>
  <c r="BF6" i="39"/>
  <c r="AY6" i="39"/>
  <c r="AX6" i="39"/>
  <c r="AW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W36" i="38"/>
  <c r="BF35" i="38"/>
  <c r="AY35" i="38"/>
  <c r="AX35" i="38"/>
  <c r="AW35" i="38"/>
  <c r="BF34" i="38"/>
  <c r="AY34" i="38"/>
  <c r="AX34" i="38"/>
  <c r="AW34" i="38"/>
  <c r="BP33" i="38"/>
  <c r="BJ7" i="38" s="1"/>
  <c r="BF33" i="38"/>
  <c r="AY33" i="38"/>
  <c r="AX33" i="38"/>
  <c r="AW33" i="38"/>
  <c r="BF32" i="38"/>
  <c r="AY32" i="38"/>
  <c r="AX32" i="38"/>
  <c r="AW32" i="38"/>
  <c r="O32" i="38"/>
  <c r="K32" i="38"/>
  <c r="M32" i="38"/>
  <c r="BF31" i="38"/>
  <c r="AY31" i="38"/>
  <c r="AX31" i="38"/>
  <c r="AW31" i="38"/>
  <c r="BF30" i="38"/>
  <c r="AY30" i="38"/>
  <c r="AX30" i="38"/>
  <c r="AW30" i="38"/>
  <c r="BF29" i="38"/>
  <c r="AY29" i="38"/>
  <c r="AX29" i="38"/>
  <c r="AW29" i="38"/>
  <c r="BP28" i="38"/>
  <c r="BI6" i="38" s="1"/>
  <c r="BF28" i="38"/>
  <c r="AY28" i="38"/>
  <c r="AX28" i="38"/>
  <c r="AW28" i="38"/>
  <c r="BF27" i="38"/>
  <c r="AY27" i="38"/>
  <c r="AX27" i="38"/>
  <c r="AW27" i="38"/>
  <c r="M27" i="38"/>
  <c r="K27" i="38"/>
  <c r="O27" i="38"/>
  <c r="BF26" i="38"/>
  <c r="AY26" i="38"/>
  <c r="AX26" i="38"/>
  <c r="AW26" i="38"/>
  <c r="BF25" i="38"/>
  <c r="AY25" i="38"/>
  <c r="AX25" i="38"/>
  <c r="AW25" i="38"/>
  <c r="O25" i="38"/>
  <c r="K25" i="38"/>
  <c r="M25" i="38"/>
  <c r="BF24" i="38"/>
  <c r="AY24" i="38"/>
  <c r="AX24" i="38"/>
  <c r="AW24" i="38"/>
  <c r="BF23" i="38"/>
  <c r="AY23" i="38"/>
  <c r="AX23" i="38"/>
  <c r="AW23" i="38"/>
  <c r="H23" i="38"/>
  <c r="BP22" i="38"/>
  <c r="BM6" i="38" s="1"/>
  <c r="BF22" i="38"/>
  <c r="AY22" i="38"/>
  <c r="AX22" i="38"/>
  <c r="AW22" i="38"/>
  <c r="BF21" i="38"/>
  <c r="AY21" i="38"/>
  <c r="AX21" i="38"/>
  <c r="AW21" i="38"/>
  <c r="BF20" i="38"/>
  <c r="AY20" i="38"/>
  <c r="AX20" i="38"/>
  <c r="AW20" i="38"/>
  <c r="O20" i="38"/>
  <c r="K20" i="38"/>
  <c r="M20" i="38"/>
  <c r="BF19" i="38"/>
  <c r="AY19" i="38"/>
  <c r="AX19" i="38"/>
  <c r="AW19" i="38"/>
  <c r="BF18" i="38"/>
  <c r="AY18" i="38"/>
  <c r="AX18" i="38"/>
  <c r="AW18" i="38"/>
  <c r="O18" i="38"/>
  <c r="K18" i="38"/>
  <c r="M18" i="38"/>
  <c r="BF17" i="38"/>
  <c r="AY17" i="38"/>
  <c r="AX17" i="38"/>
  <c r="AW17" i="38"/>
  <c r="BP16" i="38"/>
  <c r="BF16" i="38"/>
  <c r="AY16" i="38"/>
  <c r="AX16" i="38"/>
  <c r="AW16" i="38"/>
  <c r="BF15" i="38"/>
  <c r="AY15" i="38"/>
  <c r="AX15" i="38"/>
  <c r="AW15" i="38"/>
  <c r="BF14" i="38"/>
  <c r="AY14" i="38"/>
  <c r="AX14" i="38"/>
  <c r="AW14" i="38"/>
  <c r="BF13" i="38"/>
  <c r="AY13" i="38"/>
  <c r="AX13" i="38"/>
  <c r="AW13" i="38"/>
  <c r="BF12" i="38"/>
  <c r="AY12" i="38"/>
  <c r="AX12" i="38"/>
  <c r="AW12" i="38"/>
  <c r="BF11" i="38"/>
  <c r="AY11" i="38"/>
  <c r="AX11" i="38"/>
  <c r="AW11" i="38"/>
  <c r="H11" i="38"/>
  <c r="BF10" i="38"/>
  <c r="AY10" i="38"/>
  <c r="AX10" i="38"/>
  <c r="AW10" i="38"/>
  <c r="BF9" i="38"/>
  <c r="AY9" i="38"/>
  <c r="AX9" i="38"/>
  <c r="AW9" i="38"/>
  <c r="BF8" i="38"/>
  <c r="AY8" i="38"/>
  <c r="AX8" i="38"/>
  <c r="AW8" i="38"/>
  <c r="BM7" i="38"/>
  <c r="BI7" i="38"/>
  <c r="BH7" i="38"/>
  <c r="BF7" i="38"/>
  <c r="AY7" i="38"/>
  <c r="AX7" i="38"/>
  <c r="AW7" i="38"/>
  <c r="BF6" i="38"/>
  <c r="AY6" i="38"/>
  <c r="AX6" i="38"/>
  <c r="AW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Y36" i="37"/>
  <c r="AX36" i="37"/>
  <c r="AW36" i="37"/>
  <c r="H36" i="37"/>
  <c r="BF35" i="37"/>
  <c r="AY35" i="37"/>
  <c r="AX35" i="37"/>
  <c r="AW35" i="37"/>
  <c r="O35" i="37"/>
  <c r="M35" i="37"/>
  <c r="K35" i="37"/>
  <c r="H35" i="37"/>
  <c r="BF34" i="37"/>
  <c r="AY34" i="37"/>
  <c r="AX34" i="37"/>
  <c r="AW34" i="37"/>
  <c r="H34" i="37"/>
  <c r="BP33" i="37"/>
  <c r="BJ6" i="37" s="1"/>
  <c r="BJ38" i="37" s="1"/>
  <c r="BF33" i="37"/>
  <c r="AY33" i="37"/>
  <c r="AX33" i="37"/>
  <c r="AW33" i="37"/>
  <c r="BF32" i="37"/>
  <c r="AY32" i="37"/>
  <c r="AX32" i="37"/>
  <c r="AW32" i="37"/>
  <c r="H32" i="37"/>
  <c r="BF31" i="37"/>
  <c r="AY31" i="37"/>
  <c r="AX31" i="37"/>
  <c r="AW31" i="37"/>
  <c r="M31" i="37"/>
  <c r="H31" i="37"/>
  <c r="BF30" i="37"/>
  <c r="AY30" i="37"/>
  <c r="AX30" i="37"/>
  <c r="AW30" i="37"/>
  <c r="M30" i="37"/>
  <c r="K30" i="37"/>
  <c r="BF29" i="37"/>
  <c r="AY29" i="37"/>
  <c r="AX29" i="37"/>
  <c r="AW29" i="37"/>
  <c r="O29" i="37"/>
  <c r="K29" i="37"/>
  <c r="M29" i="37"/>
  <c r="BP28" i="37"/>
  <c r="BI6" i="37" s="1"/>
  <c r="BI38" i="37" s="1"/>
  <c r="BF28" i="37"/>
  <c r="AY28" i="37"/>
  <c r="AX28" i="37"/>
  <c r="AW28" i="37"/>
  <c r="M28" i="37"/>
  <c r="K28" i="37"/>
  <c r="BF27" i="37"/>
  <c r="AY27" i="37"/>
  <c r="AX27" i="37"/>
  <c r="AW27" i="37"/>
  <c r="O27" i="37"/>
  <c r="K27" i="37"/>
  <c r="M27" i="37"/>
  <c r="AY26" i="37"/>
  <c r="AX26" i="37"/>
  <c r="AW26" i="37"/>
  <c r="O26" i="37"/>
  <c r="BF25" i="37"/>
  <c r="AY25" i="37"/>
  <c r="AX25" i="37"/>
  <c r="AW25" i="37"/>
  <c r="O25" i="37"/>
  <c r="K25" i="37"/>
  <c r="M25" i="37"/>
  <c r="BF24" i="37"/>
  <c r="AY24" i="37"/>
  <c r="AX24" i="37"/>
  <c r="AW24" i="37"/>
  <c r="M24" i="37"/>
  <c r="K24" i="37"/>
  <c r="BF23" i="37"/>
  <c r="AY23" i="37"/>
  <c r="AX23" i="37"/>
  <c r="AW23" i="37"/>
  <c r="O23" i="37"/>
  <c r="BP22" i="37"/>
  <c r="BF22" i="37"/>
  <c r="AY22" i="37"/>
  <c r="AX22" i="37"/>
  <c r="AW22" i="37"/>
  <c r="O22" i="37"/>
  <c r="K22" i="37"/>
  <c r="M22" i="37"/>
  <c r="BF21" i="37"/>
  <c r="AY21" i="37"/>
  <c r="AX21" i="37"/>
  <c r="AW21" i="37"/>
  <c r="O21" i="37"/>
  <c r="BF20" i="37"/>
  <c r="AY20" i="37"/>
  <c r="AX20" i="37"/>
  <c r="AW20" i="37"/>
  <c r="O20" i="37"/>
  <c r="K20" i="37"/>
  <c r="M20" i="37"/>
  <c r="BF19" i="37"/>
  <c r="AY19" i="37"/>
  <c r="AX19" i="37"/>
  <c r="AW19" i="37"/>
  <c r="O19" i="37"/>
  <c r="BF18" i="37"/>
  <c r="AY18" i="37"/>
  <c r="AX18" i="37"/>
  <c r="AW18" i="37"/>
  <c r="O18" i="37"/>
  <c r="K18" i="37"/>
  <c r="M18" i="37"/>
  <c r="BF17" i="37"/>
  <c r="AY17" i="37"/>
  <c r="AX17" i="37"/>
  <c r="AW17" i="37"/>
  <c r="O17" i="37"/>
  <c r="M17" i="37"/>
  <c r="K17" i="37"/>
  <c r="H17" i="37"/>
  <c r="BP16" i="37"/>
  <c r="BF16" i="37"/>
  <c r="AY16" i="37"/>
  <c r="AX16" i="37"/>
  <c r="AW16" i="37"/>
  <c r="O16" i="37"/>
  <c r="M16" i="37"/>
  <c r="K16" i="37"/>
  <c r="H16" i="37"/>
  <c r="BF15" i="37"/>
  <c r="AY15" i="37"/>
  <c r="AX15" i="37"/>
  <c r="AW15" i="37"/>
  <c r="O15" i="37"/>
  <c r="K15" i="37"/>
  <c r="M15" i="37"/>
  <c r="BF14" i="37"/>
  <c r="AY14" i="37"/>
  <c r="AX14" i="37"/>
  <c r="AW14" i="37"/>
  <c r="O14" i="37"/>
  <c r="BF13" i="37"/>
  <c r="AY13" i="37"/>
  <c r="AX13" i="37"/>
  <c r="AW13" i="37"/>
  <c r="O13" i="37"/>
  <c r="M13" i="37"/>
  <c r="K13" i="37"/>
  <c r="H13" i="37"/>
  <c r="BF12" i="37"/>
  <c r="AY12" i="37"/>
  <c r="AX12" i="37"/>
  <c r="AW12" i="37"/>
  <c r="O12" i="37"/>
  <c r="BF11" i="37"/>
  <c r="AY11" i="37"/>
  <c r="AX11" i="37"/>
  <c r="AW11" i="37"/>
  <c r="M11" i="37"/>
  <c r="K11" i="37"/>
  <c r="BF10" i="37"/>
  <c r="AY10" i="37"/>
  <c r="AX10" i="37"/>
  <c r="AW10" i="37"/>
  <c r="O10" i="37"/>
  <c r="K10" i="37"/>
  <c r="M10" i="37"/>
  <c r="BF9" i="37"/>
  <c r="AY9" i="37"/>
  <c r="AX9" i="37"/>
  <c r="AW9" i="37"/>
  <c r="O9" i="37"/>
  <c r="M9" i="37"/>
  <c r="K9" i="37"/>
  <c r="H9" i="37"/>
  <c r="BF8" i="37"/>
  <c r="AY8" i="37"/>
  <c r="AX8" i="37"/>
  <c r="AW8" i="37"/>
  <c r="O8" i="37"/>
  <c r="K8" i="37"/>
  <c r="M8" i="37"/>
  <c r="BM7" i="37"/>
  <c r="BH7" i="37"/>
  <c r="BF7" i="37"/>
  <c r="AY7" i="37"/>
  <c r="AX7" i="37"/>
  <c r="AW7" i="37"/>
  <c r="F38" i="37"/>
  <c r="O7" i="37"/>
  <c r="BM6" i="37"/>
  <c r="BF6" i="37"/>
  <c r="AY6" i="37"/>
  <c r="AX6" i="37"/>
  <c r="AW6" i="37"/>
  <c r="O6" i="37"/>
  <c r="M6" i="37"/>
  <c r="K6" i="37"/>
  <c r="E38" i="37"/>
  <c r="F43" i="37" s="1"/>
  <c r="H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F35" i="36"/>
  <c r="AY35" i="36"/>
  <c r="AX35" i="36"/>
  <c r="AW35" i="36"/>
  <c r="BF34" i="36"/>
  <c r="AY34" i="36"/>
  <c r="AX34" i="36"/>
  <c r="AW34" i="36"/>
  <c r="BP33" i="36"/>
  <c r="BJ6" i="36" s="1"/>
  <c r="BF33" i="36"/>
  <c r="AY33" i="36"/>
  <c r="AX33" i="36"/>
  <c r="AW33" i="36"/>
  <c r="BF32" i="36"/>
  <c r="AY32" i="36"/>
  <c r="AX32" i="36"/>
  <c r="AW32" i="36"/>
  <c r="BF31" i="36"/>
  <c r="AY31" i="36"/>
  <c r="AX31" i="36"/>
  <c r="AW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BF27" i="36"/>
  <c r="AY27" i="36"/>
  <c r="AX27" i="36"/>
  <c r="AW27" i="36"/>
  <c r="BF26" i="36"/>
  <c r="AY26" i="36"/>
  <c r="AX26" i="36"/>
  <c r="AW26" i="36"/>
  <c r="BF25" i="36"/>
  <c r="AY25" i="36"/>
  <c r="AX25" i="36"/>
  <c r="AW25" i="36"/>
  <c r="BF24" i="36"/>
  <c r="AY24" i="36"/>
  <c r="AX24" i="36"/>
  <c r="AW24" i="36"/>
  <c r="BF23" i="36"/>
  <c r="AY23" i="36"/>
  <c r="AX23" i="36"/>
  <c r="AW23" i="36"/>
  <c r="BP22" i="36"/>
  <c r="BF22" i="36"/>
  <c r="AY22" i="36"/>
  <c r="AX22" i="36"/>
  <c r="AW22" i="36"/>
  <c r="BF21" i="36"/>
  <c r="AY21" i="36"/>
  <c r="AX21" i="36"/>
  <c r="AW21" i="36"/>
  <c r="BF20" i="36"/>
  <c r="AY20" i="36"/>
  <c r="AX20" i="36"/>
  <c r="AW20" i="36"/>
  <c r="BF19" i="36"/>
  <c r="AY19" i="36"/>
  <c r="AX19" i="36"/>
  <c r="AW19" i="36"/>
  <c r="BF18" i="36"/>
  <c r="AY18" i="36"/>
  <c r="AX18" i="36"/>
  <c r="AW18" i="36"/>
  <c r="BF17" i="36"/>
  <c r="AY17" i="36"/>
  <c r="AX17" i="36"/>
  <c r="AW17" i="36"/>
  <c r="BP16" i="36"/>
  <c r="BH6" i="36" s="1"/>
  <c r="BF16" i="36"/>
  <c r="AY16" i="36"/>
  <c r="AX16" i="36"/>
  <c r="AW16" i="36"/>
  <c r="BF15" i="36"/>
  <c r="AY15" i="36"/>
  <c r="AX15" i="36"/>
  <c r="AW15" i="36"/>
  <c r="BF14" i="36"/>
  <c r="AY14" i="36"/>
  <c r="AX14" i="36"/>
  <c r="AW14" i="36"/>
  <c r="BF13" i="36"/>
  <c r="AY13" i="36"/>
  <c r="AX13" i="36"/>
  <c r="AW13" i="36"/>
  <c r="BF12" i="36"/>
  <c r="AY12" i="36"/>
  <c r="AX12" i="36"/>
  <c r="AW12" i="36"/>
  <c r="BF11" i="36"/>
  <c r="AY11" i="36"/>
  <c r="AX11" i="36"/>
  <c r="AW11" i="36"/>
  <c r="BF10" i="36"/>
  <c r="AY10" i="36"/>
  <c r="AX10" i="36"/>
  <c r="AW10" i="36"/>
  <c r="BF9" i="36"/>
  <c r="AY9" i="36"/>
  <c r="AX9" i="36"/>
  <c r="AW9" i="36"/>
  <c r="BF8" i="36"/>
  <c r="AX8" i="36"/>
  <c r="AW8" i="36"/>
  <c r="BM7" i="36"/>
  <c r="BJ7" i="36"/>
  <c r="BI7" i="36"/>
  <c r="BH7" i="36"/>
  <c r="BF7" i="36"/>
  <c r="AY7" i="36"/>
  <c r="AX7" i="36"/>
  <c r="AW7" i="36"/>
  <c r="BM6" i="36"/>
  <c r="BF6" i="36"/>
  <c r="AY6" i="36"/>
  <c r="AX6" i="36"/>
  <c r="AW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F35" i="35"/>
  <c r="AY35" i="35"/>
  <c r="AX35" i="35"/>
  <c r="AW35" i="35"/>
  <c r="BF34" i="35"/>
  <c r="AY34" i="35"/>
  <c r="AX34" i="35"/>
  <c r="AW34" i="35"/>
  <c r="BP33" i="35"/>
  <c r="BF33" i="35"/>
  <c r="AY33" i="35"/>
  <c r="AX33" i="35"/>
  <c r="AW33" i="35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F27" i="35"/>
  <c r="AY27" i="35"/>
  <c r="AX27" i="35"/>
  <c r="AW27" i="35"/>
  <c r="BF26" i="35"/>
  <c r="AY26" i="35"/>
  <c r="AX26" i="35"/>
  <c r="AW26" i="35"/>
  <c r="BF25" i="35"/>
  <c r="AY25" i="35"/>
  <c r="AX25" i="35"/>
  <c r="AW25" i="35"/>
  <c r="BF24" i="35"/>
  <c r="AY24" i="35"/>
  <c r="AX24" i="35"/>
  <c r="AW24" i="35"/>
  <c r="BF23" i="35"/>
  <c r="AY23" i="35"/>
  <c r="AX23" i="35"/>
  <c r="AW23" i="35"/>
  <c r="BP22" i="35"/>
  <c r="BM6" i="35" s="1"/>
  <c r="BF22" i="35"/>
  <c r="AY22" i="35"/>
  <c r="AX22" i="35"/>
  <c r="AW22" i="35"/>
  <c r="BF21" i="35"/>
  <c r="AY21" i="35"/>
  <c r="AX21" i="35"/>
  <c r="AW21" i="35"/>
  <c r="BF20" i="35"/>
  <c r="AY20" i="35"/>
  <c r="AX20" i="35"/>
  <c r="AW20" i="35"/>
  <c r="BF19" i="35"/>
  <c r="AY19" i="35"/>
  <c r="AX19" i="35"/>
  <c r="AW19" i="35"/>
  <c r="BF18" i="35"/>
  <c r="AY18" i="35"/>
  <c r="AX18" i="35"/>
  <c r="AW18" i="35"/>
  <c r="BF17" i="35"/>
  <c r="AY17" i="35"/>
  <c r="AX17" i="35"/>
  <c r="AW17" i="35"/>
  <c r="BP16" i="35"/>
  <c r="BH6" i="35" s="1"/>
  <c r="BF16" i="35"/>
  <c r="AY16" i="35"/>
  <c r="AX16" i="35"/>
  <c r="AW16" i="35"/>
  <c r="BF15" i="35"/>
  <c r="AY15" i="35"/>
  <c r="AX15" i="35"/>
  <c r="AW15" i="35"/>
  <c r="BF14" i="35"/>
  <c r="AY14" i="35"/>
  <c r="AX14" i="35"/>
  <c r="AW14" i="35"/>
  <c r="BF13" i="35"/>
  <c r="AY13" i="35"/>
  <c r="AX13" i="35"/>
  <c r="AW13" i="35"/>
  <c r="BF12" i="35"/>
  <c r="AY12" i="35"/>
  <c r="AX12" i="35"/>
  <c r="AW12" i="35"/>
  <c r="BF11" i="35"/>
  <c r="AY11" i="35"/>
  <c r="AX11" i="35"/>
  <c r="AW11" i="35"/>
  <c r="BF10" i="35"/>
  <c r="AY10" i="35"/>
  <c r="AX10" i="35"/>
  <c r="AW10" i="35"/>
  <c r="BF9" i="35"/>
  <c r="AY9" i="35"/>
  <c r="AX9" i="35"/>
  <c r="AW9" i="35"/>
  <c r="BF8" i="35"/>
  <c r="AY8" i="35"/>
  <c r="AX8" i="35"/>
  <c r="AW8" i="35"/>
  <c r="BM7" i="35"/>
  <c r="BJ7" i="35"/>
  <c r="BI7" i="35"/>
  <c r="BH7" i="35"/>
  <c r="BF7" i="35"/>
  <c r="AY7" i="35"/>
  <c r="AX7" i="35"/>
  <c r="AW7" i="35"/>
  <c r="BJ6" i="35"/>
  <c r="BF6" i="35"/>
  <c r="AY6" i="35"/>
  <c r="AX6" i="35"/>
  <c r="AW6" i="35"/>
  <c r="E38" i="35"/>
  <c r="F43" i="35" s="1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F35" i="34"/>
  <c r="AY35" i="34"/>
  <c r="AX35" i="34"/>
  <c r="AW35" i="34"/>
  <c r="BF34" i="34"/>
  <c r="AY34" i="34"/>
  <c r="AX34" i="34"/>
  <c r="AW34" i="34"/>
  <c r="BP33" i="34"/>
  <c r="BF33" i="34"/>
  <c r="AY33" i="34"/>
  <c r="AX33" i="34"/>
  <c r="AW33" i="34"/>
  <c r="BF32" i="34"/>
  <c r="AY32" i="34"/>
  <c r="AX32" i="34"/>
  <c r="AW32" i="34"/>
  <c r="BF31" i="34"/>
  <c r="AY31" i="34"/>
  <c r="AX31" i="34"/>
  <c r="AW31" i="34"/>
  <c r="BF30" i="34"/>
  <c r="AY30" i="34"/>
  <c r="AX30" i="34"/>
  <c r="AW30" i="34"/>
  <c r="BF29" i="34"/>
  <c r="AY29" i="34"/>
  <c r="AX29" i="34"/>
  <c r="AW29" i="34"/>
  <c r="BP28" i="34"/>
  <c r="BI6" i="34" s="1"/>
  <c r="BF28" i="34"/>
  <c r="AY28" i="34"/>
  <c r="AX28" i="34"/>
  <c r="AW28" i="34"/>
  <c r="BF27" i="34"/>
  <c r="AY27" i="34"/>
  <c r="AX27" i="34"/>
  <c r="AW27" i="34"/>
  <c r="BF26" i="34"/>
  <c r="AY26" i="34"/>
  <c r="AX26" i="34"/>
  <c r="AW26" i="34"/>
  <c r="BF25" i="34"/>
  <c r="AY25" i="34"/>
  <c r="AX25" i="34"/>
  <c r="AW25" i="34"/>
  <c r="BF24" i="34"/>
  <c r="AY24" i="34"/>
  <c r="AX24" i="34"/>
  <c r="AW24" i="34"/>
  <c r="BF23" i="34"/>
  <c r="AY23" i="34"/>
  <c r="AX23" i="34"/>
  <c r="AW23" i="34"/>
  <c r="BP22" i="34"/>
  <c r="BM6" i="34" s="1"/>
  <c r="BF22" i="34"/>
  <c r="AY22" i="34"/>
  <c r="AX22" i="34"/>
  <c r="AW22" i="34"/>
  <c r="BF21" i="34"/>
  <c r="AY21" i="34"/>
  <c r="AX21" i="34"/>
  <c r="AW21" i="34"/>
  <c r="BF20" i="34"/>
  <c r="AY20" i="34"/>
  <c r="AX20" i="34"/>
  <c r="AW20" i="34"/>
  <c r="BF19" i="34"/>
  <c r="AY19" i="34"/>
  <c r="AX19" i="34"/>
  <c r="AW19" i="34"/>
  <c r="BF18" i="34"/>
  <c r="AY18" i="34"/>
  <c r="AW18" i="34"/>
  <c r="BF17" i="34"/>
  <c r="AY17" i="34"/>
  <c r="AX17" i="34"/>
  <c r="AW17" i="34"/>
  <c r="BP16" i="34"/>
  <c r="BF16" i="34"/>
  <c r="AY16" i="34"/>
  <c r="AX16" i="34"/>
  <c r="AW16" i="34"/>
  <c r="BF15" i="34"/>
  <c r="AY15" i="34"/>
  <c r="AX15" i="34"/>
  <c r="AW15" i="34"/>
  <c r="BF14" i="34"/>
  <c r="AY14" i="34"/>
  <c r="AX14" i="34"/>
  <c r="AW14" i="34"/>
  <c r="BF13" i="34"/>
  <c r="AY13" i="34"/>
  <c r="AX13" i="34"/>
  <c r="AW13" i="34"/>
  <c r="BF12" i="34"/>
  <c r="AY12" i="34"/>
  <c r="AX12" i="34"/>
  <c r="AW12" i="34"/>
  <c r="BF11" i="34"/>
  <c r="AY11" i="34"/>
  <c r="AX11" i="34"/>
  <c r="BF10" i="34"/>
  <c r="AY10" i="34"/>
  <c r="AX10" i="34"/>
  <c r="AW10" i="34"/>
  <c r="BF9" i="34"/>
  <c r="AY9" i="34"/>
  <c r="AX9" i="34"/>
  <c r="AW9" i="34"/>
  <c r="BF8" i="34"/>
  <c r="AY8" i="34"/>
  <c r="AX8" i="34"/>
  <c r="AW8" i="34"/>
  <c r="BM7" i="34"/>
  <c r="BJ7" i="34"/>
  <c r="BI7" i="34"/>
  <c r="BH7" i="34"/>
  <c r="BF7" i="34"/>
  <c r="AY7" i="34"/>
  <c r="AX7" i="34"/>
  <c r="AW7" i="34"/>
  <c r="BJ6" i="34"/>
  <c r="BF6" i="34"/>
  <c r="AY6" i="34"/>
  <c r="AX6" i="34"/>
  <c r="AW6" i="34"/>
  <c r="AZ33" i="39" l="1"/>
  <c r="BD33" i="39" s="1"/>
  <c r="BM38" i="41"/>
  <c r="AZ12" i="39"/>
  <c r="BD12" i="39" s="1"/>
  <c r="AZ35" i="36"/>
  <c r="BD35" i="36" s="1"/>
  <c r="AZ17" i="38"/>
  <c r="BD17" i="38" s="1"/>
  <c r="AZ17" i="37"/>
  <c r="BD17" i="37" s="1"/>
  <c r="BJ38" i="35"/>
  <c r="AZ10" i="36"/>
  <c r="BD10" i="36" s="1"/>
  <c r="AZ13" i="39"/>
  <c r="BD13" i="39" s="1"/>
  <c r="AZ18" i="39"/>
  <c r="BD18" i="39" s="1"/>
  <c r="BI38" i="41"/>
  <c r="BI38" i="34"/>
  <c r="AZ19" i="35"/>
  <c r="BD19" i="35" s="1"/>
  <c r="AZ28" i="37"/>
  <c r="BD28" i="37" s="1"/>
  <c r="AZ36" i="37"/>
  <c r="BD36" i="37" s="1"/>
  <c r="AZ21" i="38"/>
  <c r="BD21" i="38" s="1"/>
  <c r="AZ34" i="41"/>
  <c r="BD34" i="41" s="1"/>
  <c r="BJ38" i="34"/>
  <c r="AZ26" i="37"/>
  <c r="BD26" i="37" s="1"/>
  <c r="AZ16" i="39"/>
  <c r="BD16" i="39" s="1"/>
  <c r="AZ25" i="37"/>
  <c r="BD25" i="37" s="1"/>
  <c r="AZ15" i="38"/>
  <c r="BD15" i="38" s="1"/>
  <c r="BI38" i="42"/>
  <c r="AZ14" i="42"/>
  <c r="BD14" i="42" s="1"/>
  <c r="AZ31" i="38"/>
  <c r="BD31" i="38" s="1"/>
  <c r="AZ35" i="38"/>
  <c r="BD35" i="38" s="1"/>
  <c r="AZ21" i="35"/>
  <c r="BD21" i="35" s="1"/>
  <c r="AZ13" i="36"/>
  <c r="BD13" i="36" s="1"/>
  <c r="BH38" i="36"/>
  <c r="AZ32" i="36"/>
  <c r="BD32" i="36" s="1"/>
  <c r="AZ12" i="37"/>
  <c r="BD12" i="37" s="1"/>
  <c r="AZ19" i="38"/>
  <c r="BD19" i="38" s="1"/>
  <c r="AZ28" i="38"/>
  <c r="BD28" i="38" s="1"/>
  <c r="BM38" i="37"/>
  <c r="AZ32" i="42"/>
  <c r="BD32" i="42" s="1"/>
  <c r="AZ12" i="35"/>
  <c r="BD12" i="35" s="1"/>
  <c r="AZ33" i="35"/>
  <c r="BD33" i="35" s="1"/>
  <c r="AZ17" i="36"/>
  <c r="BD17" i="36" s="1"/>
  <c r="AZ28" i="36"/>
  <c r="BD28" i="36" s="1"/>
  <c r="AZ7" i="37"/>
  <c r="BD7" i="37" s="1"/>
  <c r="AZ27" i="39"/>
  <c r="BD27" i="39" s="1"/>
  <c r="BI38" i="39"/>
  <c r="AZ13" i="41"/>
  <c r="BD13" i="41" s="1"/>
  <c r="AZ30" i="41"/>
  <c r="BD30" i="41" s="1"/>
  <c r="AZ8" i="42"/>
  <c r="BD8" i="42" s="1"/>
  <c r="AZ26" i="35"/>
  <c r="BD26" i="35" s="1"/>
  <c r="BJ38" i="36"/>
  <c r="AZ16" i="37"/>
  <c r="BD16" i="37" s="1"/>
  <c r="AZ27" i="38"/>
  <c r="BD27" i="38" s="1"/>
  <c r="AZ30" i="38"/>
  <c r="BD30" i="38" s="1"/>
  <c r="AZ8" i="35"/>
  <c r="BD8" i="35" s="1"/>
  <c r="BJ6" i="38"/>
  <c r="BJ38" i="38" s="1"/>
  <c r="AZ15" i="41"/>
  <c r="BD15" i="41" s="1"/>
  <c r="AZ28" i="42"/>
  <c r="BD28" i="42" s="1"/>
  <c r="AZ29" i="35"/>
  <c r="BD29" i="35" s="1"/>
  <c r="AZ18" i="37"/>
  <c r="BD18" i="37" s="1"/>
  <c r="AZ29" i="39"/>
  <c r="BD29" i="39" s="1"/>
  <c r="AZ12" i="41"/>
  <c r="AZ33" i="37"/>
  <c r="BD33" i="37" s="1"/>
  <c r="AZ11" i="39"/>
  <c r="BD11" i="39" s="1"/>
  <c r="AZ14" i="39"/>
  <c r="BD14" i="39" s="1"/>
  <c r="AZ20" i="41"/>
  <c r="AZ28" i="41"/>
  <c r="BD28" i="41" s="1"/>
  <c r="AZ24" i="34"/>
  <c r="BD24" i="34" s="1"/>
  <c r="AZ32" i="34"/>
  <c r="AZ16" i="35"/>
  <c r="BD16" i="35" s="1"/>
  <c r="AZ23" i="37"/>
  <c r="BD23" i="37" s="1"/>
  <c r="AZ14" i="38"/>
  <c r="BD14" i="38" s="1"/>
  <c r="AZ17" i="39"/>
  <c r="AZ9" i="42"/>
  <c r="BD9" i="42" s="1"/>
  <c r="AZ24" i="42"/>
  <c r="BD24" i="42" s="1"/>
  <c r="AZ35" i="42"/>
  <c r="BD35" i="42" s="1"/>
  <c r="BH38" i="35"/>
  <c r="AZ14" i="37"/>
  <c r="BD14" i="37" s="1"/>
  <c r="AZ15" i="37"/>
  <c r="BD15" i="37" s="1"/>
  <c r="AZ8" i="38"/>
  <c r="BD8" i="38" s="1"/>
  <c r="AZ29" i="38"/>
  <c r="BD29" i="38" s="1"/>
  <c r="AZ24" i="39"/>
  <c r="BD24" i="39" s="1"/>
  <c r="AZ34" i="39"/>
  <c r="BD34" i="39" s="1"/>
  <c r="AZ11" i="41"/>
  <c r="BD11" i="41" s="1"/>
  <c r="AZ35" i="41"/>
  <c r="BD35" i="41" s="1"/>
  <c r="AZ18" i="34"/>
  <c r="AZ11" i="34"/>
  <c r="BD11" i="34" s="1"/>
  <c r="BM38" i="35"/>
  <c r="AZ10" i="37"/>
  <c r="BD10" i="37" s="1"/>
  <c r="AZ21" i="37"/>
  <c r="BD21" i="37" s="1"/>
  <c r="AZ22" i="37"/>
  <c r="BD22" i="37" s="1"/>
  <c r="AZ18" i="38"/>
  <c r="BD18" i="38" s="1"/>
  <c r="AZ26" i="38"/>
  <c r="BD26" i="38" s="1"/>
  <c r="AZ32" i="38"/>
  <c r="BD32" i="38" s="1"/>
  <c r="AZ19" i="39"/>
  <c r="BD19" i="39" s="1"/>
  <c r="AZ17" i="41"/>
  <c r="BD17" i="41" s="1"/>
  <c r="AZ25" i="41"/>
  <c r="BD25" i="41" s="1"/>
  <c r="AZ11" i="42"/>
  <c r="BD11" i="42" s="1"/>
  <c r="AW38" i="42"/>
  <c r="AZ19" i="34"/>
  <c r="BD19" i="34" s="1"/>
  <c r="AZ9" i="36"/>
  <c r="BD9" i="36" s="1"/>
  <c r="AZ13" i="37"/>
  <c r="BD13" i="37" s="1"/>
  <c r="AZ27" i="37"/>
  <c r="BD27" i="37" s="1"/>
  <c r="AZ29" i="37"/>
  <c r="BD29" i="37" s="1"/>
  <c r="AZ30" i="39"/>
  <c r="BD30" i="39" s="1"/>
  <c r="BP41" i="34"/>
  <c r="AZ27" i="35"/>
  <c r="AZ25" i="36"/>
  <c r="BD25" i="36" s="1"/>
  <c r="AZ8" i="37"/>
  <c r="BD8" i="37" s="1"/>
  <c r="BP41" i="37"/>
  <c r="AZ20" i="37"/>
  <c r="BD20" i="37" s="1"/>
  <c r="AZ34" i="37"/>
  <c r="BD34" i="37" s="1"/>
  <c r="AZ16" i="41"/>
  <c r="AZ29" i="34"/>
  <c r="BD29" i="34" s="1"/>
  <c r="BH38" i="39"/>
  <c r="AZ8" i="40"/>
  <c r="BD8" i="40" s="1"/>
  <c r="AZ19" i="40"/>
  <c r="BD19" i="40" s="1"/>
  <c r="AA38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F38" i="43"/>
  <c r="AZ24" i="40"/>
  <c r="BD24" i="40" s="1"/>
  <c r="AZ24" i="36"/>
  <c r="BD24" i="36" s="1"/>
  <c r="BM38" i="36"/>
  <c r="BH38" i="41"/>
  <c r="AZ6" i="41"/>
  <c r="BD6" i="41" s="1"/>
  <c r="AZ31" i="41"/>
  <c r="BD31" i="41" s="1"/>
  <c r="AZ36" i="41"/>
  <c r="BD36" i="41" s="1"/>
  <c r="BD20" i="41"/>
  <c r="BD12" i="41"/>
  <c r="AX38" i="41"/>
  <c r="X38" i="43"/>
  <c r="AV38" i="43"/>
  <c r="AZ23" i="40"/>
  <c r="BD23" i="40" s="1"/>
  <c r="BM38" i="40"/>
  <c r="BM38" i="39"/>
  <c r="AZ23" i="39"/>
  <c r="BD23" i="39" s="1"/>
  <c r="AZ24" i="37"/>
  <c r="BD24" i="37" s="1"/>
  <c r="AG38" i="43"/>
  <c r="BL38" i="43"/>
  <c r="V38" i="43"/>
  <c r="AZ17" i="34"/>
  <c r="BD17" i="34" s="1"/>
  <c r="AZ16" i="36"/>
  <c r="BD16" i="36" s="1"/>
  <c r="AZ18" i="36"/>
  <c r="BD18" i="36" s="1"/>
  <c r="AZ23" i="35"/>
  <c r="BD23" i="35" s="1"/>
  <c r="BC38" i="43"/>
  <c r="AU38" i="43"/>
  <c r="AO38" i="43"/>
  <c r="Y38" i="43"/>
  <c r="BP41" i="38"/>
  <c r="AS35" i="37"/>
  <c r="G35" i="37"/>
  <c r="AZ20" i="36"/>
  <c r="BD20" i="36" s="1"/>
  <c r="AY38" i="35"/>
  <c r="AZ22" i="35"/>
  <c r="BD22" i="35" s="1"/>
  <c r="AW38" i="35"/>
  <c r="AZ32" i="40"/>
  <c r="BD32" i="40" s="1"/>
  <c r="AX38" i="40"/>
  <c r="AZ11" i="40"/>
  <c r="BD11" i="40" s="1"/>
  <c r="AZ30" i="40"/>
  <c r="BD30" i="40" s="1"/>
  <c r="AX38" i="39"/>
  <c r="AZ32" i="39"/>
  <c r="BD32" i="39" s="1"/>
  <c r="AZ15" i="39"/>
  <c r="BD15" i="39" s="1"/>
  <c r="J38" i="43"/>
  <c r="AZ7" i="38"/>
  <c r="BD7" i="38" s="1"/>
  <c r="AZ24" i="38"/>
  <c r="BD24" i="38" s="1"/>
  <c r="AZ12" i="38"/>
  <c r="BD12" i="38" s="1"/>
  <c r="AW38" i="38"/>
  <c r="AZ22" i="38"/>
  <c r="BD22" i="38" s="1"/>
  <c r="AZ20" i="38"/>
  <c r="BD20" i="38" s="1"/>
  <c r="AP38" i="43"/>
  <c r="AZ25" i="38"/>
  <c r="BD25" i="38" s="1"/>
  <c r="AX38" i="38"/>
  <c r="AZ9" i="38"/>
  <c r="BD9" i="38" s="1"/>
  <c r="AY38" i="37"/>
  <c r="AZ9" i="37"/>
  <c r="BD9" i="37" s="1"/>
  <c r="BB38" i="43"/>
  <c r="AW38" i="37"/>
  <c r="AZ19" i="37"/>
  <c r="BD19" i="37" s="1"/>
  <c r="AZ11" i="37"/>
  <c r="BD11" i="37" s="1"/>
  <c r="BE26" i="37"/>
  <c r="BE26" i="43" s="1"/>
  <c r="AZ30" i="34"/>
  <c r="BD30" i="34" s="1"/>
  <c r="Z38" i="43"/>
  <c r="BH6" i="34"/>
  <c r="BH38" i="34" s="1"/>
  <c r="AZ10" i="34"/>
  <c r="BD10" i="34" s="1"/>
  <c r="AC38" i="43"/>
  <c r="AX38" i="34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D30" i="42" s="1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BD31" i="42" s="1"/>
  <c r="AZ21" i="42"/>
  <c r="BD21" i="42" s="1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AY38" i="41"/>
  <c r="F38" i="42"/>
  <c r="AY38" i="42"/>
  <c r="AZ22" i="42"/>
  <c r="BD22" i="42" s="1"/>
  <c r="BJ7" i="42"/>
  <c r="AZ7" i="42" s="1"/>
  <c r="BD7" i="42" s="1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BD10" i="42" s="1"/>
  <c r="AZ13" i="42"/>
  <c r="BD13" i="42" s="1"/>
  <c r="AZ16" i="42"/>
  <c r="BD16" i="42" s="1"/>
  <c r="AZ18" i="42"/>
  <c r="BD18" i="42" s="1"/>
  <c r="AZ23" i="42"/>
  <c r="BD23" i="42" s="1"/>
  <c r="AZ15" i="42"/>
  <c r="BD15" i="42" s="1"/>
  <c r="AZ25" i="42"/>
  <c r="BD25" i="42" s="1"/>
  <c r="AX38" i="42"/>
  <c r="BM38" i="42"/>
  <c r="AZ12" i="42"/>
  <c r="BD12" i="42" s="1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BA26" i="43" s="1"/>
  <c r="BA20" i="32"/>
  <c r="BA20" i="43" s="1"/>
  <c r="AZ6" i="38" l="1"/>
  <c r="BD6" i="38" s="1"/>
  <c r="BA38" i="43"/>
  <c r="AZ6" i="37"/>
  <c r="BD6" i="37" s="1"/>
  <c r="AZ7" i="41"/>
  <c r="BD7" i="41" s="1"/>
  <c r="BD38" i="41" s="1"/>
  <c r="AS18" i="37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H11" i="33"/>
  <c r="O22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F35" i="33"/>
  <c r="AY35" i="33"/>
  <c r="AX35" i="33"/>
  <c r="AW35" i="33"/>
  <c r="BF34" i="33"/>
  <c r="AY34" i="33"/>
  <c r="AX34" i="33"/>
  <c r="AW34" i="33"/>
  <c r="BP33" i="33"/>
  <c r="BJ7" i="33" s="1"/>
  <c r="BF33" i="33"/>
  <c r="AY33" i="33"/>
  <c r="AX33" i="33"/>
  <c r="AW33" i="33"/>
  <c r="BF32" i="33"/>
  <c r="AY32" i="33"/>
  <c r="AW32" i="33"/>
  <c r="BF31" i="33"/>
  <c r="AY31" i="33"/>
  <c r="AX31" i="33"/>
  <c r="AW31" i="33"/>
  <c r="BF30" i="33"/>
  <c r="AY30" i="33"/>
  <c r="AX30" i="33"/>
  <c r="AW30" i="33"/>
  <c r="BF29" i="33"/>
  <c r="AY29" i="33"/>
  <c r="AX29" i="33"/>
  <c r="AW29" i="33"/>
  <c r="BF28" i="33"/>
  <c r="AY28" i="33"/>
  <c r="AX28" i="33"/>
  <c r="AW28" i="33"/>
  <c r="BF27" i="33"/>
  <c r="AY27" i="33"/>
  <c r="AX27" i="33"/>
  <c r="AW27" i="33"/>
  <c r="BF26" i="33"/>
  <c r="AY26" i="33"/>
  <c r="AX26" i="33"/>
  <c r="AW26" i="33"/>
  <c r="BF25" i="33"/>
  <c r="AY25" i="33"/>
  <c r="AX25" i="33"/>
  <c r="AW25" i="33"/>
  <c r="BF24" i="33"/>
  <c r="AY24" i="33"/>
  <c r="AX24" i="33"/>
  <c r="AW24" i="33"/>
  <c r="BF23" i="33"/>
  <c r="AY23" i="33"/>
  <c r="AX23" i="33"/>
  <c r="AW23" i="33"/>
  <c r="BP22" i="33"/>
  <c r="BM6" i="33" s="1"/>
  <c r="BF22" i="33"/>
  <c r="AY22" i="33"/>
  <c r="AX22" i="33"/>
  <c r="AW22" i="33"/>
  <c r="BF21" i="33"/>
  <c r="AY21" i="33"/>
  <c r="AX21" i="33"/>
  <c r="AW21" i="33"/>
  <c r="BF20" i="33"/>
  <c r="BA38" i="33"/>
  <c r="AY20" i="33"/>
  <c r="AX20" i="33"/>
  <c r="AW20" i="33"/>
  <c r="BF19" i="33"/>
  <c r="AY19" i="33"/>
  <c r="AX19" i="33"/>
  <c r="AW19" i="33"/>
  <c r="BF18" i="33"/>
  <c r="AY18" i="33"/>
  <c r="AX18" i="33"/>
  <c r="AW18" i="33"/>
  <c r="BF17" i="33"/>
  <c r="AY17" i="33"/>
  <c r="AX17" i="33"/>
  <c r="AW17" i="33"/>
  <c r="BP16" i="33"/>
  <c r="BH6" i="33" s="1"/>
  <c r="BF16" i="33"/>
  <c r="AY16" i="33"/>
  <c r="AX16" i="33"/>
  <c r="AW16" i="33"/>
  <c r="BF15" i="33"/>
  <c r="AY15" i="33"/>
  <c r="AX15" i="33"/>
  <c r="AW15" i="33"/>
  <c r="BF14" i="33"/>
  <c r="AY14" i="33"/>
  <c r="AX14" i="33"/>
  <c r="AW14" i="33"/>
  <c r="BF13" i="33"/>
  <c r="AY13" i="33"/>
  <c r="AX13" i="33"/>
  <c r="AW13" i="33"/>
  <c r="BF12" i="33"/>
  <c r="AY12" i="33"/>
  <c r="AX12" i="33"/>
  <c r="AW12" i="33"/>
  <c r="BF11" i="33"/>
  <c r="AY11" i="33"/>
  <c r="AX11" i="33"/>
  <c r="AW11" i="33"/>
  <c r="BF10" i="33"/>
  <c r="AY10" i="33"/>
  <c r="AX10" i="33"/>
  <c r="AW10" i="33"/>
  <c r="BF9" i="33"/>
  <c r="AY9" i="33"/>
  <c r="AX9" i="33"/>
  <c r="AW9" i="33"/>
  <c r="BF8" i="33"/>
  <c r="AY8" i="33"/>
  <c r="AX8" i="33"/>
  <c r="AW8" i="33"/>
  <c r="BM7" i="33"/>
  <c r="BI7" i="33"/>
  <c r="BH7" i="33"/>
  <c r="BF7" i="33"/>
  <c r="AY7" i="33"/>
  <c r="AX7" i="33"/>
  <c r="AW7" i="33"/>
  <c r="BF6" i="33"/>
  <c r="AY6" i="33"/>
  <c r="AX6" i="33"/>
  <c r="AW6" i="33"/>
  <c r="AZ18" i="33" l="1"/>
  <c r="AZ35" i="33"/>
  <c r="BD35" i="33" s="1"/>
  <c r="AZ19" i="33"/>
  <c r="BD19" i="33" s="1"/>
  <c r="AZ11" i="33"/>
  <c r="BD11" i="33" s="1"/>
  <c r="AZ26" i="33"/>
  <c r="BD26" i="33" s="1"/>
  <c r="AZ15" i="33"/>
  <c r="BD15" i="33" s="1"/>
  <c r="AZ22" i="33"/>
  <c r="BD22" i="33" s="1"/>
  <c r="AZ38" i="34"/>
  <c r="C43" i="34" s="1"/>
  <c r="BK38" i="33"/>
  <c r="BJ6" i="33"/>
  <c r="AZ32" i="33"/>
  <c r="BD32" i="33" s="1"/>
  <c r="AZ7" i="33"/>
  <c r="BD7" i="33" s="1"/>
  <c r="BM38" i="33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1" i="43" s="1"/>
  <c r="AW20" i="31"/>
  <c r="AW19" i="31"/>
  <c r="AW18" i="31"/>
  <c r="AW17" i="31"/>
  <c r="AW16" i="31"/>
  <c r="AW15" i="31"/>
  <c r="AW14" i="31"/>
  <c r="AW13" i="31"/>
  <c r="AW13" i="43" s="1"/>
  <c r="AW12" i="31"/>
  <c r="AW11" i="31"/>
  <c r="AW10" i="31"/>
  <c r="AW9" i="31"/>
  <c r="AW8" i="31"/>
  <c r="AW8" i="43" s="1"/>
  <c r="AW7" i="31"/>
  <c r="AW6" i="31"/>
  <c r="AW7" i="32"/>
  <c r="AW8" i="32"/>
  <c r="AW9" i="32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W9" i="43" l="1"/>
  <c r="AW29" i="43"/>
  <c r="AW16" i="43"/>
  <c r="AW24" i="43"/>
  <c r="AW6" i="43"/>
  <c r="AW14" i="43"/>
  <c r="AW22" i="43"/>
  <c r="AW30" i="43"/>
  <c r="AW7" i="43"/>
  <c r="AW15" i="43"/>
  <c r="AW23" i="43"/>
  <c r="AW31" i="43"/>
  <c r="AW32" i="43"/>
  <c r="AW17" i="43"/>
  <c r="AW33" i="43"/>
  <c r="AW25" i="43"/>
  <c r="AW10" i="43"/>
  <c r="AW18" i="43"/>
  <c r="AW26" i="43"/>
  <c r="AW34" i="43"/>
  <c r="AW19" i="43"/>
  <c r="AW35" i="43"/>
  <c r="AW11" i="43"/>
  <c r="AW27" i="43"/>
  <c r="AW12" i="43"/>
  <c r="AW20" i="43"/>
  <c r="AW28" i="43"/>
  <c r="AW36" i="43"/>
  <c r="AY7" i="32"/>
  <c r="AY7" i="43" s="1"/>
  <c r="AY8" i="32"/>
  <c r="AY8" i="43" s="1"/>
  <c r="AY9" i="32"/>
  <c r="AY9" i="43" s="1"/>
  <c r="AY10" i="32"/>
  <c r="AY10" i="43" s="1"/>
  <c r="AY11" i="32"/>
  <c r="AY11" i="43" s="1"/>
  <c r="AY12" i="32"/>
  <c r="AY12" i="43" s="1"/>
  <c r="AY13" i="32"/>
  <c r="AY13" i="43" s="1"/>
  <c r="AY14" i="32"/>
  <c r="AY14" i="43" s="1"/>
  <c r="AY15" i="32"/>
  <c r="AY15" i="43" s="1"/>
  <c r="AY16" i="32"/>
  <c r="AY16" i="43" s="1"/>
  <c r="AY17" i="32"/>
  <c r="AY17" i="43" s="1"/>
  <c r="AY18" i="32"/>
  <c r="AY18" i="43" s="1"/>
  <c r="AY19" i="32"/>
  <c r="AY19" i="43" s="1"/>
  <c r="AY20" i="32"/>
  <c r="AY20" i="43" s="1"/>
  <c r="AY21" i="32"/>
  <c r="AY21" i="43" s="1"/>
  <c r="AY22" i="32"/>
  <c r="AY22" i="43" s="1"/>
  <c r="AY23" i="32"/>
  <c r="AY23" i="43" s="1"/>
  <c r="AY24" i="32"/>
  <c r="AY24" i="43" s="1"/>
  <c r="AY25" i="32"/>
  <c r="AY26" i="32"/>
  <c r="AY26" i="43" s="1"/>
  <c r="AY27" i="32"/>
  <c r="AY27" i="43" s="1"/>
  <c r="AY28" i="32"/>
  <c r="AY28" i="43" s="1"/>
  <c r="AY29" i="32"/>
  <c r="AY29" i="43" s="1"/>
  <c r="AY30" i="32"/>
  <c r="AY30" i="43" s="1"/>
  <c r="AY31" i="32"/>
  <c r="AY31" i="43" s="1"/>
  <c r="AY32" i="32"/>
  <c r="AY32" i="43" s="1"/>
  <c r="AY33" i="32"/>
  <c r="AY33" i="43" s="1"/>
  <c r="AY34" i="32"/>
  <c r="AY34" i="43" s="1"/>
  <c r="AY35" i="32"/>
  <c r="AY35" i="43" s="1"/>
  <c r="AY36" i="32"/>
  <c r="AY36" i="43" s="1"/>
  <c r="AY6" i="32"/>
  <c r="AY6" i="43" s="1"/>
  <c r="AX7" i="32"/>
  <c r="AX7" i="43" s="1"/>
  <c r="AX8" i="32"/>
  <c r="AX8" i="43" s="1"/>
  <c r="AX9" i="32"/>
  <c r="AX9" i="43" s="1"/>
  <c r="AX10" i="32"/>
  <c r="AX10" i="43" s="1"/>
  <c r="AX11" i="32"/>
  <c r="AX11" i="43" s="1"/>
  <c r="AX12" i="32"/>
  <c r="AX12" i="43" s="1"/>
  <c r="AX13" i="32"/>
  <c r="AX13" i="43" s="1"/>
  <c r="AX14" i="32"/>
  <c r="AX14" i="43" s="1"/>
  <c r="AX15" i="32"/>
  <c r="AX15" i="43" s="1"/>
  <c r="AX16" i="32"/>
  <c r="AX16" i="43" s="1"/>
  <c r="AX17" i="32"/>
  <c r="AX17" i="43" s="1"/>
  <c r="AX18" i="32"/>
  <c r="AX19" i="32"/>
  <c r="AX19" i="43" s="1"/>
  <c r="AX20" i="32"/>
  <c r="AX21" i="32"/>
  <c r="AX21" i="43" s="1"/>
  <c r="AX22" i="32"/>
  <c r="AX22" i="43" s="1"/>
  <c r="AX23" i="32"/>
  <c r="AX23" i="43" s="1"/>
  <c r="AX24" i="32"/>
  <c r="AX25" i="32"/>
  <c r="AX26" i="32"/>
  <c r="AX26" i="43" s="1"/>
  <c r="AX27" i="32"/>
  <c r="AX27" i="43" s="1"/>
  <c r="AX28" i="32"/>
  <c r="AX28" i="43" s="1"/>
  <c r="AX29" i="32"/>
  <c r="AX29" i="43" s="1"/>
  <c r="AX30" i="32"/>
  <c r="AX30" i="43" s="1"/>
  <c r="AX31" i="32"/>
  <c r="AX31" i="43" s="1"/>
  <c r="AX32" i="32"/>
  <c r="AX32" i="43" s="1"/>
  <c r="AX33" i="32"/>
  <c r="AX33" i="43" s="1"/>
  <c r="AX34" i="32"/>
  <c r="AX34" i="43" s="1"/>
  <c r="AX35" i="32"/>
  <c r="AX35" i="43" s="1"/>
  <c r="AX36" i="32"/>
  <c r="AX36" i="43" s="1"/>
  <c r="AX6" i="32"/>
  <c r="AX6" i="43" s="1"/>
  <c r="AW38" i="43" l="1"/>
  <c r="BL38" i="32" l="1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F35" i="32"/>
  <c r="BF34" i="32"/>
  <c r="BP33" i="32"/>
  <c r="BF33" i="32"/>
  <c r="BF32" i="32"/>
  <c r="BF31" i="32"/>
  <c r="BF30" i="32"/>
  <c r="BF29" i="32"/>
  <c r="BP28" i="32"/>
  <c r="BI6" i="32" s="1"/>
  <c r="BI38" i="32" s="1"/>
  <c r="BF28" i="32"/>
  <c r="BF27" i="32"/>
  <c r="BF26" i="32"/>
  <c r="AZ26" i="32" s="1"/>
  <c r="BD26" i="32" s="1"/>
  <c r="BF25" i="32"/>
  <c r="BF24" i="32"/>
  <c r="AN38" i="32"/>
  <c r="BF23" i="32"/>
  <c r="BP22" i="32"/>
  <c r="BM6" i="32" s="1"/>
  <c r="BM38" i="32" s="1"/>
  <c r="BF22" i="32"/>
  <c r="BF21" i="32"/>
  <c r="BF20" i="32"/>
  <c r="BF19" i="32"/>
  <c r="BF18" i="32"/>
  <c r="AJ38" i="32"/>
  <c r="BF17" i="32"/>
  <c r="BP16" i="32"/>
  <c r="BF16" i="32"/>
  <c r="BF15" i="32"/>
  <c r="BF14" i="32"/>
  <c r="BF13" i="32"/>
  <c r="BF12" i="32"/>
  <c r="BF11" i="32"/>
  <c r="BF10" i="32"/>
  <c r="BF9" i="32"/>
  <c r="BF8" i="32"/>
  <c r="BF7" i="32"/>
  <c r="BJ6" i="32"/>
  <c r="BF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P33" i="31"/>
  <c r="BJ6" i="31" s="1"/>
  <c r="BJ6" i="43" s="1"/>
  <c r="BP28" i="31"/>
  <c r="BI6" i="31" s="1"/>
  <c r="BP22" i="31"/>
  <c r="BM6" i="31" s="1"/>
  <c r="BM6" i="43" s="1"/>
  <c r="BP16" i="31"/>
  <c r="BH6" i="31" s="1"/>
  <c r="BH6" i="43" s="1"/>
  <c r="AJ24" i="31" l="1"/>
  <c r="AM20" i="31"/>
  <c r="AM20" i="43" s="1"/>
  <c r="AJ20" i="31"/>
  <c r="AM25" i="31"/>
  <c r="AM25" i="43" s="1"/>
  <c r="AJ25" i="31"/>
  <c r="AM18" i="31"/>
  <c r="AM18" i="43" s="1"/>
  <c r="AJ18" i="31"/>
  <c r="AX25" i="31" l="1"/>
  <c r="AX25" i="43" s="1"/>
  <c r="AJ25" i="43"/>
  <c r="AX20" i="31"/>
  <c r="AX20" i="43" s="1"/>
  <c r="AJ20" i="43"/>
  <c r="AX24" i="31"/>
  <c r="AX24" i="43" s="1"/>
  <c r="AJ24" i="43"/>
  <c r="AX18" i="31"/>
  <c r="AX18" i="43" s="1"/>
  <c r="AX38" i="43" s="1"/>
  <c r="AJ18" i="43"/>
  <c r="AM38" i="43"/>
  <c r="AK25" i="31"/>
  <c r="E7" i="43"/>
  <c r="BF7" i="31"/>
  <c r="BF7" i="43" s="1"/>
  <c r="BH7" i="31"/>
  <c r="BH7" i="43" s="1"/>
  <c r="BH38" i="43" s="1"/>
  <c r="BM7" i="31"/>
  <c r="BM7" i="43" s="1"/>
  <c r="BM38" i="43" s="1"/>
  <c r="E34" i="43"/>
  <c r="BF34" i="31"/>
  <c r="BF34" i="43" s="1"/>
  <c r="AJ38" i="43" l="1"/>
  <c r="AY25" i="31"/>
  <c r="AY25" i="43" s="1"/>
  <c r="AY38" i="43" s="1"/>
  <c r="AK25" i="43"/>
  <c r="AK38" i="43" s="1"/>
  <c r="AZ34" i="31"/>
  <c r="F34" i="43"/>
  <c r="F7" i="43"/>
  <c r="K7" i="31"/>
  <c r="M7" i="31"/>
  <c r="K34" i="31"/>
  <c r="H7" i="31"/>
  <c r="H34" i="31"/>
  <c r="O7" i="31"/>
  <c r="M34" i="31"/>
  <c r="O34" i="31"/>
  <c r="AZ34" i="43" l="1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E8" i="43"/>
  <c r="E9" i="43"/>
  <c r="E10" i="43"/>
  <c r="E11" i="43"/>
  <c r="E12" i="43"/>
  <c r="E13" i="43"/>
  <c r="E14" i="43"/>
  <c r="E15" i="43"/>
  <c r="E16" i="43"/>
  <c r="E17" i="43"/>
  <c r="E19" i="43"/>
  <c r="E20" i="43"/>
  <c r="E21" i="43"/>
  <c r="E22" i="43"/>
  <c r="E23" i="43"/>
  <c r="E24" i="43"/>
  <c r="E25" i="43"/>
  <c r="E27" i="43"/>
  <c r="E28" i="43"/>
  <c r="E29" i="43"/>
  <c r="E30" i="43"/>
  <c r="E31" i="43"/>
  <c r="E32" i="43"/>
  <c r="E33" i="43"/>
  <c r="E35" i="43"/>
  <c r="E36" i="43"/>
  <c r="E6" i="43"/>
  <c r="BF29" i="31"/>
  <c r="BF29" i="43" s="1"/>
  <c r="BI7" i="31"/>
  <c r="BF27" i="31"/>
  <c r="BF27" i="43" s="1"/>
  <c r="BF33" i="31"/>
  <c r="BF33" i="43" s="1"/>
  <c r="BI7" i="43" l="1"/>
  <c r="F36" i="43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G33" i="31"/>
  <c r="AQ29" i="31"/>
  <c r="AS29" i="31"/>
  <c r="G29" i="31"/>
  <c r="U29" i="31" s="1"/>
  <c r="AR29" i="31"/>
  <c r="AQ27" i="31"/>
  <c r="AS27" i="31"/>
  <c r="G27" i="31"/>
  <c r="U27" i="31" s="1"/>
  <c r="AR27" i="31"/>
  <c r="AR33" i="31"/>
  <c r="AQ33" i="31"/>
  <c r="AS33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J7" i="43" l="1"/>
  <c r="BJ38" i="43" s="1"/>
  <c r="AZ7" i="31"/>
  <c r="BD6" i="3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AZ7" i="43" l="1"/>
  <c r="BD7" i="31"/>
  <c r="BD7" i="43" s="1"/>
  <c r="BD20" i="43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8" i="14" l="1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T39" i="14" l="1"/>
  <c r="S39" i="14"/>
  <c r="Q39" i="14"/>
  <c r="O39" i="14"/>
  <c r="M39" i="14"/>
  <c r="L39" i="14"/>
  <c r="J39" i="14"/>
  <c r="G39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43"/>
  <c r="E18" i="43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33"/>
  <c r="BI38" i="33" s="1"/>
  <c r="BI6" i="43" l="1"/>
  <c r="BI38" i="43" s="1"/>
  <c r="AZ6" i="33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O24" i="39" l="1"/>
  <c r="H24" i="39"/>
  <c r="K24" i="39"/>
  <c r="M24" i="39"/>
  <c r="AS24" i="39" l="1"/>
  <c r="AQ24" i="39"/>
  <c r="AR24" i="39"/>
  <c r="G24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38" i="39" l="1"/>
  <c r="R38" i="37"/>
  <c r="R38" i="42"/>
  <c r="R38" i="40"/>
  <c r="R38" i="38"/>
  <c r="R38" i="36"/>
  <c r="R38" i="35"/>
  <c r="R38" i="41"/>
  <c r="R38" i="34" l="1"/>
  <c r="R38" i="33" l="1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38" i="40" l="1"/>
  <c r="Q38" i="39"/>
  <c r="Q38" i="41"/>
  <c r="Q38" i="36"/>
  <c r="Q38" i="35"/>
  <c r="Q38" i="37"/>
  <c r="U6" i="37"/>
  <c r="Q38" i="38"/>
  <c r="C6" i="37" l="1"/>
  <c r="U6" i="34" l="1"/>
  <c r="C6" i="34" s="1"/>
  <c r="U6" i="33" l="1"/>
  <c r="C6" i="33" s="1"/>
  <c r="Q38" i="34" l="1"/>
  <c r="Q38" i="33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43" l="1"/>
  <c r="Q24" i="43"/>
  <c r="Q38" i="32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M26" i="42"/>
  <c r="K26" i="42"/>
  <c r="O31" i="42"/>
  <c r="M31" i="42"/>
  <c r="K31" i="42"/>
  <c r="H31" i="42"/>
  <c r="K8" i="43" l="1"/>
  <c r="M31" i="43"/>
  <c r="O26" i="43"/>
  <c r="G10" i="42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18" i="43" l="1"/>
  <c r="C32" i="43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E40" i="46" l="1"/>
  <c r="F47" i="46" s="1"/>
  <c r="E37" i="57"/>
  <c r="AR29" i="57" l="1"/>
  <c r="AR19" i="57" l="1"/>
  <c r="AQ13" i="57" l="1"/>
  <c r="AR6" i="57"/>
  <c r="AQ27" i="57"/>
  <c r="AQ15" i="57"/>
  <c r="AQ22" i="57"/>
  <c r="AQ38" i="57"/>
  <c r="AQ35" i="57"/>
  <c r="AQ40" i="57" l="1"/>
  <c r="H7" i="50" l="1"/>
  <c r="O7" i="50"/>
  <c r="M7" i="50"/>
  <c r="K7" i="50"/>
  <c r="AQ7" i="50" l="1"/>
  <c r="AR7" i="50"/>
  <c r="AS7" i="50"/>
  <c r="G7" i="50"/>
  <c r="BI6" i="51" l="1"/>
  <c r="BI40" i="51" s="1"/>
  <c r="AZ6" i="51"/>
  <c r="BD6" i="51" l="1"/>
  <c r="AZ6" i="57"/>
  <c r="BI6" i="57"/>
  <c r="BI40" i="57" s="1"/>
  <c r="BD6" i="57" l="1"/>
  <c r="R40" i="54" l="1"/>
  <c r="R40" i="53"/>
  <c r="R40" i="52"/>
  <c r="R40" i="51"/>
  <c r="R40" i="56"/>
  <c r="R40" i="55"/>
  <c r="R33" i="57" l="1"/>
  <c r="R30" i="57"/>
  <c r="R31" i="57" l="1"/>
  <c r="R18" i="57"/>
  <c r="R12" i="57"/>
  <c r="R24" i="57"/>
  <c r="R23" i="57"/>
  <c r="R17" i="57"/>
  <c r="R25" i="57"/>
  <c r="R37" i="57"/>
  <c r="R9" i="57"/>
  <c r="R40" i="46" l="1"/>
  <c r="R40" i="48"/>
  <c r="R40" i="49"/>
  <c r="R16" i="57"/>
  <c r="R40" i="50"/>
  <c r="R20" i="57" l="1"/>
  <c r="R40" i="47"/>
  <c r="R40" i="57" l="1"/>
  <c r="Q40" i="54" l="1"/>
  <c r="Q40" i="49"/>
  <c r="Q40" i="51"/>
  <c r="Q40" i="53"/>
  <c r="Q40" i="55"/>
  <c r="Q40" i="52"/>
  <c r="Q40" i="48"/>
  <c r="Q40" i="56"/>
  <c r="Q40" i="50"/>
  <c r="Q40" i="47" l="1"/>
  <c r="Q16" i="57" l="1"/>
  <c r="Q22" i="57"/>
  <c r="Q32" i="57"/>
  <c r="Q24" i="57"/>
  <c r="Q12" i="57"/>
  <c r="Q15" i="57"/>
  <c r="Q20" i="57"/>
  <c r="Q25" i="57"/>
  <c r="Q28" i="57"/>
  <c r="Q38" i="57"/>
  <c r="Q8" i="57"/>
  <c r="Q10" i="57" l="1"/>
  <c r="Q11" i="57" l="1"/>
  <c r="Q40" i="57" s="1"/>
  <c r="Q40" i="46"/>
  <c r="P40" i="55" l="1"/>
  <c r="P40" i="53"/>
  <c r="P40" i="56"/>
  <c r="P40" i="51"/>
  <c r="P40" i="52"/>
  <c r="P40" i="50"/>
  <c r="U7" i="50"/>
  <c r="P40" i="54"/>
  <c r="P40" i="49"/>
  <c r="C7" i="50" l="1"/>
  <c r="P40" i="48" l="1"/>
  <c r="P40" i="47" l="1"/>
  <c r="P19" i="57" l="1"/>
  <c r="P37" i="57" l="1"/>
  <c r="P33" i="57"/>
  <c r="P23" i="57" l="1"/>
  <c r="P27" i="57"/>
  <c r="P12" i="57"/>
  <c r="P28" i="57"/>
  <c r="P18" i="57"/>
  <c r="P34" i="57"/>
  <c r="P22" i="57"/>
  <c r="P40" i="46"/>
  <c r="P7" i="57"/>
  <c r="P35" i="57"/>
  <c r="P17" i="57"/>
  <c r="P11" i="57"/>
  <c r="P31" i="57"/>
  <c r="P16" i="57"/>
  <c r="P32" i="57"/>
  <c r="P29" i="57"/>
  <c r="P21" i="57"/>
  <c r="P10" i="57"/>
  <c r="P26" i="57"/>
  <c r="P8" i="57"/>
  <c r="P13" i="57"/>
  <c r="P15" i="57"/>
  <c r="P36" i="57"/>
  <c r="P20" i="57"/>
  <c r="P38" i="57"/>
  <c r="P24" i="57"/>
  <c r="P9" i="57"/>
  <c r="P25" i="57"/>
  <c r="P14" i="57"/>
  <c r="P30" i="57"/>
  <c r="P40" i="57" l="1"/>
  <c r="H12" i="54" l="1"/>
  <c r="M12" i="54"/>
  <c r="K12" i="54"/>
  <c r="O12" i="54"/>
  <c r="M25" i="54"/>
  <c r="O25" i="54"/>
  <c r="H25" i="54"/>
  <c r="K25" i="54"/>
  <c r="H33" i="54"/>
  <c r="O33" i="54"/>
  <c r="K33" i="54"/>
  <c r="M33" i="54"/>
  <c r="H17" i="54"/>
  <c r="O17" i="54"/>
  <c r="M17" i="54"/>
  <c r="K17" i="54"/>
  <c r="O10" i="54"/>
  <c r="M10" i="54"/>
  <c r="K10" i="54"/>
  <c r="H10" i="54"/>
  <c r="M9" i="54"/>
  <c r="O9" i="54"/>
  <c r="K9" i="54"/>
  <c r="H9" i="54"/>
  <c r="H18" i="54"/>
  <c r="M18" i="54"/>
  <c r="O18" i="54"/>
  <c r="K18" i="54"/>
  <c r="M16" i="54"/>
  <c r="O16" i="54"/>
  <c r="K16" i="54"/>
  <c r="H16" i="54"/>
  <c r="M30" i="54"/>
  <c r="H30" i="54"/>
  <c r="O30" i="54"/>
  <c r="K30" i="54"/>
  <c r="H26" i="54"/>
  <c r="M26" i="54"/>
  <c r="O26" i="54"/>
  <c r="K26" i="54"/>
  <c r="K20" i="54"/>
  <c r="M20" i="54"/>
  <c r="O20" i="54"/>
  <c r="H20" i="54"/>
  <c r="M11" i="54"/>
  <c r="H11" i="54"/>
  <c r="O11" i="54"/>
  <c r="K11" i="54"/>
  <c r="M31" i="54"/>
  <c r="H31" i="54"/>
  <c r="O31" i="54"/>
  <c r="K31" i="54"/>
  <c r="K23" i="54"/>
  <c r="H23" i="54"/>
  <c r="O23" i="54"/>
  <c r="M23" i="54"/>
  <c r="O32" i="54"/>
  <c r="M32" i="54"/>
  <c r="K32" i="54"/>
  <c r="H32" i="54"/>
  <c r="AQ25" i="54" l="1"/>
  <c r="AS25" i="54"/>
  <c r="AR25" i="54"/>
  <c r="G25" i="54"/>
  <c r="AR9" i="54"/>
  <c r="AQ9" i="54"/>
  <c r="G9" i="54"/>
  <c r="AS9" i="54"/>
  <c r="AS23" i="54"/>
  <c r="G23" i="54"/>
  <c r="AR23" i="54"/>
  <c r="AQ23" i="54"/>
  <c r="AS11" i="54"/>
  <c r="G11" i="54"/>
  <c r="AQ11" i="54"/>
  <c r="AR11" i="54"/>
  <c r="G17" i="54"/>
  <c r="AS17" i="54"/>
  <c r="AQ17" i="54"/>
  <c r="AR17" i="54"/>
  <c r="G26" i="54"/>
  <c r="AR26" i="54"/>
  <c r="AS26" i="54"/>
  <c r="AQ26" i="54"/>
  <c r="AQ32" i="54"/>
  <c r="G32" i="54"/>
  <c r="AS32" i="54"/>
  <c r="AR32" i="54"/>
  <c r="AR10" i="54"/>
  <c r="AS10" i="54"/>
  <c r="G10" i="54"/>
  <c r="AQ10" i="54"/>
  <c r="AS20" i="54"/>
  <c r="AQ20" i="54"/>
  <c r="AR20" i="54"/>
  <c r="G20" i="54"/>
  <c r="AQ16" i="54"/>
  <c r="AS16" i="54"/>
  <c r="AR16" i="54"/>
  <c r="G16" i="54"/>
  <c r="AQ31" i="54"/>
  <c r="AR31" i="54"/>
  <c r="G31" i="54"/>
  <c r="AS31" i="54"/>
  <c r="AS30" i="54"/>
  <c r="G30" i="54"/>
  <c r="AR30" i="54"/>
  <c r="AQ30" i="54"/>
  <c r="AR18" i="54"/>
  <c r="AS18" i="54"/>
  <c r="G18" i="54"/>
  <c r="AQ18" i="54"/>
  <c r="AQ33" i="54"/>
  <c r="G33" i="54"/>
  <c r="AR33" i="54"/>
  <c r="AS33" i="54"/>
  <c r="AQ12" i="54"/>
  <c r="AR12" i="54"/>
  <c r="G12" i="54"/>
  <c r="AS12" i="54"/>
  <c r="U25" i="54" l="1"/>
  <c r="C25" i="54" s="1"/>
  <c r="U18" i="54"/>
  <c r="C18" i="54" s="1"/>
  <c r="U30" i="54"/>
  <c r="C30" i="54" s="1"/>
  <c r="U11" i="54"/>
  <c r="C11" i="54" s="1"/>
  <c r="U12" i="54"/>
  <c r="C12" i="54" s="1"/>
  <c r="U33" i="54"/>
  <c r="C33" i="54" s="1"/>
  <c r="U16" i="54"/>
  <c r="C16" i="54" s="1"/>
  <c r="U20" i="54"/>
  <c r="C20" i="54" s="1"/>
  <c r="U17" i="54"/>
  <c r="C17" i="54" s="1"/>
  <c r="U9" i="54"/>
  <c r="C9" i="54" s="1"/>
  <c r="U31" i="54"/>
  <c r="C31" i="54" s="1"/>
  <c r="U10" i="54"/>
  <c r="C10" i="54" s="1"/>
  <c r="U26" i="54"/>
  <c r="C26" i="54" s="1"/>
  <c r="U32" i="54"/>
  <c r="C32" i="54" s="1"/>
  <c r="U23" i="54"/>
  <c r="C23" i="54" s="1"/>
  <c r="H16" i="52" l="1"/>
  <c r="M16" i="52"/>
  <c r="O16" i="52"/>
  <c r="K16" i="52"/>
  <c r="K25" i="52"/>
  <c r="O25" i="52"/>
  <c r="H25" i="52"/>
  <c r="M25" i="52"/>
  <c r="H37" i="51" l="1"/>
  <c r="K37" i="51"/>
  <c r="O37" i="51"/>
  <c r="M37" i="51"/>
  <c r="H29" i="51"/>
  <c r="K29" i="51"/>
  <c r="O29" i="51"/>
  <c r="M29" i="51"/>
  <c r="H21" i="51"/>
  <c r="O21" i="51"/>
  <c r="K21" i="51"/>
  <c r="M21" i="51"/>
  <c r="O12" i="51"/>
  <c r="K12" i="51"/>
  <c r="M12" i="51"/>
  <c r="H12" i="51"/>
  <c r="AQ25" i="52"/>
  <c r="AS25" i="52"/>
  <c r="AR25" i="52"/>
  <c r="G25" i="52"/>
  <c r="K36" i="51"/>
  <c r="M36" i="51"/>
  <c r="H36" i="51"/>
  <c r="O36" i="51"/>
  <c r="H28" i="51"/>
  <c r="K28" i="51"/>
  <c r="O28" i="51"/>
  <c r="M28" i="51"/>
  <c r="M20" i="51"/>
  <c r="H20" i="51"/>
  <c r="K20" i="51"/>
  <c r="O20" i="51"/>
  <c r="K11" i="51"/>
  <c r="O11" i="51"/>
  <c r="H11" i="51"/>
  <c r="M11" i="51"/>
  <c r="H38" i="51"/>
  <c r="O38" i="51"/>
  <c r="K38" i="51"/>
  <c r="M38" i="51"/>
  <c r="O35" i="51"/>
  <c r="M35" i="51"/>
  <c r="K35" i="51"/>
  <c r="H35" i="51"/>
  <c r="H27" i="51"/>
  <c r="K27" i="51"/>
  <c r="O27" i="51"/>
  <c r="M27" i="51"/>
  <c r="K19" i="51"/>
  <c r="O19" i="51"/>
  <c r="H19" i="51"/>
  <c r="M19" i="51"/>
  <c r="M10" i="51"/>
  <c r="H10" i="51"/>
  <c r="O10" i="51"/>
  <c r="K10" i="51"/>
  <c r="O30" i="51"/>
  <c r="K30" i="51"/>
  <c r="H30" i="51"/>
  <c r="M30" i="51"/>
  <c r="H34" i="51"/>
  <c r="O34" i="51"/>
  <c r="K34" i="51"/>
  <c r="M34" i="51"/>
  <c r="H26" i="51"/>
  <c r="M26" i="51"/>
  <c r="O26" i="51"/>
  <c r="K26" i="51"/>
  <c r="M17" i="51"/>
  <c r="O17" i="51"/>
  <c r="K17" i="51"/>
  <c r="H17" i="51"/>
  <c r="K9" i="51"/>
  <c r="O9" i="51"/>
  <c r="M9" i="51"/>
  <c r="H9" i="51"/>
  <c r="O13" i="51"/>
  <c r="M13" i="51"/>
  <c r="K13" i="51"/>
  <c r="H13" i="51"/>
  <c r="K33" i="51"/>
  <c r="H33" i="51"/>
  <c r="M33" i="51"/>
  <c r="O33" i="51"/>
  <c r="O25" i="51"/>
  <c r="K25" i="51"/>
  <c r="M25" i="51"/>
  <c r="H25" i="51"/>
  <c r="M16" i="51"/>
  <c r="K16" i="51"/>
  <c r="O16" i="51"/>
  <c r="H16" i="51"/>
  <c r="M8" i="51"/>
  <c r="O8" i="51"/>
  <c r="K8" i="51"/>
  <c r="H8" i="51"/>
  <c r="M22" i="51"/>
  <c r="H22" i="51"/>
  <c r="O22" i="51"/>
  <c r="K22" i="51"/>
  <c r="K32" i="51"/>
  <c r="O32" i="51"/>
  <c r="M32" i="51"/>
  <c r="H32" i="51"/>
  <c r="M24" i="51"/>
  <c r="H24" i="51"/>
  <c r="O24" i="51"/>
  <c r="K24" i="51"/>
  <c r="O15" i="51"/>
  <c r="K15" i="51"/>
  <c r="M15" i="51"/>
  <c r="H15" i="51"/>
  <c r="H7" i="51"/>
  <c r="K7" i="51"/>
  <c r="O7" i="51"/>
  <c r="M7" i="51"/>
  <c r="AZ24" i="51"/>
  <c r="F24" i="57"/>
  <c r="K6" i="51"/>
  <c r="H6" i="51"/>
  <c r="O6" i="51"/>
  <c r="M6" i="51"/>
  <c r="H31" i="51"/>
  <c r="K31" i="51"/>
  <c r="O31" i="51"/>
  <c r="M31" i="51"/>
  <c r="K23" i="51"/>
  <c r="H23" i="51"/>
  <c r="M23" i="51"/>
  <c r="O23" i="51"/>
  <c r="K14" i="51"/>
  <c r="H14" i="51"/>
  <c r="M14" i="51"/>
  <c r="O14" i="51"/>
  <c r="AQ16" i="52"/>
  <c r="G16" i="52"/>
  <c r="AR16" i="52"/>
  <c r="AS16" i="52"/>
  <c r="G7" i="51" l="1"/>
  <c r="AS31" i="51"/>
  <c r="AQ31" i="51"/>
  <c r="AR31" i="51"/>
  <c r="G31" i="51"/>
  <c r="AR36" i="51"/>
  <c r="AS36" i="51"/>
  <c r="AQ36" i="51"/>
  <c r="G36" i="51"/>
  <c r="G23" i="51"/>
  <c r="AR23" i="51"/>
  <c r="AQ23" i="51"/>
  <c r="AS23" i="51"/>
  <c r="AS22" i="51"/>
  <c r="AR22" i="51"/>
  <c r="G22" i="51"/>
  <c r="AQ22" i="51"/>
  <c r="G9" i="51"/>
  <c r="AR9" i="51"/>
  <c r="AS9" i="51"/>
  <c r="AQ9" i="51"/>
  <c r="AQ12" i="51"/>
  <c r="AR12" i="51"/>
  <c r="AS12" i="51"/>
  <c r="G12" i="51"/>
  <c r="AR6" i="51"/>
  <c r="G6" i="51"/>
  <c r="AQ6" i="51"/>
  <c r="AS19" i="51"/>
  <c r="AR19" i="51"/>
  <c r="AQ19" i="51"/>
  <c r="G19" i="51"/>
  <c r="G11" i="51"/>
  <c r="AR11" i="51"/>
  <c r="AS11" i="51"/>
  <c r="AQ11" i="51"/>
  <c r="AS15" i="51"/>
  <c r="AR15" i="51"/>
  <c r="AQ15" i="51"/>
  <c r="G15" i="51"/>
  <c r="AQ32" i="51"/>
  <c r="AS32" i="51"/>
  <c r="G32" i="51"/>
  <c r="AR32" i="51"/>
  <c r="G33" i="51"/>
  <c r="AS33" i="51"/>
  <c r="AR33" i="51"/>
  <c r="AQ33" i="51"/>
  <c r="U25" i="52"/>
  <c r="C25" i="52" s="1"/>
  <c r="AR20" i="51"/>
  <c r="AQ20" i="51"/>
  <c r="AS20" i="51"/>
  <c r="G20" i="51"/>
  <c r="G24" i="51"/>
  <c r="AS24" i="51"/>
  <c r="AR24" i="51"/>
  <c r="AQ24" i="51"/>
  <c r="AR16" i="51"/>
  <c r="AQ16" i="51"/>
  <c r="G16" i="51"/>
  <c r="AS16" i="51"/>
  <c r="G35" i="51"/>
  <c r="AS35" i="51"/>
  <c r="AR35" i="51"/>
  <c r="AQ35" i="51"/>
  <c r="AS7" i="51"/>
  <c r="AR7" i="51"/>
  <c r="AQ7" i="51"/>
  <c r="AQ26" i="51"/>
  <c r="AR26" i="51"/>
  <c r="AS26" i="51"/>
  <c r="G26" i="51"/>
  <c r="G28" i="51"/>
  <c r="AR28" i="51"/>
  <c r="AS28" i="51"/>
  <c r="AQ28" i="51"/>
  <c r="AR30" i="51"/>
  <c r="AS30" i="51"/>
  <c r="AQ30" i="51"/>
  <c r="G30" i="51"/>
  <c r="AR14" i="51"/>
  <c r="G14" i="51"/>
  <c r="AQ14" i="51"/>
  <c r="AS14" i="51"/>
  <c r="BD24" i="51"/>
  <c r="AZ24" i="57"/>
  <c r="G8" i="51"/>
  <c r="AR8" i="51"/>
  <c r="AQ8" i="51"/>
  <c r="AS8" i="51"/>
  <c r="AR25" i="51"/>
  <c r="AQ25" i="51"/>
  <c r="G25" i="51"/>
  <c r="AS25" i="51"/>
  <c r="AS13" i="51"/>
  <c r="G13" i="51"/>
  <c r="AR13" i="51"/>
  <c r="AQ13" i="51"/>
  <c r="AS17" i="51"/>
  <c r="AQ17" i="51"/>
  <c r="AR17" i="51"/>
  <c r="G17" i="51"/>
  <c r="G29" i="51"/>
  <c r="AQ29" i="51"/>
  <c r="AR29" i="51"/>
  <c r="AS29" i="51"/>
  <c r="U16" i="52"/>
  <c r="C16" i="52" s="1"/>
  <c r="AR10" i="51"/>
  <c r="AS10" i="51"/>
  <c r="G10" i="51"/>
  <c r="AQ10" i="51"/>
  <c r="AS34" i="51"/>
  <c r="AR34" i="51"/>
  <c r="AQ34" i="51"/>
  <c r="G34" i="51"/>
  <c r="AR27" i="51"/>
  <c r="AS27" i="51"/>
  <c r="AQ27" i="51"/>
  <c r="G27" i="51"/>
  <c r="G38" i="51"/>
  <c r="AQ38" i="51"/>
  <c r="AS38" i="51"/>
  <c r="AR38" i="51"/>
  <c r="AR21" i="51"/>
  <c r="AS21" i="51"/>
  <c r="G21" i="51"/>
  <c r="AQ21" i="51"/>
  <c r="AS37" i="51"/>
  <c r="AR37" i="51"/>
  <c r="AQ37" i="51"/>
  <c r="G37" i="51"/>
  <c r="U6" i="51" l="1"/>
  <c r="C6" i="51" s="1"/>
  <c r="U9" i="51"/>
  <c r="C9" i="51" s="1"/>
  <c r="U15" i="51"/>
  <c r="C15" i="51" s="1"/>
  <c r="BD24" i="57"/>
  <c r="U30" i="51"/>
  <c r="C30" i="51" s="1"/>
  <c r="U35" i="51"/>
  <c r="C35" i="51" s="1"/>
  <c r="U34" i="51"/>
  <c r="C34" i="51" s="1"/>
  <c r="U21" i="51"/>
  <c r="C21" i="51" s="1"/>
  <c r="U7" i="51"/>
  <c r="C7" i="51" s="1"/>
  <c r="U23" i="51"/>
  <c r="C23" i="51" s="1"/>
  <c r="U31" i="51"/>
  <c r="C31" i="51" s="1"/>
  <c r="U33" i="51"/>
  <c r="C33" i="51" s="1"/>
  <c r="U37" i="51"/>
  <c r="C37" i="51" s="1"/>
  <c r="U38" i="51"/>
  <c r="C38" i="51" s="1"/>
  <c r="U10" i="51"/>
  <c r="C10" i="51" s="1"/>
  <c r="U25" i="51"/>
  <c r="C25" i="51" s="1"/>
  <c r="U14" i="51"/>
  <c r="C14" i="51" s="1"/>
  <c r="U26" i="51"/>
  <c r="C26" i="51" s="1"/>
  <c r="U20" i="51"/>
  <c r="C20" i="51" s="1"/>
  <c r="U12" i="51"/>
  <c r="C12" i="51" s="1"/>
  <c r="U22" i="51"/>
  <c r="C22" i="51" s="1"/>
  <c r="U27" i="51"/>
  <c r="C27" i="51" s="1"/>
  <c r="U29" i="51"/>
  <c r="C29" i="51" s="1"/>
  <c r="U16" i="51"/>
  <c r="C16" i="51" s="1"/>
  <c r="U32" i="51"/>
  <c r="C32" i="51" s="1"/>
  <c r="U36" i="51"/>
  <c r="C36" i="51" s="1"/>
  <c r="U28" i="51"/>
  <c r="C28" i="51" s="1"/>
  <c r="U24" i="51"/>
  <c r="C24" i="51" s="1"/>
  <c r="U11" i="51"/>
  <c r="C11" i="51" s="1"/>
  <c r="U17" i="51"/>
  <c r="C17" i="51" s="1"/>
  <c r="U13" i="51"/>
  <c r="C13" i="51" s="1"/>
  <c r="U8" i="51"/>
  <c r="C8" i="51" s="1"/>
  <c r="U19" i="51"/>
  <c r="C19" i="51" s="1"/>
  <c r="K7" i="45" l="1"/>
  <c r="M7" i="45"/>
  <c r="H7" i="45"/>
  <c r="O7" i="45"/>
  <c r="O7" i="46"/>
  <c r="K7" i="46"/>
  <c r="H7" i="46"/>
  <c r="M7" i="46"/>
  <c r="M31" i="50" l="1"/>
  <c r="K31" i="50"/>
  <c r="O31" i="50"/>
  <c r="H31" i="50"/>
  <c r="G7" i="45"/>
  <c r="AR7" i="45"/>
  <c r="AS7" i="45"/>
  <c r="AQ7" i="45"/>
  <c r="AR7" i="46"/>
  <c r="AS7" i="46"/>
  <c r="AQ7" i="46"/>
  <c r="G7" i="46"/>
  <c r="U7" i="46" l="1"/>
  <c r="C7" i="46" s="1"/>
  <c r="U7" i="45"/>
  <c r="C7" i="45" s="1"/>
  <c r="O25" i="50"/>
  <c r="H25" i="50"/>
  <c r="M25" i="50"/>
  <c r="K25" i="50"/>
  <c r="O30" i="50"/>
  <c r="M30" i="50"/>
  <c r="K30" i="50"/>
  <c r="H30" i="50"/>
  <c r="AR31" i="50"/>
  <c r="AQ31" i="50"/>
  <c r="G31" i="50"/>
  <c r="AS31" i="50"/>
  <c r="M11" i="50"/>
  <c r="O11" i="50"/>
  <c r="H11" i="50"/>
  <c r="K11" i="50"/>
  <c r="AQ11" i="50" l="1"/>
  <c r="G11" i="50"/>
  <c r="AS11" i="50"/>
  <c r="AR11" i="50"/>
  <c r="K24" i="50"/>
  <c r="O24" i="50"/>
  <c r="M24" i="50"/>
  <c r="H24" i="50"/>
  <c r="O33" i="50"/>
  <c r="H33" i="50"/>
  <c r="M33" i="50"/>
  <c r="K33" i="50"/>
  <c r="K32" i="50"/>
  <c r="H32" i="50"/>
  <c r="M32" i="50"/>
  <c r="O32" i="50"/>
  <c r="K9" i="50"/>
  <c r="H9" i="50"/>
  <c r="O9" i="50"/>
  <c r="M9" i="50"/>
  <c r="O18" i="50"/>
  <c r="K18" i="50"/>
  <c r="M18" i="50"/>
  <c r="H18" i="50"/>
  <c r="AS30" i="50"/>
  <c r="G30" i="50"/>
  <c r="AQ30" i="50"/>
  <c r="AR30" i="50"/>
  <c r="O21" i="50"/>
  <c r="H21" i="50"/>
  <c r="M21" i="50"/>
  <c r="K21" i="50"/>
  <c r="K12" i="50"/>
  <c r="M12" i="50"/>
  <c r="O12" i="50"/>
  <c r="H12" i="50"/>
  <c r="K11" i="49"/>
  <c r="O11" i="49"/>
  <c r="H11" i="49"/>
  <c r="M11" i="49"/>
  <c r="K26" i="50"/>
  <c r="O26" i="50"/>
  <c r="H26" i="50"/>
  <c r="M26" i="50"/>
  <c r="H8" i="50"/>
  <c r="O8" i="50"/>
  <c r="M8" i="50"/>
  <c r="K8" i="50"/>
  <c r="H17" i="50"/>
  <c r="M17" i="50"/>
  <c r="O17" i="50"/>
  <c r="K17" i="50"/>
  <c r="K20" i="50"/>
  <c r="O20" i="50"/>
  <c r="M20" i="50"/>
  <c r="H20" i="50"/>
  <c r="U31" i="50"/>
  <c r="C31" i="50" s="1"/>
  <c r="G25" i="50"/>
  <c r="AS25" i="50"/>
  <c r="AR25" i="50"/>
  <c r="AQ25" i="50"/>
  <c r="M20" i="49" l="1"/>
  <c r="O20" i="49"/>
  <c r="K20" i="49"/>
  <c r="H20" i="49"/>
  <c r="AS11" i="49"/>
  <c r="G11" i="49"/>
  <c r="AR11" i="49"/>
  <c r="AQ11" i="49"/>
  <c r="G12" i="50"/>
  <c r="AQ12" i="50"/>
  <c r="AS12" i="50"/>
  <c r="AR12" i="50"/>
  <c r="AQ32" i="50"/>
  <c r="AR32" i="50"/>
  <c r="G32" i="50"/>
  <c r="AS32" i="50"/>
  <c r="U25" i="50"/>
  <c r="C25" i="50" s="1"/>
  <c r="AS8" i="50"/>
  <c r="G8" i="50"/>
  <c r="AQ8" i="50"/>
  <c r="AR8" i="50"/>
  <c r="H32" i="49"/>
  <c r="M32" i="49"/>
  <c r="K32" i="49"/>
  <c r="O32" i="49"/>
  <c r="U30" i="50"/>
  <c r="C30" i="50" s="1"/>
  <c r="AS33" i="50"/>
  <c r="AR33" i="50"/>
  <c r="G33" i="50"/>
  <c r="AQ33" i="50"/>
  <c r="AS26" i="50"/>
  <c r="AQ26" i="50"/>
  <c r="G26" i="50"/>
  <c r="AR26" i="50"/>
  <c r="G9" i="50"/>
  <c r="AQ9" i="50"/>
  <c r="AR9" i="50"/>
  <c r="AS9" i="50"/>
  <c r="U11" i="50"/>
  <c r="C11" i="50" s="1"/>
  <c r="G24" i="50"/>
  <c r="AR24" i="50"/>
  <c r="AS24" i="50"/>
  <c r="AQ24" i="50"/>
  <c r="G17" i="50"/>
  <c r="AQ17" i="50"/>
  <c r="AS17" i="50"/>
  <c r="AR17" i="50"/>
  <c r="H24" i="49"/>
  <c r="M24" i="49"/>
  <c r="O24" i="49"/>
  <c r="K24" i="49"/>
  <c r="AQ20" i="50"/>
  <c r="AR20" i="50"/>
  <c r="G20" i="50"/>
  <c r="AS20" i="50"/>
  <c r="G21" i="50"/>
  <c r="AQ21" i="50"/>
  <c r="AR21" i="50"/>
  <c r="AS21" i="50"/>
  <c r="AQ18" i="50"/>
  <c r="AR18" i="50"/>
  <c r="G18" i="50"/>
  <c r="AS18" i="50"/>
  <c r="O10" i="49" l="1"/>
  <c r="H10" i="49"/>
  <c r="K10" i="49"/>
  <c r="M10" i="49"/>
  <c r="U11" i="49"/>
  <c r="C11" i="49" s="1"/>
  <c r="U12" i="50"/>
  <c r="C12" i="50" s="1"/>
  <c r="K23" i="49"/>
  <c r="O23" i="49"/>
  <c r="M23" i="49"/>
  <c r="H23" i="49"/>
  <c r="H18" i="49"/>
  <c r="M18" i="49"/>
  <c r="O18" i="49"/>
  <c r="K18" i="49"/>
  <c r="AR20" i="49"/>
  <c r="AS20" i="49"/>
  <c r="AQ20" i="49"/>
  <c r="G20" i="49"/>
  <c r="U9" i="50"/>
  <c r="C9" i="50" s="1"/>
  <c r="U20" i="50"/>
  <c r="C20" i="50" s="1"/>
  <c r="U17" i="50"/>
  <c r="C17" i="50" s="1"/>
  <c r="U24" i="50"/>
  <c r="C24" i="50" s="1"/>
  <c r="G24" i="49"/>
  <c r="AS24" i="49"/>
  <c r="AQ24" i="49"/>
  <c r="AR24" i="49"/>
  <c r="U26" i="50"/>
  <c r="C26" i="50" s="1"/>
  <c r="U33" i="50"/>
  <c r="C33" i="50" s="1"/>
  <c r="U18" i="50"/>
  <c r="C18" i="50" s="1"/>
  <c r="U21" i="50"/>
  <c r="C21" i="50" s="1"/>
  <c r="H33" i="49"/>
  <c r="O33" i="49"/>
  <c r="M33" i="49"/>
  <c r="K33" i="49"/>
  <c r="M25" i="49"/>
  <c r="H25" i="49"/>
  <c r="K25" i="49"/>
  <c r="O25" i="49"/>
  <c r="AR32" i="49"/>
  <c r="G32" i="49"/>
  <c r="AS32" i="49"/>
  <c r="AQ32" i="49"/>
  <c r="U8" i="50"/>
  <c r="C8" i="50" s="1"/>
  <c r="U32" i="50"/>
  <c r="C32" i="50" s="1"/>
  <c r="AS33" i="49" l="1"/>
  <c r="G33" i="49"/>
  <c r="AQ33" i="49"/>
  <c r="AR33" i="49"/>
  <c r="U24" i="49"/>
  <c r="C24" i="49" s="1"/>
  <c r="AR23" i="49"/>
  <c r="G23" i="49"/>
  <c r="AS23" i="49"/>
  <c r="AQ23" i="49"/>
  <c r="U20" i="49"/>
  <c r="C20" i="49" s="1"/>
  <c r="K12" i="49"/>
  <c r="M12" i="49"/>
  <c r="H12" i="49"/>
  <c r="O12" i="49"/>
  <c r="AQ10" i="49"/>
  <c r="AR10" i="49"/>
  <c r="AS10" i="49"/>
  <c r="G10" i="49"/>
  <c r="AS25" i="49"/>
  <c r="G25" i="49"/>
  <c r="AR25" i="49"/>
  <c r="AQ25" i="49"/>
  <c r="U32" i="49"/>
  <c r="C32" i="49" s="1"/>
  <c r="AS18" i="49"/>
  <c r="AR18" i="49"/>
  <c r="AQ18" i="49"/>
  <c r="G18" i="49"/>
  <c r="U25" i="49" l="1"/>
  <c r="C25" i="49" s="1"/>
  <c r="O20" i="48"/>
  <c r="M20" i="48"/>
  <c r="H20" i="48"/>
  <c r="K20" i="48"/>
  <c r="H29" i="48"/>
  <c r="M29" i="48"/>
  <c r="K29" i="48"/>
  <c r="O29" i="48"/>
  <c r="AS12" i="49"/>
  <c r="G12" i="49"/>
  <c r="AR12" i="49"/>
  <c r="AQ12" i="49"/>
  <c r="U10" i="49"/>
  <c r="C10" i="49" s="1"/>
  <c r="U23" i="49"/>
  <c r="C23" i="49" s="1"/>
  <c r="M18" i="48"/>
  <c r="K18" i="48"/>
  <c r="H18" i="48"/>
  <c r="O18" i="48"/>
  <c r="U18" i="49"/>
  <c r="C18" i="49" s="1"/>
  <c r="U33" i="49"/>
  <c r="C33" i="49" s="1"/>
  <c r="K10" i="48"/>
  <c r="M10" i="48"/>
  <c r="O10" i="48"/>
  <c r="H10" i="48"/>
  <c r="M23" i="48" l="1"/>
  <c r="O23" i="48"/>
  <c r="K23" i="48"/>
  <c r="H23" i="48"/>
  <c r="M11" i="48"/>
  <c r="H11" i="48"/>
  <c r="O11" i="48"/>
  <c r="K11" i="48"/>
  <c r="M32" i="48"/>
  <c r="O32" i="48"/>
  <c r="H32" i="48"/>
  <c r="K32" i="48"/>
  <c r="AQ29" i="48"/>
  <c r="AR29" i="48"/>
  <c r="AS29" i="48"/>
  <c r="G29" i="48"/>
  <c r="K31" i="48"/>
  <c r="H31" i="48"/>
  <c r="M31" i="48"/>
  <c r="O31" i="48"/>
  <c r="G18" i="48"/>
  <c r="AS18" i="48"/>
  <c r="AR18" i="48"/>
  <c r="AQ18" i="48"/>
  <c r="AS20" i="48"/>
  <c r="AQ20" i="48"/>
  <c r="G20" i="48"/>
  <c r="AR20" i="48"/>
  <c r="O25" i="48"/>
  <c r="H25" i="48"/>
  <c r="M25" i="48"/>
  <c r="K25" i="48"/>
  <c r="H33" i="48"/>
  <c r="M33" i="48"/>
  <c r="O33" i="48"/>
  <c r="K33" i="48"/>
  <c r="K26" i="48"/>
  <c r="M26" i="48"/>
  <c r="H26" i="48"/>
  <c r="O26" i="48"/>
  <c r="AR10" i="48"/>
  <c r="AS10" i="48"/>
  <c r="G10" i="48"/>
  <c r="AQ10" i="48"/>
  <c r="H9" i="48"/>
  <c r="K9" i="48"/>
  <c r="O9" i="48"/>
  <c r="M9" i="48"/>
  <c r="U12" i="49"/>
  <c r="C12" i="49" s="1"/>
  <c r="K28" i="48" l="1"/>
  <c r="O28" i="48"/>
  <c r="M28" i="48"/>
  <c r="H28" i="48"/>
  <c r="K21" i="52"/>
  <c r="H21" i="52"/>
  <c r="M21" i="52"/>
  <c r="O21" i="52"/>
  <c r="H12" i="55"/>
  <c r="K12" i="55"/>
  <c r="O12" i="55"/>
  <c r="M12" i="55"/>
  <c r="M24" i="55"/>
  <c r="K24" i="55"/>
  <c r="O24" i="55"/>
  <c r="H24" i="55"/>
  <c r="H13" i="56"/>
  <c r="M13" i="56"/>
  <c r="O13" i="56"/>
  <c r="K13" i="56"/>
  <c r="M29" i="56"/>
  <c r="O29" i="56"/>
  <c r="H29" i="56"/>
  <c r="K29" i="56"/>
  <c r="K14" i="48"/>
  <c r="H14" i="48"/>
  <c r="M14" i="48"/>
  <c r="O14" i="48"/>
  <c r="O7" i="49"/>
  <c r="H7" i="49"/>
  <c r="M7" i="49"/>
  <c r="K7" i="49"/>
  <c r="O19" i="49"/>
  <c r="H19" i="49"/>
  <c r="K19" i="49"/>
  <c r="M19" i="49"/>
  <c r="O31" i="49"/>
  <c r="M31" i="49"/>
  <c r="K31" i="49"/>
  <c r="H31" i="49"/>
  <c r="O35" i="49"/>
  <c r="K35" i="49"/>
  <c r="H35" i="49"/>
  <c r="M35" i="49"/>
  <c r="O36" i="50"/>
  <c r="M36" i="50"/>
  <c r="H36" i="50"/>
  <c r="K36" i="50"/>
  <c r="M9" i="52"/>
  <c r="K9" i="52"/>
  <c r="H9" i="52"/>
  <c r="O9" i="52"/>
  <c r="M13" i="52"/>
  <c r="H13" i="52"/>
  <c r="K13" i="52"/>
  <c r="O13" i="52"/>
  <c r="K26" i="52"/>
  <c r="H26" i="52"/>
  <c r="M26" i="52"/>
  <c r="O26" i="52"/>
  <c r="O30" i="52"/>
  <c r="H30" i="52"/>
  <c r="M30" i="52"/>
  <c r="K30" i="52"/>
  <c r="K34" i="52"/>
  <c r="O34" i="52"/>
  <c r="H34" i="52"/>
  <c r="M34" i="52"/>
  <c r="O38" i="52"/>
  <c r="K38" i="52"/>
  <c r="M38" i="52"/>
  <c r="H38" i="52"/>
  <c r="H7" i="53"/>
  <c r="K7" i="53"/>
  <c r="O7" i="53"/>
  <c r="M7" i="53"/>
  <c r="H11" i="53"/>
  <c r="K11" i="53"/>
  <c r="O11" i="53"/>
  <c r="M11" i="53"/>
  <c r="H15" i="53"/>
  <c r="O15" i="53"/>
  <c r="K15" i="53"/>
  <c r="M15" i="53"/>
  <c r="O19" i="53"/>
  <c r="K19" i="53"/>
  <c r="H19" i="53"/>
  <c r="M19" i="53"/>
  <c r="M23" i="53"/>
  <c r="K23" i="53"/>
  <c r="H23" i="53"/>
  <c r="O23" i="53"/>
  <c r="K27" i="53"/>
  <c r="O27" i="53"/>
  <c r="H27" i="53"/>
  <c r="M27" i="53"/>
  <c r="M31" i="53"/>
  <c r="O31" i="53"/>
  <c r="K31" i="53"/>
  <c r="H31" i="53"/>
  <c r="M35" i="53"/>
  <c r="O35" i="53"/>
  <c r="H35" i="53"/>
  <c r="K35" i="53"/>
  <c r="M8" i="54"/>
  <c r="O8" i="54"/>
  <c r="H8" i="54"/>
  <c r="K8" i="54"/>
  <c r="O14" i="54"/>
  <c r="H14" i="54"/>
  <c r="M14" i="54"/>
  <c r="K14" i="54"/>
  <c r="K29" i="54"/>
  <c r="O29" i="54"/>
  <c r="H29" i="54"/>
  <c r="M29" i="54"/>
  <c r="M32" i="55"/>
  <c r="O32" i="55"/>
  <c r="H32" i="55"/>
  <c r="K32" i="55"/>
  <c r="K17" i="56"/>
  <c r="O17" i="56"/>
  <c r="M17" i="56"/>
  <c r="H17" i="56"/>
  <c r="O33" i="56"/>
  <c r="H33" i="56"/>
  <c r="M33" i="56"/>
  <c r="K33" i="56"/>
  <c r="M27" i="48"/>
  <c r="K27" i="48"/>
  <c r="O27" i="48"/>
  <c r="H27" i="48"/>
  <c r="K15" i="49"/>
  <c r="M15" i="49"/>
  <c r="H15" i="49"/>
  <c r="O15" i="49"/>
  <c r="O27" i="49"/>
  <c r="H27" i="49"/>
  <c r="K27" i="49"/>
  <c r="M27" i="49"/>
  <c r="H38" i="48"/>
  <c r="K38" i="48"/>
  <c r="O38" i="48"/>
  <c r="M38" i="48"/>
  <c r="M24" i="48"/>
  <c r="K24" i="48"/>
  <c r="H24" i="48"/>
  <c r="O24" i="48"/>
  <c r="M13" i="48"/>
  <c r="H13" i="48"/>
  <c r="K13" i="48"/>
  <c r="O13" i="48"/>
  <c r="H10" i="50"/>
  <c r="O10" i="50"/>
  <c r="K10" i="50"/>
  <c r="M10" i="50"/>
  <c r="M15" i="50"/>
  <c r="H15" i="50"/>
  <c r="O15" i="50"/>
  <c r="K15" i="50"/>
  <c r="H18" i="52"/>
  <c r="K18" i="52"/>
  <c r="O18" i="52"/>
  <c r="M18" i="52"/>
  <c r="H22" i="52"/>
  <c r="O22" i="52"/>
  <c r="K22" i="52"/>
  <c r="M22" i="52"/>
  <c r="K36" i="54"/>
  <c r="M36" i="54"/>
  <c r="O36" i="54"/>
  <c r="H36" i="54"/>
  <c r="M9" i="55"/>
  <c r="H9" i="55"/>
  <c r="K9" i="55"/>
  <c r="O9" i="55"/>
  <c r="O13" i="55"/>
  <c r="K13" i="55"/>
  <c r="M13" i="55"/>
  <c r="H13" i="55"/>
  <c r="O17" i="55"/>
  <c r="H17" i="55"/>
  <c r="M17" i="55"/>
  <c r="K17" i="55"/>
  <c r="O21" i="55"/>
  <c r="K21" i="55"/>
  <c r="M21" i="55"/>
  <c r="H21" i="55"/>
  <c r="H25" i="55"/>
  <c r="M25" i="55"/>
  <c r="O25" i="55"/>
  <c r="K25" i="55"/>
  <c r="M29" i="55"/>
  <c r="H29" i="55"/>
  <c r="K29" i="55"/>
  <c r="O29" i="55"/>
  <c r="O33" i="55"/>
  <c r="H33" i="55"/>
  <c r="K33" i="55"/>
  <c r="M33" i="55"/>
  <c r="M37" i="55"/>
  <c r="O37" i="55"/>
  <c r="K37" i="55"/>
  <c r="H37" i="55"/>
  <c r="M6" i="56"/>
  <c r="O6" i="56"/>
  <c r="H6" i="56"/>
  <c r="K6" i="56"/>
  <c r="M14" i="56"/>
  <c r="O14" i="56"/>
  <c r="H14" i="56"/>
  <c r="K14" i="56"/>
  <c r="M18" i="56"/>
  <c r="O18" i="56"/>
  <c r="H18" i="56"/>
  <c r="K18" i="56"/>
  <c r="O22" i="56"/>
  <c r="M22" i="56"/>
  <c r="K22" i="56"/>
  <c r="H22" i="56"/>
  <c r="K38" i="56"/>
  <c r="H38" i="56"/>
  <c r="M38" i="56"/>
  <c r="O38" i="56"/>
  <c r="AQ31" i="48"/>
  <c r="G31" i="48"/>
  <c r="AS31" i="48"/>
  <c r="AR31" i="48"/>
  <c r="AR11" i="48"/>
  <c r="G11" i="48"/>
  <c r="AQ11" i="48"/>
  <c r="AS11" i="48"/>
  <c r="O14" i="50"/>
  <c r="H14" i="50"/>
  <c r="M14" i="50"/>
  <c r="K14" i="50"/>
  <c r="K19" i="54"/>
  <c r="O19" i="54"/>
  <c r="H19" i="54"/>
  <c r="M19" i="54"/>
  <c r="K8" i="55"/>
  <c r="O8" i="55"/>
  <c r="H8" i="55"/>
  <c r="M8" i="55"/>
  <c r="M28" i="55"/>
  <c r="O28" i="55"/>
  <c r="K28" i="55"/>
  <c r="H28" i="55"/>
  <c r="O25" i="56"/>
  <c r="M25" i="56"/>
  <c r="H25" i="56"/>
  <c r="K25" i="56"/>
  <c r="H37" i="48"/>
  <c r="M37" i="48"/>
  <c r="O37" i="48"/>
  <c r="K37" i="48"/>
  <c r="O12" i="48"/>
  <c r="M12" i="48"/>
  <c r="H12" i="48"/>
  <c r="K12" i="48"/>
  <c r="K8" i="49"/>
  <c r="O8" i="49"/>
  <c r="H8" i="49"/>
  <c r="M8" i="49"/>
  <c r="M28" i="49"/>
  <c r="K28" i="49"/>
  <c r="O28" i="49"/>
  <c r="H28" i="49"/>
  <c r="O36" i="49"/>
  <c r="H36" i="49"/>
  <c r="M36" i="49"/>
  <c r="K36" i="49"/>
  <c r="K27" i="50"/>
  <c r="O27" i="50"/>
  <c r="H27" i="50"/>
  <c r="M27" i="50"/>
  <c r="O37" i="50"/>
  <c r="M37" i="50"/>
  <c r="K37" i="50"/>
  <c r="H37" i="50"/>
  <c r="M6" i="52"/>
  <c r="O6" i="52"/>
  <c r="H6" i="52"/>
  <c r="D40" i="52"/>
  <c r="K6" i="52"/>
  <c r="H10" i="52"/>
  <c r="M10" i="52"/>
  <c r="K10" i="52"/>
  <c r="O10" i="52"/>
  <c r="M14" i="52"/>
  <c r="K14" i="52"/>
  <c r="O14" i="52"/>
  <c r="H14" i="52"/>
  <c r="H27" i="52"/>
  <c r="O27" i="52"/>
  <c r="M27" i="52"/>
  <c r="K27" i="52"/>
  <c r="H31" i="52"/>
  <c r="K31" i="52"/>
  <c r="M31" i="52"/>
  <c r="O31" i="52"/>
  <c r="O35" i="52"/>
  <c r="H35" i="52"/>
  <c r="K35" i="52"/>
  <c r="M35" i="52"/>
  <c r="H8" i="53"/>
  <c r="K8" i="53"/>
  <c r="O8" i="53"/>
  <c r="M8" i="53"/>
  <c r="H12" i="53"/>
  <c r="O12" i="53"/>
  <c r="K12" i="53"/>
  <c r="M12" i="53"/>
  <c r="M16" i="53"/>
  <c r="O16" i="53"/>
  <c r="H16" i="53"/>
  <c r="K16" i="53"/>
  <c r="O20" i="53"/>
  <c r="K20" i="53"/>
  <c r="M20" i="53"/>
  <c r="H20" i="53"/>
  <c r="M24" i="53"/>
  <c r="K24" i="53"/>
  <c r="H24" i="53"/>
  <c r="O24" i="53"/>
  <c r="K28" i="53"/>
  <c r="H28" i="53"/>
  <c r="M28" i="53"/>
  <c r="O28" i="53"/>
  <c r="O32" i="53"/>
  <c r="K32" i="53"/>
  <c r="M32" i="53"/>
  <c r="H32" i="53"/>
  <c r="M36" i="53"/>
  <c r="O36" i="53"/>
  <c r="K36" i="53"/>
  <c r="H36" i="53"/>
  <c r="K15" i="54"/>
  <c r="O15" i="54"/>
  <c r="H15" i="54"/>
  <c r="M15" i="54"/>
  <c r="H21" i="54"/>
  <c r="M21" i="54"/>
  <c r="K21" i="54"/>
  <c r="O21" i="54"/>
  <c r="O21" i="46"/>
  <c r="M21" i="46"/>
  <c r="H21" i="46"/>
  <c r="K21" i="46"/>
  <c r="U20" i="48"/>
  <c r="C20" i="48" s="1"/>
  <c r="G32" i="48"/>
  <c r="AQ32" i="48"/>
  <c r="AR32" i="48"/>
  <c r="AS32" i="48"/>
  <c r="O19" i="50"/>
  <c r="M19" i="50"/>
  <c r="H19" i="50"/>
  <c r="K19" i="50"/>
  <c r="H24" i="54"/>
  <c r="O24" i="54"/>
  <c r="M24" i="54"/>
  <c r="K24" i="54"/>
  <c r="M36" i="55"/>
  <c r="K36" i="55"/>
  <c r="H36" i="55"/>
  <c r="O36" i="55"/>
  <c r="O22" i="48"/>
  <c r="K22" i="48"/>
  <c r="M22" i="48"/>
  <c r="H22" i="48"/>
  <c r="O16" i="49"/>
  <c r="H16" i="49"/>
  <c r="M16" i="49"/>
  <c r="K16" i="49"/>
  <c r="K36" i="48"/>
  <c r="H36" i="48"/>
  <c r="M36" i="48"/>
  <c r="O36" i="48"/>
  <c r="O21" i="48"/>
  <c r="M21" i="48"/>
  <c r="H21" i="48"/>
  <c r="K21" i="48"/>
  <c r="H8" i="48"/>
  <c r="K8" i="48"/>
  <c r="M8" i="48"/>
  <c r="O8" i="48"/>
  <c r="M16" i="50"/>
  <c r="K16" i="50"/>
  <c r="H16" i="50"/>
  <c r="O16" i="50"/>
  <c r="H22" i="50"/>
  <c r="O22" i="50"/>
  <c r="K22" i="50"/>
  <c r="M22" i="50"/>
  <c r="H19" i="52"/>
  <c r="M19" i="52"/>
  <c r="O19" i="52"/>
  <c r="K19" i="52"/>
  <c r="K23" i="52"/>
  <c r="M23" i="52"/>
  <c r="O23" i="52"/>
  <c r="H23" i="52"/>
  <c r="K27" i="54"/>
  <c r="M27" i="54"/>
  <c r="H27" i="54"/>
  <c r="O27" i="54"/>
  <c r="H37" i="54"/>
  <c r="O37" i="54"/>
  <c r="K37" i="54"/>
  <c r="M37" i="54"/>
  <c r="K6" i="55"/>
  <c r="O6" i="55"/>
  <c r="M6" i="55"/>
  <c r="H6" i="55"/>
  <c r="D40" i="55"/>
  <c r="M10" i="55"/>
  <c r="O10" i="55"/>
  <c r="H10" i="55"/>
  <c r="K10" i="55"/>
  <c r="K14" i="55"/>
  <c r="M14" i="55"/>
  <c r="H14" i="55"/>
  <c r="O14" i="55"/>
  <c r="K18" i="55"/>
  <c r="O18" i="55"/>
  <c r="M18" i="55"/>
  <c r="H18" i="55"/>
  <c r="M22" i="55"/>
  <c r="O22" i="55"/>
  <c r="K22" i="55"/>
  <c r="H22" i="55"/>
  <c r="H26" i="55"/>
  <c r="K26" i="55"/>
  <c r="M26" i="55"/>
  <c r="O26" i="55"/>
  <c r="M30" i="55"/>
  <c r="O30" i="55"/>
  <c r="H30" i="55"/>
  <c r="K30" i="55"/>
  <c r="K34" i="55"/>
  <c r="M34" i="55"/>
  <c r="O34" i="55"/>
  <c r="H34" i="55"/>
  <c r="M38" i="55"/>
  <c r="H38" i="55"/>
  <c r="O38" i="55"/>
  <c r="K38" i="55"/>
  <c r="H27" i="56"/>
  <c r="K27" i="56"/>
  <c r="M27" i="56"/>
  <c r="O27" i="56"/>
  <c r="K31" i="56"/>
  <c r="O31" i="56"/>
  <c r="H31" i="56"/>
  <c r="M31" i="56"/>
  <c r="O35" i="56"/>
  <c r="H35" i="56"/>
  <c r="M35" i="56"/>
  <c r="K35" i="56"/>
  <c r="AR9" i="48"/>
  <c r="AQ9" i="48"/>
  <c r="G9" i="48"/>
  <c r="AS9" i="48"/>
  <c r="AQ33" i="48"/>
  <c r="AS33" i="48"/>
  <c r="G33" i="48"/>
  <c r="AR33" i="48"/>
  <c r="AR23" i="48"/>
  <c r="AS23" i="48"/>
  <c r="AQ23" i="48"/>
  <c r="G23" i="48"/>
  <c r="M15" i="48"/>
  <c r="O15" i="48"/>
  <c r="K15" i="48"/>
  <c r="H15" i="48"/>
  <c r="M17" i="52"/>
  <c r="H17" i="52"/>
  <c r="O17" i="52"/>
  <c r="K17" i="52"/>
  <c r="K16" i="55"/>
  <c r="H16" i="55"/>
  <c r="O16" i="55"/>
  <c r="M16" i="55"/>
  <c r="K35" i="48"/>
  <c r="H35" i="48"/>
  <c r="M35" i="48"/>
  <c r="O35" i="48"/>
  <c r="H9" i="49"/>
  <c r="O9" i="49"/>
  <c r="K9" i="49"/>
  <c r="M9" i="49"/>
  <c r="O17" i="49"/>
  <c r="H17" i="49"/>
  <c r="K17" i="49"/>
  <c r="M17" i="49"/>
  <c r="H21" i="49"/>
  <c r="K21" i="49"/>
  <c r="M21" i="49"/>
  <c r="O21" i="49"/>
  <c r="O29" i="49"/>
  <c r="H29" i="49"/>
  <c r="M29" i="49"/>
  <c r="K29" i="49"/>
  <c r="M37" i="49"/>
  <c r="K37" i="49"/>
  <c r="O37" i="49"/>
  <c r="H37" i="49"/>
  <c r="H6" i="50"/>
  <c r="K6" i="50"/>
  <c r="O6" i="50"/>
  <c r="D40" i="50"/>
  <c r="M6" i="50"/>
  <c r="M28" i="50"/>
  <c r="O28" i="50"/>
  <c r="K28" i="50"/>
  <c r="H28" i="50"/>
  <c r="K34" i="50"/>
  <c r="H34" i="50"/>
  <c r="M34" i="50"/>
  <c r="O34" i="50"/>
  <c r="O38" i="50"/>
  <c r="K38" i="50"/>
  <c r="M38" i="50"/>
  <c r="H38" i="50"/>
  <c r="H7" i="52"/>
  <c r="M7" i="52"/>
  <c r="K7" i="52"/>
  <c r="O7" i="52"/>
  <c r="K11" i="52"/>
  <c r="O11" i="52"/>
  <c r="M11" i="52"/>
  <c r="H11" i="52"/>
  <c r="O15" i="52"/>
  <c r="H15" i="52"/>
  <c r="M15" i="52"/>
  <c r="K15" i="52"/>
  <c r="O28" i="52"/>
  <c r="M28" i="52"/>
  <c r="K28" i="52"/>
  <c r="H28" i="52"/>
  <c r="H32" i="52"/>
  <c r="K32" i="52"/>
  <c r="O32" i="52"/>
  <c r="M32" i="52"/>
  <c r="O36" i="52"/>
  <c r="H36" i="52"/>
  <c r="K36" i="52"/>
  <c r="M36" i="52"/>
  <c r="H9" i="53"/>
  <c r="M9" i="53"/>
  <c r="O9" i="53"/>
  <c r="K9" i="53"/>
  <c r="K13" i="53"/>
  <c r="H13" i="53"/>
  <c r="O13" i="53"/>
  <c r="M13" i="53"/>
  <c r="M17" i="53"/>
  <c r="H17" i="53"/>
  <c r="K17" i="53"/>
  <c r="O17" i="53"/>
  <c r="K21" i="53"/>
  <c r="M21" i="53"/>
  <c r="O21" i="53"/>
  <c r="H21" i="53"/>
  <c r="H25" i="53"/>
  <c r="M25" i="53"/>
  <c r="K25" i="53"/>
  <c r="O25" i="53"/>
  <c r="M29" i="53"/>
  <c r="H29" i="53"/>
  <c r="K29" i="53"/>
  <c r="O29" i="53"/>
  <c r="K33" i="53"/>
  <c r="M33" i="53"/>
  <c r="H33" i="53"/>
  <c r="O33" i="53"/>
  <c r="K37" i="53"/>
  <c r="H37" i="53"/>
  <c r="O37" i="53"/>
  <c r="M37" i="53"/>
  <c r="H6" i="54"/>
  <c r="M6" i="54"/>
  <c r="D40" i="54"/>
  <c r="K6" i="54"/>
  <c r="O6" i="54"/>
  <c r="M22" i="54"/>
  <c r="O22" i="54"/>
  <c r="K22" i="54"/>
  <c r="H22" i="54"/>
  <c r="AR26" i="48"/>
  <c r="G26" i="48"/>
  <c r="AS26" i="48"/>
  <c r="AQ26" i="48"/>
  <c r="U18" i="48"/>
  <c r="C18" i="48" s="1"/>
  <c r="U29" i="48"/>
  <c r="C29" i="48" s="1"/>
  <c r="M35" i="54"/>
  <c r="O35" i="54"/>
  <c r="H35" i="54"/>
  <c r="K35" i="54"/>
  <c r="O20" i="55"/>
  <c r="H20" i="55"/>
  <c r="M20" i="55"/>
  <c r="K20" i="55"/>
  <c r="M6" i="48"/>
  <c r="O6" i="48"/>
  <c r="D40" i="48"/>
  <c r="K6" i="48"/>
  <c r="H6" i="48"/>
  <c r="M19" i="48"/>
  <c r="K19" i="48"/>
  <c r="O19" i="48"/>
  <c r="H19" i="48"/>
  <c r="H7" i="48"/>
  <c r="K7" i="48"/>
  <c r="O7" i="48"/>
  <c r="M7" i="48"/>
  <c r="H13" i="49"/>
  <c r="M13" i="49"/>
  <c r="O13" i="49"/>
  <c r="K13" i="49"/>
  <c r="M34" i="48"/>
  <c r="O34" i="48"/>
  <c r="H34" i="48"/>
  <c r="K34" i="48"/>
  <c r="H17" i="48"/>
  <c r="O17" i="48"/>
  <c r="K17" i="48"/>
  <c r="M17" i="48"/>
  <c r="O13" i="50"/>
  <c r="K13" i="50"/>
  <c r="H13" i="50"/>
  <c r="M13" i="50"/>
  <c r="H23" i="50"/>
  <c r="O23" i="50"/>
  <c r="M23" i="50"/>
  <c r="K23" i="50"/>
  <c r="H20" i="52"/>
  <c r="O20" i="52"/>
  <c r="K20" i="52"/>
  <c r="M20" i="52"/>
  <c r="M24" i="52"/>
  <c r="O24" i="52"/>
  <c r="K24" i="52"/>
  <c r="H24" i="52"/>
  <c r="O28" i="54"/>
  <c r="K28" i="54"/>
  <c r="M28" i="54"/>
  <c r="H28" i="54"/>
  <c r="K34" i="54"/>
  <c r="M34" i="54"/>
  <c r="O34" i="54"/>
  <c r="H34" i="54"/>
  <c r="H38" i="54"/>
  <c r="O38" i="54"/>
  <c r="M38" i="54"/>
  <c r="K38" i="54"/>
  <c r="O7" i="55"/>
  <c r="H7" i="55"/>
  <c r="M7" i="55"/>
  <c r="K7" i="55"/>
  <c r="O11" i="55"/>
  <c r="M11" i="55"/>
  <c r="H11" i="55"/>
  <c r="K11" i="55"/>
  <c r="O15" i="55"/>
  <c r="M15" i="55"/>
  <c r="H15" i="55"/>
  <c r="K15" i="55"/>
  <c r="O19" i="55"/>
  <c r="K19" i="55"/>
  <c r="M19" i="55"/>
  <c r="H19" i="55"/>
  <c r="K23" i="55"/>
  <c r="O23" i="55"/>
  <c r="H23" i="55"/>
  <c r="M23" i="55"/>
  <c r="H27" i="55"/>
  <c r="O27" i="55"/>
  <c r="M27" i="55"/>
  <c r="K27" i="55"/>
  <c r="K31" i="55"/>
  <c r="O31" i="55"/>
  <c r="M31" i="55"/>
  <c r="H31" i="55"/>
  <c r="K35" i="55"/>
  <c r="M35" i="55"/>
  <c r="H35" i="55"/>
  <c r="O35" i="55"/>
  <c r="M28" i="56"/>
  <c r="O28" i="56"/>
  <c r="H28" i="56"/>
  <c r="K28" i="56"/>
  <c r="M32" i="56"/>
  <c r="O32" i="56"/>
  <c r="K32" i="56"/>
  <c r="H32" i="56"/>
  <c r="H30" i="48"/>
  <c r="M30" i="48"/>
  <c r="K30" i="48"/>
  <c r="O30" i="48"/>
  <c r="M16" i="48"/>
  <c r="K16" i="48"/>
  <c r="O16" i="48"/>
  <c r="H16" i="48"/>
  <c r="M6" i="49"/>
  <c r="H6" i="49"/>
  <c r="O6" i="49"/>
  <c r="D40" i="49"/>
  <c r="K6" i="49"/>
  <c r="K14" i="49"/>
  <c r="O14" i="49"/>
  <c r="H14" i="49"/>
  <c r="M14" i="49"/>
  <c r="K22" i="49"/>
  <c r="O22" i="49"/>
  <c r="M22" i="49"/>
  <c r="H22" i="49"/>
  <c r="K26" i="49"/>
  <c r="M26" i="49"/>
  <c r="H26" i="49"/>
  <c r="O26" i="49"/>
  <c r="O30" i="49"/>
  <c r="K30" i="49"/>
  <c r="M30" i="49"/>
  <c r="H30" i="49"/>
  <c r="O34" i="49"/>
  <c r="H34" i="49"/>
  <c r="K34" i="49"/>
  <c r="M34" i="49"/>
  <c r="O38" i="49"/>
  <c r="M38" i="49"/>
  <c r="H38" i="49"/>
  <c r="K38" i="49"/>
  <c r="M29" i="50"/>
  <c r="H29" i="50"/>
  <c r="O29" i="50"/>
  <c r="K29" i="50"/>
  <c r="M35" i="50"/>
  <c r="K35" i="50"/>
  <c r="O35" i="50"/>
  <c r="H35" i="50"/>
  <c r="K8" i="52"/>
  <c r="M8" i="52"/>
  <c r="O8" i="52"/>
  <c r="H8" i="52"/>
  <c r="O12" i="52"/>
  <c r="H12" i="52"/>
  <c r="K12" i="52"/>
  <c r="M12" i="52"/>
  <c r="H29" i="52"/>
  <c r="K29" i="52"/>
  <c r="O29" i="52"/>
  <c r="M29" i="52"/>
  <c r="H33" i="52"/>
  <c r="M33" i="52"/>
  <c r="K33" i="52"/>
  <c r="O33" i="52"/>
  <c r="O37" i="52"/>
  <c r="M37" i="52"/>
  <c r="H37" i="52"/>
  <c r="K37" i="52"/>
  <c r="O6" i="53"/>
  <c r="K6" i="53"/>
  <c r="D40" i="53"/>
  <c r="H6" i="53"/>
  <c r="M6" i="53"/>
  <c r="O10" i="53"/>
  <c r="K10" i="53"/>
  <c r="H10" i="53"/>
  <c r="M10" i="53"/>
  <c r="O14" i="53"/>
  <c r="K14" i="53"/>
  <c r="H14" i="53"/>
  <c r="M14" i="53"/>
  <c r="K18" i="53"/>
  <c r="M18" i="53"/>
  <c r="H18" i="53"/>
  <c r="O18" i="53"/>
  <c r="H22" i="53"/>
  <c r="M22" i="53"/>
  <c r="K22" i="53"/>
  <c r="O22" i="53"/>
  <c r="K26" i="53"/>
  <c r="O26" i="53"/>
  <c r="H26" i="53"/>
  <c r="M26" i="53"/>
  <c r="K30" i="53"/>
  <c r="M30" i="53"/>
  <c r="H30" i="53"/>
  <c r="O30" i="53"/>
  <c r="K34" i="53"/>
  <c r="M34" i="53"/>
  <c r="O34" i="53"/>
  <c r="H34" i="53"/>
  <c r="O38" i="53"/>
  <c r="H38" i="53"/>
  <c r="M38" i="53"/>
  <c r="K38" i="53"/>
  <c r="H7" i="54"/>
  <c r="O7" i="54"/>
  <c r="M7" i="54"/>
  <c r="K7" i="54"/>
  <c r="O13" i="54"/>
  <c r="M13" i="54"/>
  <c r="K13" i="54"/>
  <c r="H13" i="54"/>
  <c r="U10" i="48"/>
  <c r="C10" i="48" s="1"/>
  <c r="AQ25" i="48"/>
  <c r="AR25" i="48"/>
  <c r="AS25" i="48"/>
  <c r="G25" i="48"/>
  <c r="G36" i="55" l="1"/>
  <c r="G29" i="50"/>
  <c r="AR29" i="50"/>
  <c r="AS29" i="50"/>
  <c r="AQ29" i="50"/>
  <c r="AQ16" i="48"/>
  <c r="G16" i="48"/>
  <c r="AS16" i="48"/>
  <c r="AR16" i="48"/>
  <c r="AQ23" i="50"/>
  <c r="G23" i="50"/>
  <c r="AR23" i="50"/>
  <c r="AS23" i="50"/>
  <c r="O40" i="54"/>
  <c r="G37" i="49"/>
  <c r="AS37" i="49"/>
  <c r="AQ37" i="49"/>
  <c r="AR37" i="49"/>
  <c r="AQ15" i="48"/>
  <c r="AR15" i="48"/>
  <c r="G15" i="48"/>
  <c r="AS15" i="48"/>
  <c r="AQ35" i="56"/>
  <c r="AR35" i="56"/>
  <c r="AS35" i="56"/>
  <c r="AQ30" i="55"/>
  <c r="AR30" i="55"/>
  <c r="AS30" i="55"/>
  <c r="G30" i="55"/>
  <c r="AS14" i="55"/>
  <c r="AR14" i="55"/>
  <c r="G14" i="55"/>
  <c r="AQ14" i="55"/>
  <c r="AS37" i="54"/>
  <c r="AQ37" i="54"/>
  <c r="G37" i="54"/>
  <c r="AR37" i="54"/>
  <c r="AS22" i="50"/>
  <c r="AR22" i="50"/>
  <c r="G22" i="50"/>
  <c r="AQ22" i="50"/>
  <c r="AS8" i="48"/>
  <c r="AQ8" i="48"/>
  <c r="G8" i="48"/>
  <c r="AR8" i="48"/>
  <c r="AS21" i="54"/>
  <c r="AQ21" i="54"/>
  <c r="AR21" i="54"/>
  <c r="G21" i="54"/>
  <c r="AR12" i="53"/>
  <c r="G12" i="53"/>
  <c r="AS12" i="53"/>
  <c r="AQ12" i="53"/>
  <c r="AS27" i="52"/>
  <c r="AR27" i="52"/>
  <c r="AQ27" i="52"/>
  <c r="G27" i="52"/>
  <c r="AR10" i="52"/>
  <c r="AS10" i="52"/>
  <c r="AQ10" i="52"/>
  <c r="G10" i="52"/>
  <c r="G8" i="49"/>
  <c r="AR8" i="49"/>
  <c r="AS8" i="49"/>
  <c r="AQ8" i="49"/>
  <c r="G19" i="54"/>
  <c r="AR19" i="54"/>
  <c r="AQ19" i="54"/>
  <c r="AS19" i="54"/>
  <c r="AQ6" i="56"/>
  <c r="AR6" i="56"/>
  <c r="AQ15" i="49"/>
  <c r="AS15" i="49"/>
  <c r="G15" i="49"/>
  <c r="AR15" i="49"/>
  <c r="AR29" i="54"/>
  <c r="AQ29" i="54"/>
  <c r="G29" i="54"/>
  <c r="AS29" i="54"/>
  <c r="AR11" i="53"/>
  <c r="AQ11" i="53"/>
  <c r="G11" i="53"/>
  <c r="AS11" i="53"/>
  <c r="AR30" i="52"/>
  <c r="AS30" i="52"/>
  <c r="G30" i="52"/>
  <c r="AQ30" i="52"/>
  <c r="G13" i="52"/>
  <c r="AQ13" i="52"/>
  <c r="AR13" i="52"/>
  <c r="AS13" i="52"/>
  <c r="AR29" i="56"/>
  <c r="AS29" i="56"/>
  <c r="AQ29" i="56"/>
  <c r="AR34" i="49"/>
  <c r="AQ34" i="49"/>
  <c r="AS34" i="49"/>
  <c r="G34" i="49"/>
  <c r="G19" i="55"/>
  <c r="AQ19" i="55"/>
  <c r="AS19" i="55"/>
  <c r="AR19" i="55"/>
  <c r="AS17" i="48"/>
  <c r="AQ17" i="48"/>
  <c r="AR17" i="48"/>
  <c r="G17" i="48"/>
  <c r="AS13" i="49"/>
  <c r="AR13" i="49"/>
  <c r="AQ13" i="49"/>
  <c r="G13" i="49"/>
  <c r="AS29" i="53"/>
  <c r="G29" i="53"/>
  <c r="AQ29" i="53"/>
  <c r="AR29" i="53"/>
  <c r="AQ13" i="53"/>
  <c r="AR13" i="53"/>
  <c r="G13" i="53"/>
  <c r="AS13" i="53"/>
  <c r="AS38" i="56"/>
  <c r="AR38" i="56"/>
  <c r="AQ38" i="56"/>
  <c r="G36" i="50"/>
  <c r="AS36" i="50"/>
  <c r="AR36" i="50"/>
  <c r="AQ36" i="50"/>
  <c r="G24" i="55"/>
  <c r="AQ24" i="55"/>
  <c r="AS24" i="55"/>
  <c r="AR24" i="55"/>
  <c r="AS30" i="53"/>
  <c r="AR30" i="53"/>
  <c r="AQ30" i="53"/>
  <c r="G30" i="53"/>
  <c r="G14" i="53"/>
  <c r="AS14" i="53"/>
  <c r="AR14" i="53"/>
  <c r="AQ14" i="53"/>
  <c r="M40" i="53"/>
  <c r="AS29" i="52"/>
  <c r="G29" i="52"/>
  <c r="AQ29" i="52"/>
  <c r="AR29" i="52"/>
  <c r="AR28" i="56"/>
  <c r="AS28" i="56"/>
  <c r="AQ28" i="56"/>
  <c r="G35" i="55"/>
  <c r="AQ35" i="55"/>
  <c r="AS35" i="55"/>
  <c r="AR35" i="55"/>
  <c r="AQ11" i="55"/>
  <c r="AS11" i="55"/>
  <c r="AR11" i="55"/>
  <c r="G11" i="55"/>
  <c r="AS28" i="54"/>
  <c r="AQ28" i="54"/>
  <c r="AR28" i="54"/>
  <c r="G28" i="54"/>
  <c r="AQ38" i="53"/>
  <c r="AS38" i="53"/>
  <c r="G38" i="53"/>
  <c r="AR38" i="53"/>
  <c r="AQ6" i="53"/>
  <c r="G6" i="53"/>
  <c r="AR6" i="53"/>
  <c r="H40" i="53"/>
  <c r="D47" i="53" s="1"/>
  <c r="G35" i="50"/>
  <c r="AQ35" i="50"/>
  <c r="AR35" i="50"/>
  <c r="AS35" i="50"/>
  <c r="AR30" i="49"/>
  <c r="G30" i="49"/>
  <c r="AQ30" i="49"/>
  <c r="AS30" i="49"/>
  <c r="G22" i="49"/>
  <c r="AR22" i="49"/>
  <c r="AS22" i="49"/>
  <c r="AQ22" i="49"/>
  <c r="AR13" i="50"/>
  <c r="G13" i="50"/>
  <c r="AQ13" i="50"/>
  <c r="AS13" i="50"/>
  <c r="AR34" i="48"/>
  <c r="G34" i="48"/>
  <c r="AS34" i="48"/>
  <c r="AQ34" i="48"/>
  <c r="AQ20" i="55"/>
  <c r="AS20" i="55"/>
  <c r="G20" i="55"/>
  <c r="AR20" i="55"/>
  <c r="K40" i="54"/>
  <c r="U9" i="48"/>
  <c r="C9" i="48" s="1"/>
  <c r="AR27" i="56"/>
  <c r="AS27" i="56"/>
  <c r="AQ27" i="56"/>
  <c r="AQ38" i="55"/>
  <c r="AR38" i="55"/>
  <c r="AS38" i="55"/>
  <c r="G38" i="55"/>
  <c r="H40" i="55"/>
  <c r="D47" i="55" s="1"/>
  <c r="AQ6" i="55"/>
  <c r="G6" i="55"/>
  <c r="AR6" i="55"/>
  <c r="AS32" i="53"/>
  <c r="G32" i="53"/>
  <c r="AQ32" i="53"/>
  <c r="AR32" i="53"/>
  <c r="G14" i="52"/>
  <c r="AQ14" i="52"/>
  <c r="AS14" i="52"/>
  <c r="AR14" i="52"/>
  <c r="AQ36" i="49"/>
  <c r="AS36" i="49"/>
  <c r="AR36" i="49"/>
  <c r="G36" i="49"/>
  <c r="U31" i="48"/>
  <c r="C31" i="48" s="1"/>
  <c r="AQ33" i="55"/>
  <c r="AR33" i="55"/>
  <c r="G33" i="55"/>
  <c r="AS33" i="55"/>
  <c r="AR17" i="55"/>
  <c r="G17" i="55"/>
  <c r="AS17" i="55"/>
  <c r="AQ17" i="55"/>
  <c r="AS9" i="55"/>
  <c r="G9" i="55"/>
  <c r="AR9" i="55"/>
  <c r="AQ9" i="55"/>
  <c r="AR15" i="50"/>
  <c r="AQ15" i="50"/>
  <c r="G15" i="50"/>
  <c r="AS15" i="50"/>
  <c r="AS13" i="48"/>
  <c r="G13" i="48"/>
  <c r="AR13" i="48"/>
  <c r="AQ13" i="48"/>
  <c r="AR33" i="56"/>
  <c r="AS33" i="56"/>
  <c r="AQ33" i="56"/>
  <c r="G31" i="53"/>
  <c r="AS31" i="53"/>
  <c r="AR31" i="53"/>
  <c r="AQ31" i="53"/>
  <c r="AQ7" i="49"/>
  <c r="G7" i="49"/>
  <c r="AR7" i="49"/>
  <c r="AS7" i="49"/>
  <c r="AR21" i="52"/>
  <c r="AQ21" i="52"/>
  <c r="G21" i="52"/>
  <c r="AS21" i="52"/>
  <c r="AS37" i="53"/>
  <c r="AR37" i="53"/>
  <c r="AQ37" i="53"/>
  <c r="G37" i="53"/>
  <c r="AS36" i="52"/>
  <c r="AR36" i="52"/>
  <c r="AQ36" i="52"/>
  <c r="G36" i="52"/>
  <c r="AR6" i="50"/>
  <c r="G6" i="50"/>
  <c r="AQ6" i="50"/>
  <c r="H40" i="50"/>
  <c r="D47" i="50" s="1"/>
  <c r="AR22" i="55"/>
  <c r="AQ22" i="55"/>
  <c r="G22" i="55"/>
  <c r="AS22" i="55"/>
  <c r="AR36" i="48"/>
  <c r="G36" i="48"/>
  <c r="AQ36" i="48"/>
  <c r="AS36" i="48"/>
  <c r="AR28" i="53"/>
  <c r="AQ28" i="53"/>
  <c r="G28" i="53"/>
  <c r="AS28" i="53"/>
  <c r="AS35" i="52"/>
  <c r="AR35" i="52"/>
  <c r="G35" i="52"/>
  <c r="AQ35" i="52"/>
  <c r="AQ37" i="50"/>
  <c r="G37" i="50"/>
  <c r="AS37" i="50"/>
  <c r="AR37" i="50"/>
  <c r="AQ28" i="55"/>
  <c r="AS28" i="55"/>
  <c r="AR28" i="55"/>
  <c r="G28" i="55"/>
  <c r="AR14" i="54"/>
  <c r="AQ14" i="54"/>
  <c r="G14" i="54"/>
  <c r="AS14" i="54"/>
  <c r="AS22" i="53"/>
  <c r="AR22" i="53"/>
  <c r="G22" i="53"/>
  <c r="AQ22" i="53"/>
  <c r="AQ38" i="49"/>
  <c r="G38" i="49"/>
  <c r="AR38" i="49"/>
  <c r="AS38" i="49"/>
  <c r="K40" i="49"/>
  <c r="G27" i="55"/>
  <c r="AQ27" i="55"/>
  <c r="AS27" i="55"/>
  <c r="AR27" i="55"/>
  <c r="AQ6" i="48"/>
  <c r="H40" i="48"/>
  <c r="D47" i="48" s="1"/>
  <c r="G6" i="48"/>
  <c r="AR6" i="48"/>
  <c r="AR33" i="53"/>
  <c r="G33" i="53"/>
  <c r="AS33" i="53"/>
  <c r="AQ33" i="53"/>
  <c r="AR16" i="55"/>
  <c r="AQ16" i="55"/>
  <c r="AS16" i="55"/>
  <c r="G16" i="55"/>
  <c r="M40" i="55"/>
  <c r="G27" i="54"/>
  <c r="AS27" i="54"/>
  <c r="AR27" i="54"/>
  <c r="AQ27" i="54"/>
  <c r="AS16" i="50"/>
  <c r="G16" i="50"/>
  <c r="AQ16" i="50"/>
  <c r="AR16" i="50"/>
  <c r="AR21" i="48"/>
  <c r="G21" i="48"/>
  <c r="AQ21" i="48"/>
  <c r="AS21" i="48"/>
  <c r="AQ24" i="54"/>
  <c r="G24" i="54"/>
  <c r="AR24" i="54"/>
  <c r="AS24" i="54"/>
  <c r="U32" i="48"/>
  <c r="C32" i="48" s="1"/>
  <c r="AS21" i="46"/>
  <c r="G21" i="46"/>
  <c r="AQ21" i="46"/>
  <c r="AR21" i="46"/>
  <c r="AQ15" i="54"/>
  <c r="AS15" i="54"/>
  <c r="G15" i="54"/>
  <c r="AR15" i="54"/>
  <c r="AR24" i="53"/>
  <c r="AS24" i="53"/>
  <c r="G24" i="53"/>
  <c r="AQ24" i="53"/>
  <c r="AR16" i="53"/>
  <c r="AS16" i="53"/>
  <c r="G16" i="53"/>
  <c r="AQ16" i="53"/>
  <c r="K40" i="52"/>
  <c r="AQ37" i="48"/>
  <c r="AR37" i="48"/>
  <c r="G37" i="48"/>
  <c r="AS37" i="48"/>
  <c r="AQ18" i="56"/>
  <c r="AR18" i="56"/>
  <c r="AS18" i="56"/>
  <c r="AR25" i="55"/>
  <c r="G25" i="55"/>
  <c r="AS25" i="55"/>
  <c r="AQ25" i="55"/>
  <c r="AQ22" i="52"/>
  <c r="G22" i="52"/>
  <c r="AS22" i="52"/>
  <c r="AR22" i="52"/>
  <c r="G38" i="48"/>
  <c r="AS38" i="48"/>
  <c r="AQ38" i="48"/>
  <c r="AR38" i="48"/>
  <c r="G8" i="54"/>
  <c r="AR8" i="54"/>
  <c r="AQ8" i="54"/>
  <c r="AS8" i="54"/>
  <c r="AQ23" i="53"/>
  <c r="G23" i="53"/>
  <c r="AS23" i="53"/>
  <c r="AR23" i="53"/>
  <c r="AS34" i="53"/>
  <c r="G34" i="53"/>
  <c r="AQ34" i="53"/>
  <c r="AR34" i="53"/>
  <c r="K40" i="53"/>
  <c r="AQ12" i="52"/>
  <c r="G12" i="52"/>
  <c r="AR12" i="52"/>
  <c r="AS12" i="52"/>
  <c r="AR32" i="56"/>
  <c r="AS32" i="56"/>
  <c r="AQ32" i="56"/>
  <c r="AQ31" i="55"/>
  <c r="G31" i="55"/>
  <c r="AR31" i="55"/>
  <c r="AS31" i="55"/>
  <c r="AS38" i="54"/>
  <c r="G38" i="54"/>
  <c r="AQ38" i="54"/>
  <c r="AR38" i="54"/>
  <c r="G20" i="52"/>
  <c r="AR20" i="52"/>
  <c r="AQ20" i="52"/>
  <c r="AS20" i="52"/>
  <c r="K40" i="48"/>
  <c r="AR22" i="54"/>
  <c r="AS22" i="54"/>
  <c r="AQ22" i="54"/>
  <c r="G22" i="54"/>
  <c r="M40" i="54"/>
  <c r="AQ17" i="53"/>
  <c r="G17" i="53"/>
  <c r="AS17" i="53"/>
  <c r="AR17" i="53"/>
  <c r="AS15" i="52"/>
  <c r="G15" i="52"/>
  <c r="AQ15" i="52"/>
  <c r="AR15" i="52"/>
  <c r="M40" i="50"/>
  <c r="AR21" i="49"/>
  <c r="AQ21" i="49"/>
  <c r="AS21" i="49"/>
  <c r="G21" i="49"/>
  <c r="G9" i="49"/>
  <c r="AS9" i="49"/>
  <c r="AR9" i="49"/>
  <c r="AQ9" i="49"/>
  <c r="U33" i="48"/>
  <c r="C33" i="48" s="1"/>
  <c r="AQ31" i="56"/>
  <c r="AR31" i="56"/>
  <c r="AS31" i="56"/>
  <c r="AQ34" i="55"/>
  <c r="AS34" i="55"/>
  <c r="AR34" i="55"/>
  <c r="G34" i="55"/>
  <c r="AQ18" i="55"/>
  <c r="G18" i="55"/>
  <c r="AR18" i="55"/>
  <c r="AS18" i="55"/>
  <c r="O40" i="55"/>
  <c r="G16" i="49"/>
  <c r="AS16" i="49"/>
  <c r="AQ16" i="49"/>
  <c r="AR16" i="49"/>
  <c r="AS28" i="49"/>
  <c r="G28" i="49"/>
  <c r="AQ28" i="49"/>
  <c r="AR28" i="49"/>
  <c r="G37" i="55"/>
  <c r="AQ37" i="55"/>
  <c r="AR37" i="55"/>
  <c r="AS37" i="55"/>
  <c r="AQ21" i="55"/>
  <c r="G21" i="55"/>
  <c r="AS21" i="55"/>
  <c r="AR21" i="55"/>
  <c r="AS13" i="55"/>
  <c r="AR13" i="55"/>
  <c r="G13" i="55"/>
  <c r="AQ13" i="55"/>
  <c r="AS36" i="54"/>
  <c r="G36" i="54"/>
  <c r="AR36" i="54"/>
  <c r="AQ36" i="54"/>
  <c r="AQ27" i="48"/>
  <c r="G27" i="48"/>
  <c r="AS27" i="48"/>
  <c r="AR27" i="48"/>
  <c r="AQ17" i="56"/>
  <c r="AR17" i="56"/>
  <c r="AS17" i="56"/>
  <c r="G34" i="52"/>
  <c r="AS34" i="52"/>
  <c r="AQ34" i="52"/>
  <c r="AR34" i="52"/>
  <c r="AQ9" i="52"/>
  <c r="G9" i="52"/>
  <c r="AR9" i="52"/>
  <c r="AS9" i="52"/>
  <c r="AR35" i="49"/>
  <c r="AS35" i="49"/>
  <c r="G35" i="49"/>
  <c r="AQ35" i="49"/>
  <c r="AR28" i="48"/>
  <c r="G28" i="48"/>
  <c r="AQ28" i="48"/>
  <c r="AS28" i="48"/>
  <c r="G18" i="53"/>
  <c r="AS18" i="53"/>
  <c r="AQ18" i="53"/>
  <c r="AR18" i="53"/>
  <c r="AQ10" i="53"/>
  <c r="G10" i="53"/>
  <c r="AS10" i="53"/>
  <c r="AR10" i="53"/>
  <c r="O40" i="53"/>
  <c r="AQ33" i="52"/>
  <c r="AR33" i="52"/>
  <c r="G33" i="52"/>
  <c r="AS33" i="52"/>
  <c r="O40" i="49"/>
  <c r="AQ23" i="55"/>
  <c r="AR23" i="55"/>
  <c r="AS23" i="55"/>
  <c r="G23" i="55"/>
  <c r="G15" i="55"/>
  <c r="AS15" i="55"/>
  <c r="AQ15" i="55"/>
  <c r="AR15" i="55"/>
  <c r="AS34" i="54"/>
  <c r="AQ34" i="54"/>
  <c r="G34" i="54"/>
  <c r="AR34" i="54"/>
  <c r="G24" i="52"/>
  <c r="AQ24" i="52"/>
  <c r="AR24" i="52"/>
  <c r="AS24" i="52"/>
  <c r="AR7" i="48"/>
  <c r="AQ7" i="48"/>
  <c r="AS7" i="48"/>
  <c r="G7" i="48"/>
  <c r="AS35" i="54"/>
  <c r="G35" i="54"/>
  <c r="AQ35" i="54"/>
  <c r="AR35" i="54"/>
  <c r="AR6" i="54"/>
  <c r="AQ6" i="54"/>
  <c r="H40" i="54"/>
  <c r="D47" i="54" s="1"/>
  <c r="G6" i="54"/>
  <c r="G25" i="53"/>
  <c r="AQ25" i="53"/>
  <c r="AS25" i="53"/>
  <c r="AR25" i="53"/>
  <c r="AS9" i="53"/>
  <c r="AR9" i="53"/>
  <c r="G9" i="53"/>
  <c r="AQ9" i="53"/>
  <c r="AQ32" i="52"/>
  <c r="AR32" i="52"/>
  <c r="AS32" i="52"/>
  <c r="G32" i="52"/>
  <c r="AS34" i="50"/>
  <c r="AQ34" i="50"/>
  <c r="AR34" i="50"/>
  <c r="G34" i="50"/>
  <c r="U23" i="48"/>
  <c r="C23" i="48" s="1"/>
  <c r="AQ10" i="55"/>
  <c r="AS10" i="55"/>
  <c r="AR10" i="55"/>
  <c r="G10" i="55"/>
  <c r="K40" i="55"/>
  <c r="AQ19" i="52"/>
  <c r="AS19" i="52"/>
  <c r="G19" i="52"/>
  <c r="AR19" i="52"/>
  <c r="AQ36" i="55"/>
  <c r="AS36" i="55"/>
  <c r="AR36" i="55"/>
  <c r="G19" i="50"/>
  <c r="AR19" i="50"/>
  <c r="AS19" i="50"/>
  <c r="AQ19" i="50"/>
  <c r="AS8" i="53"/>
  <c r="G8" i="53"/>
  <c r="AQ8" i="53"/>
  <c r="AR8" i="53"/>
  <c r="AQ31" i="52"/>
  <c r="G31" i="52"/>
  <c r="AS31" i="52"/>
  <c r="AR31" i="52"/>
  <c r="H40" i="52"/>
  <c r="D47" i="52" s="1"/>
  <c r="G6" i="52"/>
  <c r="AQ6" i="52"/>
  <c r="AR6" i="52"/>
  <c r="G27" i="50"/>
  <c r="AQ27" i="50"/>
  <c r="AS27" i="50"/>
  <c r="AR27" i="50"/>
  <c r="AQ12" i="48"/>
  <c r="AS12" i="48"/>
  <c r="AR12" i="48"/>
  <c r="G12" i="48"/>
  <c r="AS25" i="56"/>
  <c r="AQ25" i="56"/>
  <c r="AR25" i="56"/>
  <c r="G8" i="55"/>
  <c r="AS8" i="55"/>
  <c r="AR8" i="55"/>
  <c r="AQ8" i="55"/>
  <c r="AQ24" i="48"/>
  <c r="AS24" i="48"/>
  <c r="G24" i="48"/>
  <c r="AR24" i="48"/>
  <c r="G32" i="55"/>
  <c r="AQ32" i="55"/>
  <c r="AS32" i="55"/>
  <c r="AR32" i="55"/>
  <c r="AS15" i="53"/>
  <c r="G15" i="53"/>
  <c r="AR15" i="53"/>
  <c r="AQ15" i="53"/>
  <c r="G26" i="52"/>
  <c r="AQ26" i="52"/>
  <c r="AS26" i="52"/>
  <c r="AR26" i="52"/>
  <c r="AQ19" i="49"/>
  <c r="G19" i="49"/>
  <c r="AR19" i="49"/>
  <c r="AS19" i="49"/>
  <c r="U25" i="48"/>
  <c r="C25" i="48" s="1"/>
  <c r="G8" i="52"/>
  <c r="AQ8" i="52"/>
  <c r="AS8" i="52"/>
  <c r="AR8" i="52"/>
  <c r="AR6" i="49"/>
  <c r="H40" i="49"/>
  <c r="D47" i="49" s="1"/>
  <c r="G6" i="49"/>
  <c r="AQ6" i="49"/>
  <c r="AS19" i="48"/>
  <c r="AR19" i="48"/>
  <c r="G19" i="48"/>
  <c r="AQ19" i="48"/>
  <c r="O40" i="48"/>
  <c r="U26" i="48"/>
  <c r="C26" i="48" s="1"/>
  <c r="AS21" i="53"/>
  <c r="G21" i="53"/>
  <c r="AR21" i="53"/>
  <c r="AQ21" i="53"/>
  <c r="AS28" i="52"/>
  <c r="AQ28" i="52"/>
  <c r="AR28" i="52"/>
  <c r="G28" i="52"/>
  <c r="AR11" i="52"/>
  <c r="AQ11" i="52"/>
  <c r="G11" i="52"/>
  <c r="AS11" i="52"/>
  <c r="G7" i="52"/>
  <c r="AQ7" i="52"/>
  <c r="AR7" i="52"/>
  <c r="AS7" i="52"/>
  <c r="O40" i="50"/>
  <c r="AQ23" i="52"/>
  <c r="AR23" i="52"/>
  <c r="G23" i="52"/>
  <c r="AS23" i="52"/>
  <c r="G22" i="48"/>
  <c r="AS22" i="48"/>
  <c r="AR22" i="48"/>
  <c r="AQ22" i="48"/>
  <c r="AR36" i="53"/>
  <c r="AQ36" i="53"/>
  <c r="AS36" i="53"/>
  <c r="G36" i="53"/>
  <c r="AS20" i="53"/>
  <c r="G20" i="53"/>
  <c r="AQ20" i="53"/>
  <c r="AR20" i="53"/>
  <c r="O40" i="52"/>
  <c r="G14" i="50"/>
  <c r="AS14" i="50"/>
  <c r="AR14" i="50"/>
  <c r="AQ14" i="50"/>
  <c r="U11" i="48"/>
  <c r="C11" i="48" s="1"/>
  <c r="AS22" i="56"/>
  <c r="AQ22" i="56"/>
  <c r="AR22" i="56"/>
  <c r="AS29" i="55"/>
  <c r="AR29" i="55"/>
  <c r="AQ29" i="55"/>
  <c r="G29" i="55"/>
  <c r="AS27" i="49"/>
  <c r="AQ27" i="49"/>
  <c r="G27" i="49"/>
  <c r="AR27" i="49"/>
  <c r="G7" i="53"/>
  <c r="AR7" i="53"/>
  <c r="AQ7" i="53"/>
  <c r="AS7" i="53"/>
  <c r="AQ14" i="48"/>
  <c r="G14" i="48"/>
  <c r="AR14" i="48"/>
  <c r="AS14" i="48"/>
  <c r="G26" i="53"/>
  <c r="AR26" i="53"/>
  <c r="AS26" i="53"/>
  <c r="AQ26" i="53"/>
  <c r="AS13" i="54"/>
  <c r="G13" i="54"/>
  <c r="AR13" i="54"/>
  <c r="AQ13" i="54"/>
  <c r="AQ7" i="54"/>
  <c r="G7" i="54"/>
  <c r="AS7" i="54"/>
  <c r="AR7" i="54"/>
  <c r="G37" i="52"/>
  <c r="AR37" i="52"/>
  <c r="AS37" i="52"/>
  <c r="AQ37" i="52"/>
  <c r="G26" i="49"/>
  <c r="AR26" i="49"/>
  <c r="AS26" i="49"/>
  <c r="AQ26" i="49"/>
  <c r="G14" i="49"/>
  <c r="AS14" i="49"/>
  <c r="AQ14" i="49"/>
  <c r="AR14" i="49"/>
  <c r="M40" i="49"/>
  <c r="AR30" i="48"/>
  <c r="G30" i="48"/>
  <c r="AQ30" i="48"/>
  <c r="AS30" i="48"/>
  <c r="AS7" i="55"/>
  <c r="G7" i="55"/>
  <c r="AR7" i="55"/>
  <c r="AQ7" i="55"/>
  <c r="M40" i="48"/>
  <c r="AQ38" i="50"/>
  <c r="AR38" i="50"/>
  <c r="AS38" i="50"/>
  <c r="G38" i="50"/>
  <c r="G28" i="50"/>
  <c r="AS28" i="50"/>
  <c r="AR28" i="50"/>
  <c r="AQ28" i="50"/>
  <c r="K40" i="50"/>
  <c r="AS29" i="49"/>
  <c r="G29" i="49"/>
  <c r="AR29" i="49"/>
  <c r="AQ29" i="49"/>
  <c r="AR17" i="49"/>
  <c r="AQ17" i="49"/>
  <c r="AS17" i="49"/>
  <c r="G17" i="49"/>
  <c r="AS35" i="48"/>
  <c r="G35" i="48"/>
  <c r="AR35" i="48"/>
  <c r="AQ35" i="48"/>
  <c r="AQ17" i="52"/>
  <c r="G17" i="52"/>
  <c r="AS17" i="52"/>
  <c r="AR17" i="52"/>
  <c r="AS26" i="55"/>
  <c r="G26" i="55"/>
  <c r="AQ26" i="55"/>
  <c r="AR26" i="55"/>
  <c r="M40" i="52"/>
  <c r="AQ14" i="56"/>
  <c r="AS14" i="56"/>
  <c r="AR14" i="56"/>
  <c r="AQ18" i="52"/>
  <c r="AS18" i="52"/>
  <c r="G18" i="52"/>
  <c r="AR18" i="52"/>
  <c r="AS10" i="50"/>
  <c r="G10" i="50"/>
  <c r="AQ10" i="50"/>
  <c r="AR10" i="50"/>
  <c r="AR35" i="53"/>
  <c r="AQ35" i="53"/>
  <c r="AS35" i="53"/>
  <c r="G35" i="53"/>
  <c r="AS27" i="53"/>
  <c r="AR27" i="53"/>
  <c r="AQ27" i="53"/>
  <c r="G27" i="53"/>
  <c r="AR19" i="53"/>
  <c r="G19" i="53"/>
  <c r="AQ19" i="53"/>
  <c r="AS19" i="53"/>
  <c r="G38" i="52"/>
  <c r="AR38" i="52"/>
  <c r="AS38" i="52"/>
  <c r="AQ38" i="52"/>
  <c r="AS31" i="49"/>
  <c r="G31" i="49"/>
  <c r="AQ31" i="49"/>
  <c r="AR31" i="49"/>
  <c r="AR13" i="56"/>
  <c r="AS13" i="56"/>
  <c r="AQ13" i="56"/>
  <c r="G12" i="55"/>
  <c r="AR12" i="55"/>
  <c r="AS12" i="55"/>
  <c r="AQ12" i="55"/>
  <c r="AS40" i="54" l="1"/>
  <c r="AS40" i="50"/>
  <c r="U11" i="52"/>
  <c r="C11" i="52" s="1"/>
  <c r="U6" i="49"/>
  <c r="G40" i="49"/>
  <c r="U32" i="55"/>
  <c r="C32" i="55" s="1"/>
  <c r="U36" i="54"/>
  <c r="C36" i="54" s="1"/>
  <c r="U21" i="49"/>
  <c r="C21" i="49" s="1"/>
  <c r="U15" i="52"/>
  <c r="C15" i="52" s="1"/>
  <c r="U20" i="52"/>
  <c r="C20" i="52" s="1"/>
  <c r="U12" i="52"/>
  <c r="C12" i="52" s="1"/>
  <c r="U34" i="53"/>
  <c r="C34" i="53" s="1"/>
  <c r="U22" i="52"/>
  <c r="C22" i="52" s="1"/>
  <c r="U24" i="53"/>
  <c r="C24" i="53" s="1"/>
  <c r="U14" i="54"/>
  <c r="C14" i="54" s="1"/>
  <c r="U6" i="50"/>
  <c r="G40" i="50"/>
  <c r="U7" i="49"/>
  <c r="C7" i="49" s="1"/>
  <c r="U31" i="53"/>
  <c r="C31" i="53" s="1"/>
  <c r="U33" i="56"/>
  <c r="C33" i="56" s="1"/>
  <c r="U17" i="55"/>
  <c r="C17" i="55" s="1"/>
  <c r="U32" i="53"/>
  <c r="C32" i="53" s="1"/>
  <c r="U38" i="53"/>
  <c r="C38" i="53" s="1"/>
  <c r="U30" i="53"/>
  <c r="C30" i="53" s="1"/>
  <c r="U36" i="50"/>
  <c r="C36" i="50" s="1"/>
  <c r="U29" i="53"/>
  <c r="C29" i="53" s="1"/>
  <c r="U17" i="48"/>
  <c r="C17" i="48" s="1"/>
  <c r="U8" i="48"/>
  <c r="C8" i="48" s="1"/>
  <c r="U12" i="55"/>
  <c r="C12" i="55" s="1"/>
  <c r="U27" i="50"/>
  <c r="C27" i="50" s="1"/>
  <c r="U8" i="53"/>
  <c r="C8" i="53" s="1"/>
  <c r="U10" i="55"/>
  <c r="C10" i="55" s="1"/>
  <c r="U6" i="54"/>
  <c r="G40" i="54"/>
  <c r="U35" i="54"/>
  <c r="C35" i="54" s="1"/>
  <c r="U34" i="54"/>
  <c r="C34" i="54" s="1"/>
  <c r="U15" i="55"/>
  <c r="C15" i="55" s="1"/>
  <c r="U33" i="52"/>
  <c r="C33" i="52" s="1"/>
  <c r="U34" i="52"/>
  <c r="C34" i="52" s="1"/>
  <c r="U37" i="55"/>
  <c r="C37" i="55" s="1"/>
  <c r="U37" i="48"/>
  <c r="C37" i="48" s="1"/>
  <c r="U16" i="53"/>
  <c r="C16" i="53" s="1"/>
  <c r="U21" i="48"/>
  <c r="C21" i="48" s="1"/>
  <c r="U16" i="55"/>
  <c r="C16" i="55" s="1"/>
  <c r="AQ40" i="48"/>
  <c r="U22" i="53"/>
  <c r="C22" i="53" s="1"/>
  <c r="U35" i="52"/>
  <c r="C35" i="52" s="1"/>
  <c r="AR40" i="50"/>
  <c r="U37" i="53"/>
  <c r="C37" i="53" s="1"/>
  <c r="U38" i="55"/>
  <c r="C38" i="55" s="1"/>
  <c r="AR40" i="53"/>
  <c r="U13" i="53"/>
  <c r="C13" i="53" s="1"/>
  <c r="U19" i="55"/>
  <c r="C19" i="55" s="1"/>
  <c r="U29" i="56"/>
  <c r="C29" i="56" s="1"/>
  <c r="U13" i="52"/>
  <c r="C13" i="52" s="1"/>
  <c r="U29" i="54"/>
  <c r="C29" i="54" s="1"/>
  <c r="U21" i="54"/>
  <c r="C21" i="54" s="1"/>
  <c r="U15" i="48"/>
  <c r="C15" i="48" s="1"/>
  <c r="AS40" i="53"/>
  <c r="U22" i="56"/>
  <c r="C22" i="56" s="1"/>
  <c r="AS40" i="52"/>
  <c r="AS40" i="55"/>
  <c r="U37" i="52"/>
  <c r="C37" i="52" s="1"/>
  <c r="U13" i="54"/>
  <c r="C13" i="54" s="1"/>
  <c r="U20" i="53"/>
  <c r="C20" i="53" s="1"/>
  <c r="AR40" i="49"/>
  <c r="U8" i="52"/>
  <c r="C8" i="52" s="1"/>
  <c r="U15" i="53"/>
  <c r="C15" i="53" s="1"/>
  <c r="U19" i="50"/>
  <c r="C19" i="50" s="1"/>
  <c r="U19" i="52"/>
  <c r="C19" i="52" s="1"/>
  <c r="U18" i="53"/>
  <c r="C18" i="53" s="1"/>
  <c r="U9" i="52"/>
  <c r="C9" i="52" s="1"/>
  <c r="U21" i="55"/>
  <c r="C21" i="55" s="1"/>
  <c r="U31" i="56"/>
  <c r="C31" i="56" s="1"/>
  <c r="U32" i="56"/>
  <c r="C32" i="56" s="1"/>
  <c r="U22" i="55"/>
  <c r="C22" i="55" s="1"/>
  <c r="U21" i="52"/>
  <c r="C21" i="52" s="1"/>
  <c r="U9" i="55"/>
  <c r="C9" i="55" s="1"/>
  <c r="U36" i="49"/>
  <c r="C36" i="49" s="1"/>
  <c r="U14" i="52"/>
  <c r="C14" i="52" s="1"/>
  <c r="U22" i="49"/>
  <c r="C22" i="49" s="1"/>
  <c r="U6" i="53"/>
  <c r="G40" i="53"/>
  <c r="U14" i="55"/>
  <c r="C14" i="55" s="1"/>
  <c r="U37" i="49"/>
  <c r="C37" i="49" s="1"/>
  <c r="U26" i="55"/>
  <c r="C26" i="55" s="1"/>
  <c r="U18" i="52"/>
  <c r="C18" i="52" s="1"/>
  <c r="U35" i="48"/>
  <c r="C35" i="48" s="1"/>
  <c r="U26" i="49"/>
  <c r="C26" i="49" s="1"/>
  <c r="U23" i="52"/>
  <c r="C23" i="52" s="1"/>
  <c r="AR40" i="52"/>
  <c r="U31" i="52"/>
  <c r="C31" i="52" s="1"/>
  <c r="AQ40" i="54"/>
  <c r="U23" i="55"/>
  <c r="C23" i="55" s="1"/>
  <c r="U27" i="48"/>
  <c r="C27" i="48" s="1"/>
  <c r="U31" i="55"/>
  <c r="C31" i="55" s="1"/>
  <c r="U38" i="48"/>
  <c r="C38" i="48" s="1"/>
  <c r="U33" i="53"/>
  <c r="C33" i="53" s="1"/>
  <c r="U38" i="49"/>
  <c r="C38" i="49" s="1"/>
  <c r="U15" i="50"/>
  <c r="C15" i="50" s="1"/>
  <c r="AR40" i="55"/>
  <c r="AQ40" i="53"/>
  <c r="U11" i="55"/>
  <c r="C11" i="55" s="1"/>
  <c r="U13" i="49"/>
  <c r="C13" i="49" s="1"/>
  <c r="U34" i="49"/>
  <c r="C34" i="49" s="1"/>
  <c r="U11" i="53"/>
  <c r="C11" i="53" s="1"/>
  <c r="U37" i="54"/>
  <c r="C37" i="54" s="1"/>
  <c r="U19" i="53"/>
  <c r="C19" i="53" s="1"/>
  <c r="U35" i="53"/>
  <c r="C35" i="53" s="1"/>
  <c r="U7" i="53"/>
  <c r="C7" i="53" s="1"/>
  <c r="U29" i="55"/>
  <c r="C29" i="55" s="1"/>
  <c r="U14" i="50"/>
  <c r="C14" i="50" s="1"/>
  <c r="U7" i="52"/>
  <c r="C7" i="52" s="1"/>
  <c r="U19" i="48"/>
  <c r="C19" i="48" s="1"/>
  <c r="U24" i="48"/>
  <c r="C24" i="48" s="1"/>
  <c r="U25" i="56"/>
  <c r="C25" i="56" s="1"/>
  <c r="AQ40" i="52"/>
  <c r="U36" i="55"/>
  <c r="C36" i="55" s="1"/>
  <c r="U9" i="53"/>
  <c r="C9" i="53" s="1"/>
  <c r="AR40" i="54"/>
  <c r="U7" i="48"/>
  <c r="C7" i="48" s="1"/>
  <c r="U10" i="53"/>
  <c r="C10" i="53" s="1"/>
  <c r="U35" i="49"/>
  <c r="C35" i="49" s="1"/>
  <c r="U13" i="55"/>
  <c r="C13" i="55" s="1"/>
  <c r="U18" i="55"/>
  <c r="C18" i="55" s="1"/>
  <c r="U22" i="54"/>
  <c r="C22" i="54" s="1"/>
  <c r="U28" i="55"/>
  <c r="C28" i="55" s="1"/>
  <c r="U37" i="50"/>
  <c r="C37" i="50" s="1"/>
  <c r="U36" i="52"/>
  <c r="C36" i="52" s="1"/>
  <c r="G40" i="55"/>
  <c r="U6" i="55"/>
  <c r="U13" i="50"/>
  <c r="C13" i="50" s="1"/>
  <c r="U28" i="54"/>
  <c r="C28" i="54" s="1"/>
  <c r="U35" i="55"/>
  <c r="C35" i="55" s="1"/>
  <c r="U24" i="55"/>
  <c r="C24" i="55" s="1"/>
  <c r="U38" i="56"/>
  <c r="C38" i="56" s="1"/>
  <c r="U30" i="52"/>
  <c r="C30" i="52" s="1"/>
  <c r="U6" i="56"/>
  <c r="U8" i="49"/>
  <c r="C8" i="49" s="1"/>
  <c r="U12" i="53"/>
  <c r="C12" i="53" s="1"/>
  <c r="U35" i="56"/>
  <c r="C35" i="56" s="1"/>
  <c r="U38" i="50"/>
  <c r="C38" i="50" s="1"/>
  <c r="U7" i="55"/>
  <c r="C7" i="55" s="1"/>
  <c r="U26" i="53"/>
  <c r="C26" i="53" s="1"/>
  <c r="U22" i="48"/>
  <c r="C22" i="48" s="1"/>
  <c r="U38" i="52"/>
  <c r="C38" i="52" s="1"/>
  <c r="U27" i="53"/>
  <c r="C27" i="53" s="1"/>
  <c r="U14" i="56"/>
  <c r="C14" i="56" s="1"/>
  <c r="U31" i="49"/>
  <c r="C31" i="49" s="1"/>
  <c r="U13" i="56"/>
  <c r="C13" i="56" s="1"/>
  <c r="U17" i="52"/>
  <c r="C17" i="52" s="1"/>
  <c r="U28" i="50"/>
  <c r="C28" i="50" s="1"/>
  <c r="U7" i="54"/>
  <c r="C7" i="54" s="1"/>
  <c r="U14" i="48"/>
  <c r="C14" i="48" s="1"/>
  <c r="U28" i="52"/>
  <c r="C28" i="52" s="1"/>
  <c r="U21" i="53"/>
  <c r="C21" i="53" s="1"/>
  <c r="U26" i="52"/>
  <c r="C26" i="52" s="1"/>
  <c r="U6" i="52"/>
  <c r="G40" i="52"/>
  <c r="U32" i="52"/>
  <c r="C32" i="52" s="1"/>
  <c r="AS40" i="48"/>
  <c r="U17" i="56"/>
  <c r="C17" i="56" s="1"/>
  <c r="U9" i="49"/>
  <c r="C9" i="49" s="1"/>
  <c r="U38" i="54"/>
  <c r="C38" i="54" s="1"/>
  <c r="U8" i="54"/>
  <c r="C8" i="54" s="1"/>
  <c r="U18" i="56"/>
  <c r="C18" i="56" s="1"/>
  <c r="U36" i="48"/>
  <c r="C36" i="48" s="1"/>
  <c r="U33" i="55"/>
  <c r="C33" i="55" s="1"/>
  <c r="AQ40" i="55"/>
  <c r="U27" i="52"/>
  <c r="C27" i="52" s="1"/>
  <c r="U22" i="50"/>
  <c r="C22" i="50" s="1"/>
  <c r="U30" i="55"/>
  <c r="C30" i="55" s="1"/>
  <c r="U16" i="48"/>
  <c r="C16" i="48" s="1"/>
  <c r="U29" i="50"/>
  <c r="C29" i="50" s="1"/>
  <c r="H8" i="47"/>
  <c r="O8" i="47"/>
  <c r="M8" i="47"/>
  <c r="K8" i="47"/>
  <c r="U10" i="50"/>
  <c r="C10" i="50" s="1"/>
  <c r="U17" i="49"/>
  <c r="C17" i="49" s="1"/>
  <c r="U29" i="49"/>
  <c r="C29" i="49" s="1"/>
  <c r="U30" i="48"/>
  <c r="C30" i="48" s="1"/>
  <c r="U14" i="49"/>
  <c r="C14" i="49" s="1"/>
  <c r="U8" i="55"/>
  <c r="C8" i="55" s="1"/>
  <c r="U25" i="53"/>
  <c r="C25" i="53" s="1"/>
  <c r="U24" i="52"/>
  <c r="C24" i="52" s="1"/>
  <c r="U16" i="49"/>
  <c r="C16" i="49" s="1"/>
  <c r="U23" i="53"/>
  <c r="C23" i="53" s="1"/>
  <c r="U25" i="55"/>
  <c r="C25" i="55" s="1"/>
  <c r="U21" i="46"/>
  <c r="C21" i="46" s="1"/>
  <c r="U24" i="54"/>
  <c r="C24" i="54" s="1"/>
  <c r="U27" i="54"/>
  <c r="C27" i="54" s="1"/>
  <c r="AR40" i="48"/>
  <c r="U28" i="53"/>
  <c r="C28" i="53" s="1"/>
  <c r="AS40" i="49"/>
  <c r="U35" i="50"/>
  <c r="C35" i="50" s="1"/>
  <c r="U14" i="53"/>
  <c r="C14" i="53" s="1"/>
  <c r="U27" i="49"/>
  <c r="C27" i="49" s="1"/>
  <c r="U36" i="53"/>
  <c r="C36" i="53" s="1"/>
  <c r="AQ40" i="49"/>
  <c r="U19" i="49"/>
  <c r="C19" i="49" s="1"/>
  <c r="U12" i="48"/>
  <c r="C12" i="48" s="1"/>
  <c r="U34" i="50"/>
  <c r="C34" i="50" s="1"/>
  <c r="U28" i="48"/>
  <c r="C28" i="48" s="1"/>
  <c r="U28" i="49"/>
  <c r="C28" i="49" s="1"/>
  <c r="U34" i="55"/>
  <c r="C34" i="55" s="1"/>
  <c r="U17" i="53"/>
  <c r="C17" i="53" s="1"/>
  <c r="U15" i="54"/>
  <c r="C15" i="54" s="1"/>
  <c r="U16" i="50"/>
  <c r="C16" i="50" s="1"/>
  <c r="U6" i="48"/>
  <c r="G40" i="48"/>
  <c r="U27" i="55"/>
  <c r="C27" i="55" s="1"/>
  <c r="AQ40" i="50"/>
  <c r="U13" i="48"/>
  <c r="C13" i="48" s="1"/>
  <c r="U27" i="56"/>
  <c r="C27" i="56" s="1"/>
  <c r="U20" i="55"/>
  <c r="C20" i="55" s="1"/>
  <c r="U34" i="48"/>
  <c r="C34" i="48" s="1"/>
  <c r="U30" i="49"/>
  <c r="C30" i="49" s="1"/>
  <c r="U28" i="56"/>
  <c r="C28" i="56" s="1"/>
  <c r="U29" i="52"/>
  <c r="C29" i="52" s="1"/>
  <c r="U15" i="49"/>
  <c r="C15" i="49" s="1"/>
  <c r="U19" i="54"/>
  <c r="C19" i="54" s="1"/>
  <c r="U10" i="52"/>
  <c r="C10" i="52" s="1"/>
  <c r="U23" i="50"/>
  <c r="C23" i="50" s="1"/>
  <c r="U40" i="49" l="1"/>
  <c r="C6" i="49"/>
  <c r="C40" i="49" s="1"/>
  <c r="O18" i="47"/>
  <c r="H18" i="47"/>
  <c r="M18" i="47"/>
  <c r="K18" i="47"/>
  <c r="G8" i="47"/>
  <c r="AQ8" i="47"/>
  <c r="AR8" i="47"/>
  <c r="AS8" i="47"/>
  <c r="U40" i="55"/>
  <c r="C6" i="55"/>
  <c r="C40" i="55" s="1"/>
  <c r="K24" i="47"/>
  <c r="O24" i="47"/>
  <c r="M24" i="47"/>
  <c r="H24" i="47"/>
  <c r="O10" i="47"/>
  <c r="H10" i="47"/>
  <c r="K10" i="47"/>
  <c r="M10" i="47"/>
  <c r="U40" i="52"/>
  <c r="C6" i="52"/>
  <c r="C40" i="52" s="1"/>
  <c r="U40" i="54"/>
  <c r="C6" i="54"/>
  <c r="C40" i="54" s="1"/>
  <c r="K20" i="47"/>
  <c r="O20" i="47"/>
  <c r="M20" i="47"/>
  <c r="H20" i="47"/>
  <c r="U40" i="53"/>
  <c r="C6" i="53"/>
  <c r="C40" i="53" s="1"/>
  <c r="H12" i="47"/>
  <c r="M12" i="47"/>
  <c r="O12" i="47"/>
  <c r="K12" i="47"/>
  <c r="H29" i="47"/>
  <c r="K29" i="47"/>
  <c r="O29" i="47"/>
  <c r="M29" i="47"/>
  <c r="C6" i="56"/>
  <c r="U40" i="48"/>
  <c r="C6" i="48"/>
  <c r="C40" i="48" s="1"/>
  <c r="U40" i="50"/>
  <c r="C6" i="50"/>
  <c r="C40" i="50" s="1"/>
  <c r="K25" i="47"/>
  <c r="O25" i="47"/>
  <c r="M25" i="47"/>
  <c r="H25" i="47"/>
  <c r="K34" i="47"/>
  <c r="O34" i="47"/>
  <c r="M34" i="47"/>
  <c r="H34" i="47"/>
  <c r="G25" i="47" l="1"/>
  <c r="AQ25" i="47"/>
  <c r="AS25" i="47"/>
  <c r="AR25" i="47"/>
  <c r="H32" i="47"/>
  <c r="M32" i="47"/>
  <c r="K32" i="47"/>
  <c r="O32" i="47"/>
  <c r="H19" i="47"/>
  <c r="K19" i="47"/>
  <c r="M19" i="47"/>
  <c r="O19" i="47"/>
  <c r="O7" i="47"/>
  <c r="H7" i="47"/>
  <c r="K7" i="47"/>
  <c r="M7" i="47"/>
  <c r="H30" i="47"/>
  <c r="K30" i="47"/>
  <c r="O30" i="47"/>
  <c r="M30" i="47"/>
  <c r="K17" i="47"/>
  <c r="H17" i="47"/>
  <c r="M17" i="47"/>
  <c r="O17" i="47"/>
  <c r="K31" i="47"/>
  <c r="H31" i="47"/>
  <c r="M31" i="47"/>
  <c r="O31" i="47"/>
  <c r="G10" i="47"/>
  <c r="AR10" i="47"/>
  <c r="AS10" i="47"/>
  <c r="AQ10" i="47"/>
  <c r="H9" i="47"/>
  <c r="O9" i="47"/>
  <c r="K9" i="47"/>
  <c r="M9" i="47"/>
  <c r="O16" i="47"/>
  <c r="K16" i="47"/>
  <c r="H16" i="47"/>
  <c r="M16" i="47"/>
  <c r="K33" i="47"/>
  <c r="M33" i="47"/>
  <c r="H33" i="47"/>
  <c r="O33" i="47"/>
  <c r="AR29" i="47"/>
  <c r="G29" i="47"/>
  <c r="AS29" i="47"/>
  <c r="AQ29" i="47"/>
  <c r="G18" i="47"/>
  <c r="AS18" i="47"/>
  <c r="AR18" i="47"/>
  <c r="AQ18" i="47"/>
  <c r="M28" i="47"/>
  <c r="O28" i="47"/>
  <c r="H28" i="47"/>
  <c r="K28" i="47"/>
  <c r="K27" i="47"/>
  <c r="O27" i="47"/>
  <c r="M27" i="47"/>
  <c r="H27" i="47"/>
  <c r="H15" i="47"/>
  <c r="O15" i="47"/>
  <c r="M15" i="47"/>
  <c r="K15" i="47"/>
  <c r="AS34" i="47"/>
  <c r="AR34" i="47"/>
  <c r="G34" i="47"/>
  <c r="AQ34" i="47"/>
  <c r="K35" i="47"/>
  <c r="M35" i="47"/>
  <c r="H35" i="47"/>
  <c r="O35" i="47"/>
  <c r="O38" i="47"/>
  <c r="M38" i="47"/>
  <c r="K38" i="47"/>
  <c r="H38" i="47"/>
  <c r="M26" i="47"/>
  <c r="H26" i="47"/>
  <c r="O26" i="47"/>
  <c r="K26" i="47"/>
  <c r="M14" i="47"/>
  <c r="O14" i="47"/>
  <c r="H14" i="47"/>
  <c r="K14" i="47"/>
  <c r="U8" i="47"/>
  <c r="C8" i="47" s="1"/>
  <c r="K21" i="47"/>
  <c r="O21" i="47"/>
  <c r="H21" i="47"/>
  <c r="M21" i="47"/>
  <c r="M37" i="47"/>
  <c r="K37" i="47"/>
  <c r="H37" i="47"/>
  <c r="O37" i="47"/>
  <c r="K23" i="47"/>
  <c r="M23" i="47"/>
  <c r="H23" i="47"/>
  <c r="O23" i="47"/>
  <c r="M13" i="47"/>
  <c r="O13" i="47"/>
  <c r="K13" i="47"/>
  <c r="H13" i="47"/>
  <c r="AR24" i="47"/>
  <c r="AQ24" i="47"/>
  <c r="G24" i="47"/>
  <c r="AS24" i="47"/>
  <c r="H36" i="47"/>
  <c r="O36" i="47"/>
  <c r="M36" i="47"/>
  <c r="K36" i="47"/>
  <c r="K22" i="47"/>
  <c r="M22" i="47"/>
  <c r="O22" i="47"/>
  <c r="H22" i="47"/>
  <c r="M11" i="47"/>
  <c r="K11" i="47"/>
  <c r="H11" i="47"/>
  <c r="O11" i="47"/>
  <c r="AQ12" i="47"/>
  <c r="AR12" i="47"/>
  <c r="G12" i="47"/>
  <c r="AS12" i="47"/>
  <c r="AR20" i="47"/>
  <c r="AS20" i="47"/>
  <c r="G20" i="47"/>
  <c r="AQ20" i="47"/>
  <c r="U12" i="47" l="1"/>
  <c r="C12" i="47" s="1"/>
  <c r="AQ38" i="47"/>
  <c r="AR38" i="47"/>
  <c r="AS38" i="47"/>
  <c r="G38" i="47"/>
  <c r="G13" i="47"/>
  <c r="AS13" i="47"/>
  <c r="AR13" i="47"/>
  <c r="AQ13" i="47"/>
  <c r="AR30" i="47"/>
  <c r="AS30" i="47"/>
  <c r="AQ30" i="47"/>
  <c r="G30" i="47"/>
  <c r="AS31" i="47"/>
  <c r="AQ31" i="47"/>
  <c r="G31" i="47"/>
  <c r="AR31" i="47"/>
  <c r="AS32" i="47"/>
  <c r="G32" i="47"/>
  <c r="AQ32" i="47"/>
  <c r="AR32" i="47"/>
  <c r="G14" i="47"/>
  <c r="AS14" i="47"/>
  <c r="AR14" i="47"/>
  <c r="AQ14" i="47"/>
  <c r="U24" i="47"/>
  <c r="C24" i="47" s="1"/>
  <c r="AS37" i="47"/>
  <c r="AQ37" i="47"/>
  <c r="G37" i="47"/>
  <c r="AR37" i="47"/>
  <c r="AQ28" i="47"/>
  <c r="AS28" i="47"/>
  <c r="G28" i="47"/>
  <c r="AR28" i="47"/>
  <c r="G33" i="47"/>
  <c r="AS33" i="47"/>
  <c r="AQ33" i="47"/>
  <c r="AR33" i="47"/>
  <c r="AQ22" i="47"/>
  <c r="AR22" i="47"/>
  <c r="G22" i="47"/>
  <c r="AS22" i="47"/>
  <c r="U29" i="47"/>
  <c r="C29" i="47" s="1"/>
  <c r="AQ11" i="47"/>
  <c r="AR11" i="47"/>
  <c r="G11" i="47"/>
  <c r="AS11" i="47"/>
  <c r="AS15" i="47"/>
  <c r="AR15" i="47"/>
  <c r="G15" i="47"/>
  <c r="AQ15" i="47"/>
  <c r="U18" i="47"/>
  <c r="C18" i="47" s="1"/>
  <c r="G17" i="47"/>
  <c r="AS17" i="47"/>
  <c r="AQ17" i="47"/>
  <c r="AR17" i="47"/>
  <c r="AR19" i="47"/>
  <c r="G19" i="47"/>
  <c r="AS19" i="47"/>
  <c r="AQ19" i="47"/>
  <c r="U34" i="47"/>
  <c r="C34" i="47" s="1"/>
  <c r="AQ27" i="47"/>
  <c r="G27" i="47"/>
  <c r="AR27" i="47"/>
  <c r="AS27" i="47"/>
  <c r="H6" i="47"/>
  <c r="D40" i="47"/>
  <c r="O6" i="47"/>
  <c r="O40" i="47" s="1"/>
  <c r="K6" i="47"/>
  <c r="K40" i="47" s="1"/>
  <c r="M6" i="47"/>
  <c r="M40" i="47" s="1"/>
  <c r="AQ35" i="47"/>
  <c r="AR35" i="47"/>
  <c r="G35" i="47"/>
  <c r="AS35" i="47"/>
  <c r="U20" i="47"/>
  <c r="C20" i="47" s="1"/>
  <c r="AR36" i="47"/>
  <c r="G36" i="47"/>
  <c r="AS36" i="47"/>
  <c r="AQ36" i="47"/>
  <c r="AQ23" i="47"/>
  <c r="AS23" i="47"/>
  <c r="AR23" i="47"/>
  <c r="G23" i="47"/>
  <c r="G21" i="47"/>
  <c r="AR21" i="47"/>
  <c r="AQ21" i="47"/>
  <c r="AS21" i="47"/>
  <c r="AQ26" i="47"/>
  <c r="AR26" i="47"/>
  <c r="G26" i="47"/>
  <c r="AS26" i="47"/>
  <c r="G16" i="47"/>
  <c r="AR16" i="47"/>
  <c r="AQ16" i="47"/>
  <c r="AS16" i="47"/>
  <c r="U10" i="47"/>
  <c r="C10" i="47" s="1"/>
  <c r="U25" i="47"/>
  <c r="C25" i="47" s="1"/>
  <c r="AQ9" i="47"/>
  <c r="AR9" i="47"/>
  <c r="AS9" i="47"/>
  <c r="G9" i="47"/>
  <c r="AQ7" i="47"/>
  <c r="AS7" i="47"/>
  <c r="AR7" i="47"/>
  <c r="G7" i="47"/>
  <c r="H40" i="47" l="1"/>
  <c r="D47" i="47" s="1"/>
  <c r="G6" i="47"/>
  <c r="AQ6" i="47"/>
  <c r="AR6" i="47"/>
  <c r="U15" i="47"/>
  <c r="C15" i="47" s="1"/>
  <c r="U38" i="47"/>
  <c r="C38" i="47" s="1"/>
  <c r="U31" i="47"/>
  <c r="C31" i="47" s="1"/>
  <c r="U9" i="47"/>
  <c r="C9" i="47" s="1"/>
  <c r="U17" i="47"/>
  <c r="C17" i="47" s="1"/>
  <c r="U16" i="47"/>
  <c r="C16" i="47" s="1"/>
  <c r="U7" i="47"/>
  <c r="C7" i="47" s="1"/>
  <c r="U22" i="47"/>
  <c r="C22" i="47" s="1"/>
  <c r="U33" i="47"/>
  <c r="C33" i="47" s="1"/>
  <c r="U32" i="47"/>
  <c r="C32" i="47" s="1"/>
  <c r="U19" i="47"/>
  <c r="C19" i="47" s="1"/>
  <c r="AS40" i="47"/>
  <c r="U21" i="47"/>
  <c r="C21" i="47" s="1"/>
  <c r="U27" i="47"/>
  <c r="C27" i="47" s="1"/>
  <c r="U37" i="47"/>
  <c r="C37" i="47" s="1"/>
  <c r="U30" i="47"/>
  <c r="C30" i="47" s="1"/>
  <c r="U26" i="47"/>
  <c r="C26" i="47" s="1"/>
  <c r="U13" i="47"/>
  <c r="C13" i="47" s="1"/>
  <c r="U23" i="47"/>
  <c r="C23" i="47" s="1"/>
  <c r="U36" i="47"/>
  <c r="C36" i="47" s="1"/>
  <c r="U35" i="47"/>
  <c r="C35" i="47" s="1"/>
  <c r="U11" i="47"/>
  <c r="C11" i="47" s="1"/>
  <c r="U28" i="47"/>
  <c r="C28" i="47" s="1"/>
  <c r="U14" i="47"/>
  <c r="C14" i="47" s="1"/>
  <c r="AR40" i="47" l="1"/>
  <c r="AQ40" i="47"/>
  <c r="O20" i="46"/>
  <c r="H20" i="46"/>
  <c r="M20" i="46"/>
  <c r="K20" i="46"/>
  <c r="K11" i="46"/>
  <c r="M11" i="46"/>
  <c r="H11" i="46"/>
  <c r="O11" i="46"/>
  <c r="G40" i="47"/>
  <c r="U6" i="47"/>
  <c r="K25" i="46" l="1"/>
  <c r="M25" i="46"/>
  <c r="O25" i="46"/>
  <c r="H25" i="46"/>
  <c r="G20" i="46"/>
  <c r="AS20" i="46"/>
  <c r="AQ20" i="46"/>
  <c r="AR20" i="46"/>
  <c r="H8" i="46"/>
  <c r="K8" i="46"/>
  <c r="O8" i="46"/>
  <c r="M8" i="46"/>
  <c r="H24" i="46"/>
  <c r="O24" i="46"/>
  <c r="K24" i="46"/>
  <c r="M24" i="46"/>
  <c r="U40" i="47"/>
  <c r="C6" i="47"/>
  <c r="C40" i="47" s="1"/>
  <c r="AQ11" i="46"/>
  <c r="G11" i="46"/>
  <c r="AR11" i="46"/>
  <c r="AS11" i="46"/>
  <c r="U11" i="46" l="1"/>
  <c r="C11" i="46" s="1"/>
  <c r="M17" i="46"/>
  <c r="K17" i="46"/>
  <c r="H17" i="46"/>
  <c r="O17" i="46"/>
  <c r="D33" i="57"/>
  <c r="K33" i="45"/>
  <c r="M33" i="45"/>
  <c r="O33" i="45"/>
  <c r="H33" i="45"/>
  <c r="M33" i="46"/>
  <c r="O33" i="46"/>
  <c r="K33" i="46"/>
  <c r="H33" i="46"/>
  <c r="AS24" i="46"/>
  <c r="AQ24" i="46"/>
  <c r="AR24" i="46"/>
  <c r="G24" i="46"/>
  <c r="K31" i="46"/>
  <c r="O31" i="46"/>
  <c r="M31" i="46"/>
  <c r="H31" i="46"/>
  <c r="U20" i="46"/>
  <c r="C20" i="46" s="1"/>
  <c r="O18" i="46"/>
  <c r="M18" i="46"/>
  <c r="K18" i="46"/>
  <c r="H18" i="46"/>
  <c r="AS8" i="46"/>
  <c r="G8" i="46"/>
  <c r="AQ8" i="46"/>
  <c r="AR8" i="46"/>
  <c r="AR25" i="46"/>
  <c r="AS25" i="46"/>
  <c r="G25" i="46"/>
  <c r="AQ25" i="46"/>
  <c r="H29" i="45"/>
  <c r="K29" i="45"/>
  <c r="M29" i="45"/>
  <c r="O29" i="45"/>
  <c r="D29" i="57"/>
  <c r="K29" i="57" l="1"/>
  <c r="AS29" i="57" s="1"/>
  <c r="O29" i="57"/>
  <c r="M29" i="57"/>
  <c r="M22" i="46"/>
  <c r="H22" i="46"/>
  <c r="K22" i="46"/>
  <c r="O22" i="46"/>
  <c r="U24" i="46"/>
  <c r="C24" i="46" s="1"/>
  <c r="O16" i="46"/>
  <c r="M16" i="46"/>
  <c r="H16" i="46"/>
  <c r="K16" i="46"/>
  <c r="O32" i="46"/>
  <c r="H32" i="46"/>
  <c r="K32" i="46"/>
  <c r="M32" i="46"/>
  <c r="U8" i="46"/>
  <c r="C8" i="46" s="1"/>
  <c r="AS33" i="46"/>
  <c r="G33" i="46"/>
  <c r="AQ33" i="46"/>
  <c r="AR33" i="46"/>
  <c r="M33" i="57"/>
  <c r="O33" i="57"/>
  <c r="K33" i="57"/>
  <c r="AS33" i="57" s="1"/>
  <c r="O36" i="46"/>
  <c r="K36" i="46"/>
  <c r="H36" i="46"/>
  <c r="M36" i="46"/>
  <c r="K23" i="46"/>
  <c r="H23" i="46"/>
  <c r="O23" i="46"/>
  <c r="M23" i="46"/>
  <c r="O37" i="46"/>
  <c r="H37" i="46"/>
  <c r="K37" i="46"/>
  <c r="M37" i="46"/>
  <c r="O27" i="46"/>
  <c r="M27" i="46"/>
  <c r="H27" i="46"/>
  <c r="K27" i="46"/>
  <c r="M12" i="46"/>
  <c r="K12" i="46"/>
  <c r="H12" i="46"/>
  <c r="O12" i="46"/>
  <c r="K28" i="46"/>
  <c r="H28" i="46"/>
  <c r="M28" i="46"/>
  <c r="O28" i="46"/>
  <c r="U25" i="46"/>
  <c r="C25" i="46" s="1"/>
  <c r="H13" i="46"/>
  <c r="M13" i="46"/>
  <c r="K13" i="46"/>
  <c r="O13" i="46"/>
  <c r="AS31" i="46"/>
  <c r="AR31" i="46"/>
  <c r="G31" i="46"/>
  <c r="AQ31" i="46"/>
  <c r="AR17" i="46"/>
  <c r="AS17" i="46"/>
  <c r="AQ17" i="46"/>
  <c r="G17" i="46"/>
  <c r="K29" i="46"/>
  <c r="O29" i="46"/>
  <c r="H29" i="46"/>
  <c r="M29" i="46"/>
  <c r="H34" i="46"/>
  <c r="O34" i="46"/>
  <c r="K34" i="46"/>
  <c r="M34" i="46"/>
  <c r="M38" i="46"/>
  <c r="K38" i="46"/>
  <c r="H38" i="46"/>
  <c r="O38" i="46"/>
  <c r="D40" i="46"/>
  <c r="O6" i="46"/>
  <c r="M6" i="46"/>
  <c r="H6" i="46"/>
  <c r="K6" i="46"/>
  <c r="O9" i="46"/>
  <c r="H9" i="46"/>
  <c r="M9" i="46"/>
  <c r="K9" i="46"/>
  <c r="M14" i="46"/>
  <c r="K14" i="46"/>
  <c r="O14" i="46"/>
  <c r="H14" i="46"/>
  <c r="H19" i="46"/>
  <c r="O19" i="46"/>
  <c r="M19" i="46"/>
  <c r="K19" i="46"/>
  <c r="G18" i="46"/>
  <c r="AQ18" i="46"/>
  <c r="AS18" i="46"/>
  <c r="AR18" i="46"/>
  <c r="G33" i="45"/>
  <c r="AS33" i="45"/>
  <c r="AQ33" i="45"/>
  <c r="AR33" i="45"/>
  <c r="O26" i="46"/>
  <c r="M26" i="46"/>
  <c r="K26" i="46"/>
  <c r="H26" i="46"/>
  <c r="O35" i="46"/>
  <c r="H35" i="46"/>
  <c r="K35" i="46"/>
  <c r="M35" i="46"/>
  <c r="G29" i="45"/>
  <c r="AS29" i="45"/>
  <c r="AQ29" i="45"/>
  <c r="AR29" i="45"/>
  <c r="O10" i="46"/>
  <c r="K10" i="46"/>
  <c r="H10" i="46"/>
  <c r="M10" i="46"/>
  <c r="M30" i="46"/>
  <c r="K30" i="46"/>
  <c r="O30" i="46"/>
  <c r="H30" i="46"/>
  <c r="O15" i="46"/>
  <c r="M15" i="46"/>
  <c r="H15" i="46"/>
  <c r="K15" i="46"/>
  <c r="AQ29" i="46" l="1"/>
  <c r="AS29" i="46"/>
  <c r="G29" i="46"/>
  <c r="AR29" i="46"/>
  <c r="AQ14" i="46"/>
  <c r="AS14" i="46"/>
  <c r="AR14" i="46"/>
  <c r="G14" i="46"/>
  <c r="U33" i="46"/>
  <c r="C33" i="46" s="1"/>
  <c r="K40" i="46"/>
  <c r="U31" i="46"/>
  <c r="C31" i="46" s="1"/>
  <c r="AQ16" i="46"/>
  <c r="AS16" i="46"/>
  <c r="G16" i="46"/>
  <c r="AR16" i="46"/>
  <c r="AS19" i="46"/>
  <c r="AR19" i="46"/>
  <c r="AQ19" i="46"/>
  <c r="G19" i="46"/>
  <c r="G38" i="46"/>
  <c r="AQ38" i="46"/>
  <c r="AR38" i="46"/>
  <c r="AS38" i="46"/>
  <c r="AR35" i="46"/>
  <c r="AS35" i="46"/>
  <c r="AQ35" i="46"/>
  <c r="G35" i="46"/>
  <c r="AQ30" i="46"/>
  <c r="G30" i="46"/>
  <c r="AS30" i="46"/>
  <c r="AR30" i="46"/>
  <c r="H19" i="45"/>
  <c r="O19" i="45"/>
  <c r="K19" i="45"/>
  <c r="M19" i="45"/>
  <c r="AS26" i="46"/>
  <c r="AQ26" i="46"/>
  <c r="AR26" i="46"/>
  <c r="G26" i="46"/>
  <c r="U18" i="46"/>
  <c r="C18" i="46" s="1"/>
  <c r="H40" i="46"/>
  <c r="D47" i="46" s="1"/>
  <c r="G6" i="46"/>
  <c r="AQ6" i="46"/>
  <c r="AR6" i="46"/>
  <c r="U17" i="46"/>
  <c r="C17" i="46" s="1"/>
  <c r="AS27" i="46"/>
  <c r="AQ27" i="46"/>
  <c r="AR27" i="46"/>
  <c r="G27" i="46"/>
  <c r="AS22" i="46"/>
  <c r="AR22" i="46"/>
  <c r="G22" i="46"/>
  <c r="AQ22" i="46"/>
  <c r="AR37" i="46"/>
  <c r="AQ37" i="46"/>
  <c r="AS37" i="46"/>
  <c r="G37" i="46"/>
  <c r="U33" i="45"/>
  <c r="C33" i="45" s="1"/>
  <c r="G33" i="57"/>
  <c r="U33" i="57" s="1"/>
  <c r="M40" i="46"/>
  <c r="G28" i="46"/>
  <c r="AS28" i="46"/>
  <c r="AR28" i="46"/>
  <c r="AQ28" i="46"/>
  <c r="AQ23" i="46"/>
  <c r="AS23" i="46"/>
  <c r="AR23" i="46"/>
  <c r="G23" i="46"/>
  <c r="U29" i="45"/>
  <c r="C29" i="45" s="1"/>
  <c r="O40" i="46"/>
  <c r="G34" i="46"/>
  <c r="AS34" i="46"/>
  <c r="AR34" i="46"/>
  <c r="AQ34" i="46"/>
  <c r="AR13" i="46"/>
  <c r="G13" i="46"/>
  <c r="AQ13" i="46"/>
  <c r="AS13" i="46"/>
  <c r="AS15" i="46"/>
  <c r="AR15" i="46"/>
  <c r="AQ15" i="46"/>
  <c r="G15" i="46"/>
  <c r="AQ10" i="46"/>
  <c r="G10" i="46"/>
  <c r="AS10" i="46"/>
  <c r="AR10" i="46"/>
  <c r="G9" i="46"/>
  <c r="AR9" i="46"/>
  <c r="AS9" i="46"/>
  <c r="AQ9" i="46"/>
  <c r="AQ12" i="46"/>
  <c r="G12" i="46"/>
  <c r="AS12" i="46"/>
  <c r="AR12" i="46"/>
  <c r="AQ36" i="46"/>
  <c r="AR36" i="46"/>
  <c r="G36" i="46"/>
  <c r="AS36" i="46"/>
  <c r="G32" i="46"/>
  <c r="AS32" i="46"/>
  <c r="AQ32" i="46"/>
  <c r="AR32" i="46"/>
  <c r="G29" i="57" l="1"/>
  <c r="U29" i="57" s="1"/>
  <c r="O34" i="45"/>
  <c r="K34" i="45"/>
  <c r="M34" i="45"/>
  <c r="H34" i="45"/>
  <c r="U32" i="46"/>
  <c r="C32" i="46" s="1"/>
  <c r="U23" i="46"/>
  <c r="C23" i="46" s="1"/>
  <c r="U37" i="46"/>
  <c r="C37" i="46" s="1"/>
  <c r="U19" i="46"/>
  <c r="C19" i="46" s="1"/>
  <c r="U13" i="46"/>
  <c r="C13" i="46" s="1"/>
  <c r="U34" i="46"/>
  <c r="C34" i="46" s="1"/>
  <c r="U6" i="46"/>
  <c r="G40" i="46"/>
  <c r="O37" i="45"/>
  <c r="H37" i="45"/>
  <c r="M37" i="45"/>
  <c r="K37" i="45"/>
  <c r="U36" i="46"/>
  <c r="C36" i="46" s="1"/>
  <c r="U22" i="46"/>
  <c r="C22" i="46" s="1"/>
  <c r="U30" i="46"/>
  <c r="C30" i="46" s="1"/>
  <c r="U14" i="46"/>
  <c r="C14" i="46" s="1"/>
  <c r="U29" i="46"/>
  <c r="C29" i="46" s="1"/>
  <c r="D31" i="57"/>
  <c r="K31" i="45"/>
  <c r="H31" i="45"/>
  <c r="O31" i="45"/>
  <c r="M31" i="45"/>
  <c r="U9" i="46"/>
  <c r="C9" i="46" s="1"/>
  <c r="U15" i="46"/>
  <c r="C15" i="46" s="1"/>
  <c r="U28" i="46"/>
  <c r="C28" i="46" s="1"/>
  <c r="AR40" i="46"/>
  <c r="U26" i="46"/>
  <c r="C26" i="46" s="1"/>
  <c r="U35" i="46"/>
  <c r="C35" i="46" s="1"/>
  <c r="AS40" i="46"/>
  <c r="U27" i="46"/>
  <c r="C27" i="46" s="1"/>
  <c r="AQ40" i="46"/>
  <c r="AR19" i="45"/>
  <c r="G19" i="45"/>
  <c r="AQ19" i="45"/>
  <c r="AS19" i="45"/>
  <c r="U38" i="46"/>
  <c r="C38" i="46" s="1"/>
  <c r="U16" i="46"/>
  <c r="C16" i="46" s="1"/>
  <c r="U12" i="46"/>
  <c r="C12" i="46" s="1"/>
  <c r="U10" i="46"/>
  <c r="C10" i="46" s="1"/>
  <c r="O24" i="45" l="1"/>
  <c r="K24" i="45"/>
  <c r="H24" i="45"/>
  <c r="M24" i="45"/>
  <c r="O25" i="45"/>
  <c r="H25" i="45"/>
  <c r="D25" i="57"/>
  <c r="M25" i="45"/>
  <c r="K25" i="45"/>
  <c r="M38" i="45"/>
  <c r="K38" i="45"/>
  <c r="H38" i="45"/>
  <c r="D38" i="57"/>
  <c r="O38" i="45"/>
  <c r="K31" i="57"/>
  <c r="AS31" i="57" s="1"/>
  <c r="M31" i="57"/>
  <c r="O31" i="57"/>
  <c r="K15" i="45"/>
  <c r="O15" i="45"/>
  <c r="M15" i="45"/>
  <c r="H15" i="45"/>
  <c r="O8" i="45"/>
  <c r="M8" i="45"/>
  <c r="H8" i="45"/>
  <c r="K8" i="45"/>
  <c r="K17" i="45"/>
  <c r="D17" i="57"/>
  <c r="O17" i="45"/>
  <c r="H17" i="45"/>
  <c r="M17" i="45"/>
  <c r="H26" i="45"/>
  <c r="M26" i="45"/>
  <c r="O26" i="45"/>
  <c r="K26" i="45"/>
  <c r="AR37" i="45"/>
  <c r="AQ37" i="45"/>
  <c r="AS37" i="45"/>
  <c r="G37" i="45"/>
  <c r="U40" i="46"/>
  <c r="C6" i="46"/>
  <c r="C40" i="46" s="1"/>
  <c r="D14" i="57"/>
  <c r="O14" i="45"/>
  <c r="H14" i="45"/>
  <c r="K14" i="45"/>
  <c r="M14" i="45"/>
  <c r="M16" i="45"/>
  <c r="H16" i="45"/>
  <c r="K16" i="45"/>
  <c r="O16" i="45"/>
  <c r="M9" i="45"/>
  <c r="O9" i="45"/>
  <c r="K9" i="45"/>
  <c r="H9" i="45"/>
  <c r="H10" i="45"/>
  <c r="K10" i="45"/>
  <c r="M10" i="45"/>
  <c r="O10" i="45"/>
  <c r="K18" i="45"/>
  <c r="O18" i="45"/>
  <c r="H18" i="45"/>
  <c r="M18" i="45"/>
  <c r="H27" i="45"/>
  <c r="K27" i="45"/>
  <c r="M27" i="45"/>
  <c r="D27" i="57"/>
  <c r="O27" i="45"/>
  <c r="H20" i="45"/>
  <c r="O20" i="45"/>
  <c r="K20" i="45"/>
  <c r="M20" i="45"/>
  <c r="AQ34" i="45"/>
  <c r="AS34" i="45"/>
  <c r="G34" i="45"/>
  <c r="AR34" i="45"/>
  <c r="M28" i="45"/>
  <c r="H28" i="45"/>
  <c r="O28" i="45"/>
  <c r="D28" i="57"/>
  <c r="K28" i="45"/>
  <c r="M12" i="45"/>
  <c r="O12" i="45"/>
  <c r="H12" i="45"/>
  <c r="K12" i="45"/>
  <c r="K21" i="45"/>
  <c r="O21" i="45"/>
  <c r="H21" i="45"/>
  <c r="M21" i="45"/>
  <c r="O30" i="45"/>
  <c r="H30" i="45"/>
  <c r="M30" i="45"/>
  <c r="K30" i="45"/>
  <c r="O11" i="45"/>
  <c r="K11" i="45"/>
  <c r="M11" i="45"/>
  <c r="H11" i="45"/>
  <c r="H22" i="45"/>
  <c r="K22" i="45"/>
  <c r="O22" i="45"/>
  <c r="M22" i="45"/>
  <c r="D22" i="57"/>
  <c r="H32" i="45"/>
  <c r="O32" i="45"/>
  <c r="M32" i="45"/>
  <c r="D32" i="57"/>
  <c r="K32" i="45"/>
  <c r="O23" i="45"/>
  <c r="K23" i="45"/>
  <c r="M23" i="45"/>
  <c r="H23" i="45"/>
  <c r="K35" i="45"/>
  <c r="O35" i="45"/>
  <c r="H35" i="45"/>
  <c r="M35" i="45"/>
  <c r="D35" i="57"/>
  <c r="U19" i="45"/>
  <c r="C19" i="45" s="1"/>
  <c r="AQ31" i="45"/>
  <c r="AS31" i="45"/>
  <c r="G31" i="45"/>
  <c r="AR31" i="45"/>
  <c r="O13" i="45"/>
  <c r="D13" i="57"/>
  <c r="M13" i="45"/>
  <c r="H13" i="45"/>
  <c r="K13" i="45"/>
  <c r="K6" i="45"/>
  <c r="O6" i="45"/>
  <c r="M6" i="45"/>
  <c r="D6" i="57"/>
  <c r="D40" i="45"/>
  <c r="D47" i="45" s="1"/>
  <c r="E47" i="45" s="1"/>
  <c r="H6" i="45"/>
  <c r="O36" i="45"/>
  <c r="K36" i="45"/>
  <c r="M36" i="45"/>
  <c r="H36" i="45"/>
  <c r="G26" i="45" l="1"/>
  <c r="AR23" i="45"/>
  <c r="AQ23" i="45"/>
  <c r="G23" i="45"/>
  <c r="AS23" i="45"/>
  <c r="O40" i="45"/>
  <c r="M25" i="57"/>
  <c r="K25" i="57"/>
  <c r="AS25" i="57" s="1"/>
  <c r="O25" i="57"/>
  <c r="AR21" i="45"/>
  <c r="AS21" i="45"/>
  <c r="G21" i="45"/>
  <c r="AQ21" i="45"/>
  <c r="AS20" i="45"/>
  <c r="AR20" i="45"/>
  <c r="G20" i="45"/>
  <c r="AQ20" i="45"/>
  <c r="AS14" i="45"/>
  <c r="AQ14" i="45"/>
  <c r="G14" i="45"/>
  <c r="AR14" i="45"/>
  <c r="AR25" i="45"/>
  <c r="AQ25" i="45"/>
  <c r="AS25" i="45"/>
  <c r="G25" i="45"/>
  <c r="U31" i="45"/>
  <c r="C31" i="45" s="1"/>
  <c r="G31" i="57"/>
  <c r="U31" i="57" s="1"/>
  <c r="O35" i="57"/>
  <c r="M35" i="57"/>
  <c r="K35" i="57"/>
  <c r="AS35" i="57" s="1"/>
  <c r="O28" i="57"/>
  <c r="M28" i="57"/>
  <c r="K28" i="57"/>
  <c r="AS28" i="57" s="1"/>
  <c r="AQ27" i="45"/>
  <c r="AR27" i="45"/>
  <c r="AS27" i="45"/>
  <c r="G27" i="45"/>
  <c r="U37" i="45"/>
  <c r="C37" i="45" s="1"/>
  <c r="O38" i="57"/>
  <c r="K38" i="57"/>
  <c r="AS38" i="57" s="1"/>
  <c r="M38" i="57"/>
  <c r="O32" i="57"/>
  <c r="K32" i="57"/>
  <c r="AS32" i="57" s="1"/>
  <c r="M32" i="57"/>
  <c r="AQ22" i="45"/>
  <c r="AR22" i="45"/>
  <c r="G22" i="45"/>
  <c r="AS22" i="45"/>
  <c r="O14" i="57"/>
  <c r="K14" i="57"/>
  <c r="AS14" i="57" s="1"/>
  <c r="M14" i="57"/>
  <c r="AR26" i="45"/>
  <c r="AQ26" i="45"/>
  <c r="AS26" i="45"/>
  <c r="AS8" i="45"/>
  <c r="AQ8" i="45"/>
  <c r="AR8" i="45"/>
  <c r="G8" i="45"/>
  <c r="AS38" i="45"/>
  <c r="AR38" i="45"/>
  <c r="AQ38" i="45"/>
  <c r="G38" i="45"/>
  <c r="K40" i="45"/>
  <c r="AQ13" i="45"/>
  <c r="AR13" i="45"/>
  <c r="AS13" i="45"/>
  <c r="G13" i="45"/>
  <c r="G6" i="45"/>
  <c r="AR6" i="45"/>
  <c r="H40" i="45"/>
  <c r="AQ6" i="45"/>
  <c r="AQ35" i="45"/>
  <c r="AS35" i="45"/>
  <c r="G35" i="45"/>
  <c r="AR35" i="45"/>
  <c r="AS11" i="45"/>
  <c r="AR11" i="45"/>
  <c r="AQ11" i="45"/>
  <c r="G11" i="45"/>
  <c r="AS28" i="45"/>
  <c r="G28" i="45"/>
  <c r="AQ28" i="45"/>
  <c r="AR28" i="45"/>
  <c r="AS10" i="45"/>
  <c r="G10" i="45"/>
  <c r="AQ10" i="45"/>
  <c r="AR10" i="45"/>
  <c r="G24" i="45"/>
  <c r="AS24" i="45"/>
  <c r="AQ24" i="45"/>
  <c r="AR24" i="45"/>
  <c r="O13" i="57"/>
  <c r="K13" i="57"/>
  <c r="AS13" i="57" s="1"/>
  <c r="M13" i="57"/>
  <c r="AR13" i="57" s="1"/>
  <c r="AR40" i="57" s="1"/>
  <c r="AR30" i="45"/>
  <c r="G30" i="45"/>
  <c r="AQ30" i="45"/>
  <c r="AS30" i="45"/>
  <c r="AR12" i="45"/>
  <c r="AS12" i="45"/>
  <c r="AQ12" i="45"/>
  <c r="G12" i="45"/>
  <c r="AS18" i="45"/>
  <c r="G18" i="45"/>
  <c r="AR18" i="45"/>
  <c r="AQ18" i="45"/>
  <c r="AS9" i="45"/>
  <c r="G9" i="45"/>
  <c r="AR9" i="45"/>
  <c r="AQ9" i="45"/>
  <c r="G16" i="45"/>
  <c r="AQ16" i="45"/>
  <c r="AS16" i="45"/>
  <c r="AR16" i="45"/>
  <c r="AS17" i="45"/>
  <c r="AR17" i="45"/>
  <c r="AQ17" i="45"/>
  <c r="G17" i="45"/>
  <c r="AQ36" i="45"/>
  <c r="G36" i="45"/>
  <c r="AS36" i="45"/>
  <c r="AR36" i="45"/>
  <c r="G32" i="45"/>
  <c r="AS32" i="45"/>
  <c r="AR32" i="45"/>
  <c r="AQ32" i="45"/>
  <c r="AS15" i="45"/>
  <c r="AR15" i="45"/>
  <c r="G15" i="45"/>
  <c r="AQ15" i="45"/>
  <c r="K6" i="57"/>
  <c r="O6" i="57"/>
  <c r="M6" i="57"/>
  <c r="M40" i="45"/>
  <c r="O22" i="57"/>
  <c r="K22" i="57"/>
  <c r="AS22" i="57" s="1"/>
  <c r="M22" i="57"/>
  <c r="U34" i="45"/>
  <c r="C34" i="45" s="1"/>
  <c r="M27" i="57"/>
  <c r="K27" i="57"/>
  <c r="AS27" i="57" s="1"/>
  <c r="O27" i="57"/>
  <c r="K17" i="57"/>
  <c r="AS17" i="57" s="1"/>
  <c r="O17" i="57"/>
  <c r="M17" i="57"/>
  <c r="G13" i="57" l="1"/>
  <c r="U13" i="57" s="1"/>
  <c r="U13" i="45"/>
  <c r="C13" i="45" s="1"/>
  <c r="AS40" i="45"/>
  <c r="U21" i="45"/>
  <c r="C21" i="45" s="1"/>
  <c r="U12" i="45"/>
  <c r="C12" i="45" s="1"/>
  <c r="U24" i="45"/>
  <c r="C24" i="45" s="1"/>
  <c r="U28" i="45"/>
  <c r="C28" i="45" s="1"/>
  <c r="G28" i="57"/>
  <c r="U28" i="57" s="1"/>
  <c r="U11" i="45"/>
  <c r="C11" i="45" s="1"/>
  <c r="U15" i="45"/>
  <c r="C15" i="45" s="1"/>
  <c r="U18" i="45"/>
  <c r="C18" i="45" s="1"/>
  <c r="AQ40" i="45"/>
  <c r="U27" i="45"/>
  <c r="C27" i="45" s="1"/>
  <c r="G27" i="57"/>
  <c r="U27" i="57" s="1"/>
  <c r="U14" i="45"/>
  <c r="C14" i="45" s="1"/>
  <c r="G14" i="57"/>
  <c r="U14" i="57" s="1"/>
  <c r="U20" i="45"/>
  <c r="C20" i="45" s="1"/>
  <c r="U10" i="45"/>
  <c r="C10" i="45" s="1"/>
  <c r="U8" i="45"/>
  <c r="C8" i="45" s="1"/>
  <c r="U26" i="45"/>
  <c r="C26" i="45" s="1"/>
  <c r="G32" i="57"/>
  <c r="U32" i="57" s="1"/>
  <c r="U32" i="45"/>
  <c r="C32" i="45" s="1"/>
  <c r="U17" i="45"/>
  <c r="C17" i="45" s="1"/>
  <c r="G17" i="57"/>
  <c r="U17" i="57" s="1"/>
  <c r="U9" i="45"/>
  <c r="C9" i="45" s="1"/>
  <c r="U23" i="45"/>
  <c r="C23" i="45" s="1"/>
  <c r="G35" i="57"/>
  <c r="U35" i="57" s="1"/>
  <c r="U35" i="45"/>
  <c r="C35" i="45" s="1"/>
  <c r="AR40" i="45"/>
  <c r="U38" i="45"/>
  <c r="C38" i="45" s="1"/>
  <c r="G38" i="57"/>
  <c r="U38" i="57" s="1"/>
  <c r="U25" i="45"/>
  <c r="C25" i="45" s="1"/>
  <c r="G25" i="57"/>
  <c r="U25" i="57" s="1"/>
  <c r="U36" i="45"/>
  <c r="C36" i="45" s="1"/>
  <c r="U16" i="45"/>
  <c r="C16" i="45" s="1"/>
  <c r="G16" i="57"/>
  <c r="U30" i="45"/>
  <c r="C30" i="45" s="1"/>
  <c r="G40" i="45"/>
  <c r="U6" i="45"/>
  <c r="G6" i="57"/>
  <c r="U22" i="45"/>
  <c r="C22" i="45" s="1"/>
  <c r="G22" i="57"/>
  <c r="U22" i="57" s="1"/>
  <c r="U40" i="45" l="1"/>
  <c r="C6" i="45"/>
  <c r="C40" i="45" s="1"/>
  <c r="U6" i="57"/>
  <c r="BS37" i="56" l="1"/>
  <c r="BS36" i="56"/>
  <c r="BS34" i="56"/>
  <c r="BS30" i="56"/>
  <c r="BS26" i="56"/>
  <c r="BS24" i="56"/>
  <c r="BS23" i="56"/>
  <c r="BS21" i="56"/>
  <c r="BS20" i="56"/>
  <c r="BS19" i="56"/>
  <c r="BS16" i="56"/>
  <c r="BS15" i="56"/>
  <c r="BS12" i="56"/>
  <c r="BS11" i="56"/>
  <c r="BS9" i="56"/>
  <c r="BS8" i="56"/>
  <c r="BS7" i="56"/>
  <c r="H16" i="56" l="1"/>
  <c r="O16" i="56"/>
  <c r="M16" i="56"/>
  <c r="K16" i="56"/>
  <c r="D16" i="57"/>
  <c r="H30" i="56"/>
  <c r="K30" i="56"/>
  <c r="O30" i="56"/>
  <c r="M30" i="56"/>
  <c r="D30" i="57"/>
  <c r="O24" i="56"/>
  <c r="H24" i="56"/>
  <c r="M24" i="56"/>
  <c r="K24" i="56"/>
  <c r="D24" i="57"/>
  <c r="K20" i="56"/>
  <c r="H20" i="56"/>
  <c r="O20" i="56"/>
  <c r="M20" i="56"/>
  <c r="D20" i="57"/>
  <c r="H19" i="56"/>
  <c r="K19" i="56"/>
  <c r="M19" i="56"/>
  <c r="O19" i="56"/>
  <c r="D19" i="57"/>
  <c r="O23" i="56"/>
  <c r="K23" i="56"/>
  <c r="H23" i="56"/>
  <c r="M23" i="56"/>
  <c r="D23" i="57"/>
  <c r="K12" i="56"/>
  <c r="O12" i="56"/>
  <c r="H12" i="56"/>
  <c r="M12" i="56"/>
  <c r="D12" i="57"/>
  <c r="M9" i="56"/>
  <c r="H9" i="56"/>
  <c r="O9" i="56"/>
  <c r="K9" i="56"/>
  <c r="D9" i="57"/>
  <c r="H8" i="56"/>
  <c r="M8" i="56"/>
  <c r="O8" i="56"/>
  <c r="K8" i="56"/>
  <c r="D8" i="57"/>
  <c r="K16" i="57" l="1"/>
  <c r="AS16" i="57" s="1"/>
  <c r="M16" i="57"/>
  <c r="O16" i="57"/>
  <c r="U16" i="56"/>
  <c r="C16" i="56" s="1"/>
  <c r="AS16" i="56"/>
  <c r="AQ16" i="56"/>
  <c r="AR16" i="56"/>
  <c r="O30" i="57"/>
  <c r="K30" i="57"/>
  <c r="AS30" i="57" s="1"/>
  <c r="M30" i="57"/>
  <c r="AQ30" i="56"/>
  <c r="AR30" i="56"/>
  <c r="AS30" i="56"/>
  <c r="O24" i="57"/>
  <c r="M24" i="57"/>
  <c r="K24" i="57"/>
  <c r="AS24" i="57" s="1"/>
  <c r="AQ24" i="56"/>
  <c r="AS24" i="56"/>
  <c r="AR24" i="56"/>
  <c r="O20" i="57"/>
  <c r="M20" i="57"/>
  <c r="K20" i="57"/>
  <c r="AS20" i="57" s="1"/>
  <c r="AS20" i="56"/>
  <c r="AQ20" i="56"/>
  <c r="AR20" i="56"/>
  <c r="M19" i="57"/>
  <c r="O19" i="57"/>
  <c r="K19" i="57"/>
  <c r="AS19" i="57" s="1"/>
  <c r="AQ19" i="56"/>
  <c r="AR19" i="56"/>
  <c r="AS19" i="56"/>
  <c r="O23" i="57"/>
  <c r="K23" i="57"/>
  <c r="AS23" i="57" s="1"/>
  <c r="M23" i="57"/>
  <c r="AS23" i="56"/>
  <c r="AQ23" i="56"/>
  <c r="AR23" i="56"/>
  <c r="M12" i="57"/>
  <c r="K12" i="57"/>
  <c r="AS12" i="57" s="1"/>
  <c r="O12" i="57"/>
  <c r="AR12" i="56"/>
  <c r="AS12" i="56"/>
  <c r="AQ12" i="56"/>
  <c r="O9" i="57"/>
  <c r="K9" i="57"/>
  <c r="AS9" i="57" s="1"/>
  <c r="M9" i="57"/>
  <c r="AQ9" i="56"/>
  <c r="AR9" i="56"/>
  <c r="AS9" i="56"/>
  <c r="K8" i="57"/>
  <c r="AS8" i="57" s="1"/>
  <c r="O8" i="57"/>
  <c r="M8" i="57"/>
  <c r="AQ8" i="56"/>
  <c r="AS8" i="56"/>
  <c r="AR8" i="56"/>
  <c r="U16" i="57" l="1"/>
  <c r="G34" i="57"/>
  <c r="U30" i="56"/>
  <c r="C30" i="56" s="1"/>
  <c r="G30" i="57"/>
  <c r="U30" i="57" s="1"/>
  <c r="U24" i="56"/>
  <c r="C24" i="56" s="1"/>
  <c r="G24" i="57"/>
  <c r="U24" i="57" s="1"/>
  <c r="U20" i="56"/>
  <c r="C20" i="56" s="1"/>
  <c r="G20" i="57"/>
  <c r="U20" i="57" s="1"/>
  <c r="U19" i="56"/>
  <c r="C19" i="56" s="1"/>
  <c r="G19" i="57"/>
  <c r="U19" i="57" s="1"/>
  <c r="U23" i="56"/>
  <c r="C23" i="56" s="1"/>
  <c r="G23" i="57"/>
  <c r="U23" i="57" s="1"/>
  <c r="U12" i="56"/>
  <c r="C12" i="56" s="1"/>
  <c r="G12" i="57"/>
  <c r="U12" i="57" s="1"/>
  <c r="U9" i="56"/>
  <c r="C9" i="56" s="1"/>
  <c r="G9" i="57"/>
  <c r="U9" i="57" s="1"/>
  <c r="U8" i="56"/>
  <c r="G8" i="57"/>
  <c r="U8" i="57" s="1"/>
  <c r="C8" i="56" l="1"/>
  <c r="K34" i="56" l="1"/>
  <c r="M34" i="56"/>
  <c r="D34" i="57"/>
  <c r="O34" i="56"/>
  <c r="H34" i="56"/>
  <c r="H7" i="56"/>
  <c r="O7" i="56"/>
  <c r="K7" i="56"/>
  <c r="M7" i="56"/>
  <c r="D7" i="57"/>
  <c r="M37" i="56"/>
  <c r="K37" i="56"/>
  <c r="O37" i="56"/>
  <c r="H37" i="56"/>
  <c r="D37" i="57"/>
  <c r="M36" i="56"/>
  <c r="K36" i="56"/>
  <c r="H36" i="56"/>
  <c r="O36" i="56"/>
  <c r="D36" i="57"/>
  <c r="H21" i="56"/>
  <c r="D21" i="57"/>
  <c r="M21" i="56"/>
  <c r="K21" i="56"/>
  <c r="O21" i="56"/>
  <c r="M15" i="56"/>
  <c r="K15" i="56"/>
  <c r="H15" i="56"/>
  <c r="O15" i="56"/>
  <c r="D15" i="57"/>
  <c r="H10" i="56"/>
  <c r="M10" i="56"/>
  <c r="K10" i="56"/>
  <c r="O10" i="56"/>
  <c r="D10" i="57"/>
  <c r="M11" i="56"/>
  <c r="O11" i="56"/>
  <c r="H11" i="56"/>
  <c r="K11" i="56"/>
  <c r="D11" i="57"/>
  <c r="O26" i="56"/>
  <c r="M26" i="56"/>
  <c r="H26" i="56"/>
  <c r="K26" i="56"/>
  <c r="D26" i="57"/>
  <c r="D40" i="56"/>
  <c r="U34" i="56" l="1"/>
  <c r="C34" i="56" s="1"/>
  <c r="AS34" i="56"/>
  <c r="AQ34" i="56"/>
  <c r="AR34" i="56"/>
  <c r="K34" i="57"/>
  <c r="AS34" i="57" s="1"/>
  <c r="M34" i="57"/>
  <c r="O34" i="57"/>
  <c r="K7" i="57"/>
  <c r="AS7" i="57" s="1"/>
  <c r="O7" i="57"/>
  <c r="M7" i="57"/>
  <c r="AS7" i="56"/>
  <c r="AQ7" i="56"/>
  <c r="AR7" i="56"/>
  <c r="O37" i="57"/>
  <c r="K37" i="57"/>
  <c r="AS37" i="57" s="1"/>
  <c r="M37" i="57"/>
  <c r="AQ37" i="56"/>
  <c r="AS37" i="56"/>
  <c r="AR37" i="56"/>
  <c r="O36" i="57"/>
  <c r="K36" i="57"/>
  <c r="AS36" i="57" s="1"/>
  <c r="M36" i="57"/>
  <c r="AS36" i="56"/>
  <c r="AR36" i="56"/>
  <c r="AQ36" i="56"/>
  <c r="M21" i="57"/>
  <c r="O21" i="57"/>
  <c r="K21" i="57"/>
  <c r="AS21" i="57" s="1"/>
  <c r="AS21" i="56"/>
  <c r="AR21" i="56"/>
  <c r="AQ21" i="56"/>
  <c r="M15" i="57"/>
  <c r="K15" i="57"/>
  <c r="AS15" i="57" s="1"/>
  <c r="O15" i="57"/>
  <c r="AS15" i="56"/>
  <c r="AQ15" i="56"/>
  <c r="AR15" i="56"/>
  <c r="M40" i="56"/>
  <c r="K10" i="57"/>
  <c r="AS10" i="57" s="1"/>
  <c r="M10" i="57"/>
  <c r="O10" i="57"/>
  <c r="O40" i="56"/>
  <c r="AQ10" i="56"/>
  <c r="AR10" i="56"/>
  <c r="AS10" i="56"/>
  <c r="O11" i="57"/>
  <c r="M11" i="57"/>
  <c r="K11" i="57"/>
  <c r="AS11" i="57" s="1"/>
  <c r="AR11" i="56"/>
  <c r="AS11" i="56"/>
  <c r="AQ11" i="56"/>
  <c r="K40" i="56"/>
  <c r="O26" i="57"/>
  <c r="K26" i="57"/>
  <c r="M26" i="57"/>
  <c r="AR26" i="56"/>
  <c r="AS26" i="56"/>
  <c r="AQ26" i="56"/>
  <c r="H40" i="56"/>
  <c r="D47" i="56" s="1"/>
  <c r="U34" i="57" l="1"/>
  <c r="U7" i="56"/>
  <c r="C7" i="56" s="1"/>
  <c r="G7" i="57"/>
  <c r="U7" i="57" s="1"/>
  <c r="U37" i="56"/>
  <c r="C37" i="56" s="1"/>
  <c r="G37" i="57"/>
  <c r="U37" i="57" s="1"/>
  <c r="G36" i="57"/>
  <c r="U36" i="57" s="1"/>
  <c r="U36" i="56"/>
  <c r="C36" i="56" s="1"/>
  <c r="U21" i="56"/>
  <c r="C21" i="56" s="1"/>
  <c r="G21" i="57"/>
  <c r="U21" i="57" s="1"/>
  <c r="G15" i="57"/>
  <c r="U15" i="57" s="1"/>
  <c r="U15" i="56"/>
  <c r="C15" i="56" s="1"/>
  <c r="U10" i="56"/>
  <c r="C10" i="56" s="1"/>
  <c r="G10" i="57"/>
  <c r="U10" i="57" s="1"/>
  <c r="U11" i="56"/>
  <c r="C11" i="56" s="1"/>
  <c r="G11" i="57"/>
  <c r="U11" i="57" s="1"/>
  <c r="U26" i="56"/>
  <c r="G26" i="57"/>
  <c r="G40" i="56"/>
  <c r="AS40" i="56"/>
  <c r="AQ40" i="56"/>
  <c r="AR40" i="56"/>
  <c r="AS26" i="57"/>
  <c r="U26" i="57" l="1"/>
  <c r="C26" i="56"/>
  <c r="C40" i="56" s="1"/>
  <c r="U40" i="56"/>
  <c r="E18" i="57" l="1"/>
  <c r="E40" i="57" s="1"/>
  <c r="F47" i="57" s="1"/>
  <c r="E40" i="51"/>
  <c r="F47" i="51" s="1"/>
  <c r="D18" i="57" l="1"/>
  <c r="K18" i="51"/>
  <c r="K40" i="51" s="1"/>
  <c r="M18" i="51"/>
  <c r="M40" i="51" s="1"/>
  <c r="D40" i="51"/>
  <c r="H18" i="51"/>
  <c r="O18" i="51"/>
  <c r="O40" i="51" s="1"/>
  <c r="G18" i="51" l="1"/>
  <c r="AQ18" i="51"/>
  <c r="AS18" i="51"/>
  <c r="H40" i="51"/>
  <c r="D47" i="51" s="1"/>
  <c r="AR18" i="51"/>
  <c r="F40" i="51"/>
  <c r="F18" i="57"/>
  <c r="F40" i="57" s="1"/>
  <c r="AZ18" i="51"/>
  <c r="K18" i="57"/>
  <c r="O18" i="57"/>
  <c r="O40" i="57" s="1"/>
  <c r="M18" i="57"/>
  <c r="M40" i="57" s="1"/>
  <c r="D40" i="57"/>
  <c r="AR40" i="51" l="1"/>
  <c r="AS40" i="51"/>
  <c r="AQ40" i="51"/>
  <c r="BD18" i="51"/>
  <c r="AZ40" i="51"/>
  <c r="C47" i="51" s="1"/>
  <c r="AZ18" i="57"/>
  <c r="AS18" i="57"/>
  <c r="AS40" i="57" s="1"/>
  <c r="K40" i="57"/>
  <c r="G18" i="57"/>
  <c r="G40" i="51"/>
  <c r="U18" i="51"/>
  <c r="U18" i="57" l="1"/>
  <c r="U40" i="57" s="1"/>
  <c r="G40" i="57"/>
  <c r="AZ85" i="51"/>
  <c r="AZ40" i="57"/>
  <c r="C47" i="57" s="1"/>
  <c r="U40" i="51"/>
  <c r="C18" i="51"/>
  <c r="C40" i="51" s="1"/>
  <c r="BD40" i="51"/>
  <c r="BD43" i="51" s="1"/>
  <c r="BE45" i="51" s="1"/>
  <c r="BD18" i="57"/>
  <c r="BD40" i="57" s="1"/>
  <c r="AZ85" i="57" l="1"/>
  <c r="O34" i="59" l="1"/>
  <c r="I34" i="59"/>
  <c r="M34" i="59"/>
  <c r="K34" i="59"/>
  <c r="D44" i="59"/>
  <c r="D50" i="59" s="1"/>
  <c r="E50" i="59" s="1"/>
  <c r="M44" i="59" l="1"/>
  <c r="O44" i="59"/>
  <c r="AS34" i="59"/>
  <c r="K44" i="59"/>
  <c r="Y34" i="59"/>
  <c r="AR34" i="59"/>
  <c r="H34" i="59"/>
  <c r="AQ34" i="59"/>
  <c r="I44" i="59"/>
  <c r="AQ44" i="59" l="1"/>
  <c r="AR44" i="59"/>
  <c r="Y44" i="59"/>
  <c r="U34" i="59"/>
  <c r="C34" i="59" s="1"/>
  <c r="H44" i="59"/>
  <c r="AS44" i="59" l="1"/>
  <c r="U44" i="59"/>
  <c r="C44" i="59"/>
  <c r="I34" i="61" l="1"/>
  <c r="M34" i="61"/>
  <c r="M34" i="75" s="1"/>
  <c r="O34" i="61"/>
  <c r="O34" i="75" s="1"/>
  <c r="K34" i="61"/>
  <c r="K34" i="75" s="1"/>
  <c r="M12" i="61"/>
  <c r="M12" i="75" s="1"/>
  <c r="O12" i="61"/>
  <c r="O12" i="75" s="1"/>
  <c r="I12" i="61"/>
  <c r="K12" i="61"/>
  <c r="K12" i="75" s="1"/>
  <c r="D44" i="61"/>
  <c r="D50" i="61" s="1"/>
  <c r="E50" i="61" s="1"/>
  <c r="K44" i="75" l="1"/>
  <c r="M44" i="75"/>
  <c r="O44" i="75"/>
  <c r="O44" i="61"/>
  <c r="M44" i="61"/>
  <c r="AS34" i="61"/>
  <c r="AS12" i="61"/>
  <c r="Y34" i="61"/>
  <c r="Y34" i="75" s="1"/>
  <c r="AR12" i="61"/>
  <c r="AQ12" i="61"/>
  <c r="I44" i="61"/>
  <c r="H12" i="61"/>
  <c r="K44" i="61"/>
  <c r="Y12" i="61"/>
  <c r="Y12" i="75" s="1"/>
  <c r="AQ34" i="61"/>
  <c r="AR34" i="61"/>
  <c r="H34" i="61"/>
  <c r="Y44" i="75" l="1"/>
  <c r="AS34" i="75"/>
  <c r="AQ34" i="75"/>
  <c r="AS12" i="75"/>
  <c r="AR34" i="75"/>
  <c r="H12" i="75"/>
  <c r="AQ12" i="75"/>
  <c r="H34" i="75"/>
  <c r="AR12" i="75"/>
  <c r="Y44" i="61"/>
  <c r="AQ44" i="61"/>
  <c r="AR44" i="61"/>
  <c r="H44" i="61"/>
  <c r="AS44" i="75" l="1"/>
  <c r="AR44" i="75"/>
  <c r="AQ44" i="75"/>
  <c r="H44" i="75"/>
  <c r="AS44" i="61"/>
  <c r="C7" i="65" l="1"/>
  <c r="R19" i="68" l="1"/>
  <c r="R41" i="68"/>
  <c r="R22" i="68"/>
  <c r="R6" i="68"/>
  <c r="R42" i="68"/>
  <c r="R18" i="69"/>
  <c r="R34" i="69"/>
  <c r="R17" i="70"/>
  <c r="R36" i="70"/>
  <c r="R15" i="71"/>
  <c r="R32" i="71"/>
  <c r="R9" i="73"/>
  <c r="R25" i="73"/>
  <c r="R9" i="68"/>
  <c r="R25" i="68"/>
  <c r="R17" i="68"/>
  <c r="R12" i="68"/>
  <c r="R27" i="68"/>
  <c r="R36" i="68"/>
  <c r="R12" i="73"/>
  <c r="R27" i="73"/>
  <c r="R36" i="73"/>
  <c r="R12" i="72"/>
  <c r="R27" i="72"/>
  <c r="R25" i="70"/>
  <c r="R17" i="69"/>
  <c r="R36" i="69"/>
  <c r="R15" i="70"/>
  <c r="R32" i="70"/>
  <c r="R11" i="72"/>
  <c r="R26" i="72"/>
  <c r="R6" i="73"/>
  <c r="R42" i="73"/>
  <c r="R41" i="69"/>
  <c r="R18" i="70"/>
  <c r="R17" i="71"/>
  <c r="R36" i="71"/>
  <c r="R15" i="72"/>
  <c r="R32" i="72"/>
  <c r="R27" i="70"/>
  <c r="R9" i="72"/>
  <c r="R25" i="72"/>
  <c r="R6" i="69"/>
  <c r="R22" i="69"/>
  <c r="R42" i="69"/>
  <c r="R19" i="70"/>
  <c r="R41" i="70"/>
  <c r="R18" i="71"/>
  <c r="R34" i="71"/>
  <c r="R17" i="72"/>
  <c r="R36" i="72"/>
  <c r="R22" i="73"/>
  <c r="R19" i="69"/>
  <c r="R34" i="70"/>
  <c r="R11" i="73"/>
  <c r="R15" i="69"/>
  <c r="R32" i="69"/>
  <c r="R12" i="70"/>
  <c r="R11" i="71"/>
  <c r="R26" i="71"/>
  <c r="R19" i="73"/>
  <c r="R15" i="68"/>
  <c r="R32" i="68"/>
  <c r="R12" i="69"/>
  <c r="R27" i="69"/>
  <c r="R11" i="70"/>
  <c r="R26" i="70"/>
  <c r="R9" i="71"/>
  <c r="R25" i="71"/>
  <c r="R6" i="72"/>
  <c r="R22" i="72"/>
  <c r="R42" i="72"/>
  <c r="R18" i="73"/>
  <c r="R34" i="73"/>
  <c r="R18" i="68"/>
  <c r="R34" i="68"/>
  <c r="R12" i="71"/>
  <c r="R27" i="71"/>
  <c r="R11" i="69"/>
  <c r="R26" i="69"/>
  <c r="R9" i="70"/>
  <c r="R6" i="71"/>
  <c r="R22" i="71"/>
  <c r="R42" i="71"/>
  <c r="R19" i="72"/>
  <c r="R41" i="72"/>
  <c r="R17" i="73"/>
  <c r="R26" i="73"/>
  <c r="R41" i="73"/>
  <c r="R11" i="68"/>
  <c r="R26" i="68"/>
  <c r="R9" i="69"/>
  <c r="R25" i="69"/>
  <c r="R6" i="70"/>
  <c r="R22" i="70"/>
  <c r="R42" i="70"/>
  <c r="R19" i="71"/>
  <c r="R41" i="71"/>
  <c r="R18" i="72"/>
  <c r="R34" i="72"/>
  <c r="R15" i="73"/>
  <c r="R32" i="73"/>
  <c r="R6" i="67"/>
  <c r="R42" i="67"/>
  <c r="R9" i="67"/>
  <c r="R19" i="67"/>
  <c r="R41" i="67"/>
  <c r="R25" i="67"/>
  <c r="R26" i="67"/>
  <c r="R11" i="67"/>
  <c r="R15" i="67"/>
  <c r="R18" i="67"/>
  <c r="R17" i="67"/>
  <c r="R32" i="67"/>
  <c r="R36" i="67"/>
  <c r="R34" i="67"/>
  <c r="R12" i="67"/>
  <c r="R27" i="67"/>
  <c r="R22" i="67"/>
  <c r="R44" i="73" l="1"/>
  <c r="R44" i="67"/>
  <c r="R44" i="68"/>
  <c r="R44" i="69"/>
  <c r="R44" i="71"/>
  <c r="R44" i="70"/>
  <c r="R44" i="72"/>
  <c r="R32" i="66" l="1"/>
  <c r="R42" i="66"/>
  <c r="R27" i="66"/>
  <c r="R36" i="66"/>
  <c r="R18" i="66"/>
  <c r="R19" i="66"/>
  <c r="R6" i="66"/>
  <c r="R15" i="66"/>
  <c r="R26" i="66"/>
  <c r="R41" i="66"/>
  <c r="R9" i="66"/>
  <c r="R17" i="66"/>
  <c r="R12" i="66"/>
  <c r="R25" i="66"/>
  <c r="R34" i="66"/>
  <c r="R11" i="66"/>
  <c r="R22" i="66"/>
  <c r="R44" i="66" l="1"/>
  <c r="R15" i="65" l="1"/>
  <c r="R15" i="61" l="1"/>
  <c r="R15" i="62"/>
  <c r="R17" i="65"/>
  <c r="R15" i="75" l="1"/>
  <c r="R19" i="65"/>
  <c r="R41" i="65"/>
  <c r="R18" i="65"/>
  <c r="R36" i="65"/>
  <c r="R12" i="65"/>
  <c r="R32" i="65"/>
  <c r="R6" i="65"/>
  <c r="R25" i="65"/>
  <c r="R34" i="65"/>
  <c r="R11" i="65"/>
  <c r="R27" i="65"/>
  <c r="R22" i="65"/>
  <c r="R42" i="65"/>
  <c r="R9" i="65"/>
  <c r="R26" i="65"/>
  <c r="R44" i="65" l="1"/>
  <c r="R6" i="62" l="1"/>
  <c r="R25" i="62"/>
  <c r="R18" i="62"/>
  <c r="R34" i="62"/>
  <c r="R9" i="62"/>
  <c r="R11" i="62"/>
  <c r="R27" i="62"/>
  <c r="R12" i="62"/>
  <c r="R22" i="62"/>
  <c r="R42" i="62"/>
  <c r="R17" i="62"/>
  <c r="R36" i="62"/>
  <c r="R26" i="62"/>
  <c r="R19" i="62"/>
  <c r="R41" i="62"/>
  <c r="R32" i="62"/>
  <c r="R44" i="62" l="1"/>
  <c r="R9" i="61"/>
  <c r="R18" i="61"/>
  <c r="R26" i="61"/>
  <c r="R34" i="61"/>
  <c r="R17" i="61"/>
  <c r="R25" i="61"/>
  <c r="R36" i="61"/>
  <c r="R6" i="61"/>
  <c r="R12" i="61"/>
  <c r="R22" i="61"/>
  <c r="R32" i="61"/>
  <c r="R42" i="61"/>
  <c r="R11" i="61"/>
  <c r="R19" i="61"/>
  <c r="R27" i="61"/>
  <c r="R41" i="61"/>
  <c r="R27" i="75" l="1"/>
  <c r="R32" i="75"/>
  <c r="R36" i="75"/>
  <c r="R26" i="75"/>
  <c r="R19" i="75"/>
  <c r="R22" i="75"/>
  <c r="R25" i="75"/>
  <c r="R18" i="75"/>
  <c r="R11" i="75"/>
  <c r="R12" i="75"/>
  <c r="R17" i="75"/>
  <c r="R9" i="75"/>
  <c r="R41" i="75"/>
  <c r="R42" i="75"/>
  <c r="R6" i="75"/>
  <c r="R44" i="61"/>
  <c r="R34" i="75"/>
  <c r="R44" i="75" l="1"/>
  <c r="Q19" i="69" l="1"/>
  <c r="Q22" i="68"/>
  <c r="Q16" i="68"/>
  <c r="Q8" i="68"/>
  <c r="Q35" i="68"/>
  <c r="Q42" i="69"/>
  <c r="Q30" i="71"/>
  <c r="Q39" i="70"/>
  <c r="Q26" i="70"/>
  <c r="Q22" i="70"/>
  <c r="Q24" i="70"/>
  <c r="Q8" i="70"/>
  <c r="Q17" i="70"/>
  <c r="Q19" i="70"/>
  <c r="Q26" i="71"/>
  <c r="Q42" i="71"/>
  <c r="Q24" i="71"/>
  <c r="Q19" i="71"/>
  <c r="Q39" i="71"/>
  <c r="Q17" i="71"/>
  <c r="Q35" i="71"/>
  <c r="Q6" i="72"/>
  <c r="Q42" i="73"/>
  <c r="Q42" i="72"/>
  <c r="Q39" i="72"/>
  <c r="Q30" i="72"/>
  <c r="Q26" i="72"/>
  <c r="Q35" i="72"/>
  <c r="Q24" i="73"/>
  <c r="Q24" i="72"/>
  <c r="Q16" i="73"/>
  <c r="Q8" i="73"/>
  <c r="Q30" i="73"/>
  <c r="Q6" i="73"/>
  <c r="Q22" i="73"/>
  <c r="Q19" i="73"/>
  <c r="Q39" i="73"/>
  <c r="Q26" i="73"/>
  <c r="Q17" i="73"/>
  <c r="Q35" i="73"/>
  <c r="Q17" i="72"/>
  <c r="Q16" i="72"/>
  <c r="Q22" i="72"/>
  <c r="Q8" i="72"/>
  <c r="Q19" i="72"/>
  <c r="Q6" i="71"/>
  <c r="Q8" i="71"/>
  <c r="Q16" i="71"/>
  <c r="Q22" i="71"/>
  <c r="Q42" i="70"/>
  <c r="Q16" i="70"/>
  <c r="Q30" i="70"/>
  <c r="Q35" i="70"/>
  <c r="Q6" i="70"/>
  <c r="Q17" i="69"/>
  <c r="Q26" i="69"/>
  <c r="Q30" i="69"/>
  <c r="Q35" i="69"/>
  <c r="Q39" i="69"/>
  <c r="Q6" i="69"/>
  <c r="Q16" i="69"/>
  <c r="Q22" i="69"/>
  <c r="Q24" i="69"/>
  <c r="Q8" i="69"/>
  <c r="Q30" i="68"/>
  <c r="Q24" i="68"/>
  <c r="Q26" i="68"/>
  <c r="Q6" i="68"/>
  <c r="Q17" i="68"/>
  <c r="Q39" i="68"/>
  <c r="Q19" i="68"/>
  <c r="Q42" i="68"/>
  <c r="Q44" i="72" l="1"/>
  <c r="U6" i="72"/>
  <c r="Q44" i="69"/>
  <c r="U6" i="69"/>
  <c r="Q44" i="68"/>
  <c r="U6" i="68"/>
  <c r="Q44" i="73"/>
  <c r="U6" i="73"/>
  <c r="Q44" i="70"/>
  <c r="U6" i="70"/>
  <c r="Q44" i="71"/>
  <c r="U6" i="71"/>
  <c r="C6" i="68" l="1"/>
  <c r="C6" i="73"/>
  <c r="C6" i="71"/>
  <c r="C6" i="69"/>
  <c r="C6" i="70"/>
  <c r="C6" i="72"/>
  <c r="Q26" i="67" l="1"/>
  <c r="Q30" i="67"/>
  <c r="Q6" i="67"/>
  <c r="Q17" i="67"/>
  <c r="Q8" i="67"/>
  <c r="Q24" i="67"/>
  <c r="Q22" i="67"/>
  <c r="Q39" i="67"/>
  <c r="Q16" i="67"/>
  <c r="Q35" i="67"/>
  <c r="Q19" i="67"/>
  <c r="Q42" i="67"/>
  <c r="Q19" i="66"/>
  <c r="Q42" i="66"/>
  <c r="Q24" i="66"/>
  <c r="Q26" i="66"/>
  <c r="Q16" i="66"/>
  <c r="Q8" i="66"/>
  <c r="Q35" i="66"/>
  <c r="Q6" i="66"/>
  <c r="Q30" i="66"/>
  <c r="Q22" i="66"/>
  <c r="Q17" i="66"/>
  <c r="Q39" i="66"/>
  <c r="Q44" i="66" l="1"/>
  <c r="U6" i="66"/>
  <c r="Q44" i="67"/>
  <c r="U6" i="67"/>
  <c r="C6" i="67" l="1"/>
  <c r="C6" i="66"/>
  <c r="Q24" i="65" l="1"/>
  <c r="Q17" i="65"/>
  <c r="Q39" i="65"/>
  <c r="Q30" i="65"/>
  <c r="Q35" i="65"/>
  <c r="Q26" i="65"/>
  <c r="Q16" i="65"/>
  <c r="Q8" i="65"/>
  <c r="Q19" i="65"/>
  <c r="Q42" i="65"/>
  <c r="Q6" i="65"/>
  <c r="Q22" i="65"/>
  <c r="Q19" i="62"/>
  <c r="Q19" i="61"/>
  <c r="Q19" i="75" l="1"/>
  <c r="Q44" i="65"/>
  <c r="U6" i="65"/>
  <c r="C6" i="65" l="1"/>
  <c r="Q42" i="62" l="1"/>
  <c r="Q39" i="62"/>
  <c r="Q6" i="62"/>
  <c r="Q35" i="62"/>
  <c r="Q26" i="62"/>
  <c r="Q17" i="62"/>
  <c r="Q30" i="62"/>
  <c r="Q8" i="62"/>
  <c r="Q16" i="62"/>
  <c r="Q24" i="62"/>
  <c r="Q22" i="62"/>
  <c r="Q44" i="62" l="1"/>
  <c r="U6" i="62"/>
  <c r="C6" i="62" l="1"/>
  <c r="Q35" i="61" l="1"/>
  <c r="Q30" i="61"/>
  <c r="Q26" i="61"/>
  <c r="Q24" i="61"/>
  <c r="Q22" i="61"/>
  <c r="Q6" i="61"/>
  <c r="Q16" i="61"/>
  <c r="Q42" i="61"/>
  <c r="Q17" i="61"/>
  <c r="Q39" i="61"/>
  <c r="Q8" i="61"/>
  <c r="Q22" i="75" l="1"/>
  <c r="Q24" i="75"/>
  <c r="Q8" i="75"/>
  <c r="Q26" i="75"/>
  <c r="Q30" i="75"/>
  <c r="Q39" i="75"/>
  <c r="Q35" i="75"/>
  <c r="Q42" i="75"/>
  <c r="Q17" i="75"/>
  <c r="Q16" i="75"/>
  <c r="Q6" i="75"/>
  <c r="Q44" i="61"/>
  <c r="U6" i="61"/>
  <c r="Q44" i="75" l="1"/>
  <c r="U6" i="75"/>
  <c r="C6" i="61"/>
  <c r="C6" i="75" l="1"/>
  <c r="P21" i="68" l="1"/>
  <c r="P29" i="68"/>
  <c r="P37" i="68"/>
  <c r="P41" i="68"/>
  <c r="P11" i="68"/>
  <c r="P19" i="68"/>
  <c r="P28" i="68"/>
  <c r="P36" i="68"/>
  <c r="P12" i="68"/>
  <c r="P13" i="69"/>
  <c r="P22" i="69"/>
  <c r="P30" i="69"/>
  <c r="P38" i="69"/>
  <c r="P10" i="68"/>
  <c r="P18" i="68"/>
  <c r="P27" i="68"/>
  <c r="P35" i="68"/>
  <c r="P13" i="70"/>
  <c r="P22" i="70"/>
  <c r="P30" i="70"/>
  <c r="P38" i="70"/>
  <c r="P42" i="68"/>
  <c r="P23" i="70"/>
  <c r="P33" i="68"/>
  <c r="P8" i="68"/>
  <c r="P16" i="68"/>
  <c r="P25" i="68"/>
  <c r="P42" i="69"/>
  <c r="P42" i="70"/>
  <c r="P14" i="69"/>
  <c r="P23" i="69"/>
  <c r="P39" i="69"/>
  <c r="P7" i="68"/>
  <c r="P15" i="68"/>
  <c r="P24" i="68"/>
  <c r="P32" i="68"/>
  <c r="P40" i="68"/>
  <c r="P38" i="71"/>
  <c r="P40" i="69"/>
  <c r="P13" i="72"/>
  <c r="P22" i="72"/>
  <c r="P30" i="72"/>
  <c r="P38" i="72"/>
  <c r="P31" i="70"/>
  <c r="P39" i="70"/>
  <c r="P10" i="69"/>
  <c r="P18" i="69"/>
  <c r="P27" i="69"/>
  <c r="P12" i="69"/>
  <c r="P21" i="69"/>
  <c r="P29" i="69"/>
  <c r="P37" i="69"/>
  <c r="P36" i="70"/>
  <c r="P42" i="73"/>
  <c r="P14" i="72"/>
  <c r="P23" i="72"/>
  <c r="P31" i="72"/>
  <c r="P39" i="72"/>
  <c r="P11" i="71"/>
  <c r="P19" i="71"/>
  <c r="P28" i="71"/>
  <c r="P7" i="70"/>
  <c r="P15" i="70"/>
  <c r="P24" i="70"/>
  <c r="P27" i="72"/>
  <c r="P40" i="71"/>
  <c r="P9" i="70"/>
  <c r="P36" i="71"/>
  <c r="P42" i="71"/>
  <c r="P8" i="71"/>
  <c r="P16" i="71"/>
  <c r="P10" i="71"/>
  <c r="P27" i="71"/>
  <c r="P35" i="71"/>
  <c r="P21" i="71"/>
  <c r="P29" i="71"/>
  <c r="P35" i="72"/>
  <c r="P36" i="73"/>
  <c r="P16" i="72"/>
  <c r="P25" i="72"/>
  <c r="P30" i="73"/>
  <c r="P38" i="73"/>
  <c r="P10" i="72"/>
  <c r="P18" i="72"/>
  <c r="P12" i="72"/>
  <c r="P21" i="72"/>
  <c r="P29" i="72"/>
  <c r="P37" i="72"/>
  <c r="P39" i="73"/>
  <c r="P10" i="73"/>
  <c r="P18" i="73"/>
  <c r="P9" i="72"/>
  <c r="P42" i="72"/>
  <c r="P9" i="73"/>
  <c r="P17" i="73"/>
  <c r="P35" i="73"/>
  <c r="P32" i="73"/>
  <c r="P37" i="73"/>
  <c r="P26" i="73"/>
  <c r="P19" i="73"/>
  <c r="P28" i="73"/>
  <c r="P33" i="73"/>
  <c r="P13" i="73"/>
  <c r="P22" i="73"/>
  <c r="P27" i="73"/>
  <c r="P21" i="73"/>
  <c r="P34" i="73"/>
  <c r="P14" i="73"/>
  <c r="P23" i="73"/>
  <c r="P31" i="73"/>
  <c r="P11" i="73"/>
  <c r="P8" i="73"/>
  <c r="P16" i="73"/>
  <c r="P25" i="73"/>
  <c r="P41" i="73"/>
  <c r="P7" i="73"/>
  <c r="P15" i="73"/>
  <c r="P24" i="73"/>
  <c r="P40" i="73"/>
  <c r="P12" i="73"/>
  <c r="P29" i="73"/>
  <c r="P33" i="72"/>
  <c r="P17" i="72"/>
  <c r="P11" i="72"/>
  <c r="P19" i="72"/>
  <c r="P28" i="72"/>
  <c r="P36" i="72"/>
  <c r="P8" i="72"/>
  <c r="P41" i="72"/>
  <c r="P7" i="72"/>
  <c r="P15" i="72"/>
  <c r="P24" i="72"/>
  <c r="P32" i="72"/>
  <c r="P40" i="72"/>
  <c r="P26" i="72"/>
  <c r="P34" i="72"/>
  <c r="P25" i="71"/>
  <c r="P33" i="71"/>
  <c r="P41" i="71"/>
  <c r="P18" i="71"/>
  <c r="P13" i="71"/>
  <c r="P22" i="71"/>
  <c r="P30" i="71"/>
  <c r="P7" i="71"/>
  <c r="P15" i="71"/>
  <c r="P24" i="71"/>
  <c r="P32" i="71"/>
  <c r="P12" i="71"/>
  <c r="P37" i="71"/>
  <c r="P9" i="71"/>
  <c r="P17" i="71"/>
  <c r="P26" i="71"/>
  <c r="P34" i="71"/>
  <c r="P14" i="71"/>
  <c r="P23" i="71"/>
  <c r="P31" i="71"/>
  <c r="P39" i="71"/>
  <c r="P41" i="70"/>
  <c r="P32" i="70"/>
  <c r="P17" i="70"/>
  <c r="P26" i="70"/>
  <c r="P34" i="70"/>
  <c r="P8" i="70"/>
  <c r="P16" i="70"/>
  <c r="P25" i="70"/>
  <c r="P33" i="70"/>
  <c r="P10" i="70"/>
  <c r="P18" i="70"/>
  <c r="P27" i="70"/>
  <c r="P35" i="70"/>
  <c r="P40" i="70"/>
  <c r="P12" i="70"/>
  <c r="P21" i="70"/>
  <c r="P29" i="70"/>
  <c r="P37" i="70"/>
  <c r="P14" i="70"/>
  <c r="P11" i="70"/>
  <c r="P19" i="70"/>
  <c r="P28" i="70"/>
  <c r="P31" i="69"/>
  <c r="P41" i="69"/>
  <c r="P35" i="69"/>
  <c r="P7" i="69"/>
  <c r="P15" i="69"/>
  <c r="P24" i="69"/>
  <c r="P32" i="69"/>
  <c r="P9" i="69"/>
  <c r="P17" i="69"/>
  <c r="P26" i="69"/>
  <c r="P34" i="69"/>
  <c r="P11" i="69"/>
  <c r="P19" i="69"/>
  <c r="P28" i="69"/>
  <c r="P36" i="69"/>
  <c r="P8" i="69"/>
  <c r="P16" i="69"/>
  <c r="P25" i="69"/>
  <c r="P33" i="69"/>
  <c r="P14" i="68"/>
  <c r="P23" i="68"/>
  <c r="P31" i="68"/>
  <c r="P13" i="68"/>
  <c r="P22" i="68"/>
  <c r="P30" i="68"/>
  <c r="P38" i="68"/>
  <c r="P39" i="68"/>
  <c r="P9" i="68"/>
  <c r="P17" i="68"/>
  <c r="P26" i="68"/>
  <c r="P34" i="68"/>
  <c r="U26" i="68" l="1"/>
  <c r="C26" i="68" s="1"/>
  <c r="U23" i="68"/>
  <c r="C23" i="68" s="1"/>
  <c r="U15" i="69"/>
  <c r="C15" i="69" s="1"/>
  <c r="U18" i="70"/>
  <c r="C18" i="70" s="1"/>
  <c r="U26" i="71"/>
  <c r="C26" i="71" s="1"/>
  <c r="U34" i="72"/>
  <c r="C34" i="72" s="1"/>
  <c r="U8" i="72"/>
  <c r="C8" i="72" s="1"/>
  <c r="U12" i="73"/>
  <c r="C12" i="73" s="1"/>
  <c r="U8" i="73"/>
  <c r="C8" i="73" s="1"/>
  <c r="U22" i="73"/>
  <c r="C22" i="73" s="1"/>
  <c r="U35" i="73"/>
  <c r="C35" i="73" s="1"/>
  <c r="U37" i="72"/>
  <c r="C37" i="72" s="1"/>
  <c r="U25" i="72"/>
  <c r="C25" i="72" s="1"/>
  <c r="U10" i="71"/>
  <c r="C10" i="71" s="1"/>
  <c r="U24" i="70"/>
  <c r="C24" i="70" s="1"/>
  <c r="U23" i="72"/>
  <c r="C23" i="72" s="1"/>
  <c r="U27" i="69"/>
  <c r="C27" i="69" s="1"/>
  <c r="U13" i="72"/>
  <c r="C13" i="72" s="1"/>
  <c r="U39" i="69"/>
  <c r="C39" i="69" s="1"/>
  <c r="U33" i="68"/>
  <c r="C33" i="68" s="1"/>
  <c r="U27" i="68"/>
  <c r="C27" i="68" s="1"/>
  <c r="U36" i="68"/>
  <c r="C36" i="68" s="1"/>
  <c r="U34" i="68"/>
  <c r="C34" i="68" s="1"/>
  <c r="U13" i="68"/>
  <c r="C13" i="68" s="1"/>
  <c r="U17" i="68"/>
  <c r="C17" i="68" s="1"/>
  <c r="U19" i="69"/>
  <c r="C19" i="69" s="1"/>
  <c r="U14" i="70"/>
  <c r="C14" i="70" s="1"/>
  <c r="U17" i="70"/>
  <c r="C17" i="70" s="1"/>
  <c r="U9" i="68"/>
  <c r="C9" i="68" s="1"/>
  <c r="U14" i="68"/>
  <c r="C14" i="68" s="1"/>
  <c r="U11" i="69"/>
  <c r="C11" i="69" s="1"/>
  <c r="U37" i="70"/>
  <c r="C37" i="70" s="1"/>
  <c r="U10" i="70"/>
  <c r="C10" i="70" s="1"/>
  <c r="U32" i="70"/>
  <c r="C32" i="70" s="1"/>
  <c r="U17" i="71"/>
  <c r="C17" i="71" s="1"/>
  <c r="U30" i="71"/>
  <c r="C30" i="71" s="1"/>
  <c r="U26" i="72"/>
  <c r="C26" i="72" s="1"/>
  <c r="U36" i="72"/>
  <c r="C36" i="72" s="1"/>
  <c r="U40" i="73"/>
  <c r="C40" i="73" s="1"/>
  <c r="U11" i="73"/>
  <c r="C11" i="73" s="1"/>
  <c r="U13" i="73"/>
  <c r="C13" i="73" s="1"/>
  <c r="U17" i="73"/>
  <c r="C17" i="73" s="1"/>
  <c r="U29" i="72"/>
  <c r="C29" i="72" s="1"/>
  <c r="U16" i="72"/>
  <c r="C16" i="72" s="1"/>
  <c r="U16" i="71"/>
  <c r="C16" i="71" s="1"/>
  <c r="U15" i="70"/>
  <c r="C15" i="70" s="1"/>
  <c r="U14" i="72"/>
  <c r="C14" i="72" s="1"/>
  <c r="U18" i="69"/>
  <c r="C18" i="69" s="1"/>
  <c r="U40" i="69"/>
  <c r="C40" i="69" s="1"/>
  <c r="U23" i="69"/>
  <c r="C23" i="69" s="1"/>
  <c r="U23" i="70"/>
  <c r="C23" i="70" s="1"/>
  <c r="U18" i="68"/>
  <c r="C18" i="68" s="1"/>
  <c r="U28" i="68"/>
  <c r="C28" i="68" s="1"/>
  <c r="U33" i="69"/>
  <c r="C33" i="69" s="1"/>
  <c r="U34" i="69"/>
  <c r="C34" i="69" s="1"/>
  <c r="U35" i="69"/>
  <c r="C35" i="69" s="1"/>
  <c r="U29" i="70"/>
  <c r="C29" i="70" s="1"/>
  <c r="U33" i="70"/>
  <c r="C33" i="70" s="1"/>
  <c r="U41" i="70"/>
  <c r="C41" i="70" s="1"/>
  <c r="U9" i="71"/>
  <c r="C9" i="71" s="1"/>
  <c r="U22" i="71"/>
  <c r="C22" i="71" s="1"/>
  <c r="U40" i="72"/>
  <c r="C40" i="72" s="1"/>
  <c r="U28" i="72"/>
  <c r="C28" i="72" s="1"/>
  <c r="U24" i="73"/>
  <c r="C24" i="73" s="1"/>
  <c r="U31" i="73"/>
  <c r="C31" i="73" s="1"/>
  <c r="U33" i="73"/>
  <c r="C33" i="73" s="1"/>
  <c r="U9" i="73"/>
  <c r="C9" i="73" s="1"/>
  <c r="U21" i="72"/>
  <c r="C21" i="72" s="1"/>
  <c r="U36" i="73"/>
  <c r="C36" i="73" s="1"/>
  <c r="U8" i="71"/>
  <c r="C8" i="71" s="1"/>
  <c r="U42" i="73"/>
  <c r="C42" i="73" s="1"/>
  <c r="U10" i="69"/>
  <c r="C10" i="69" s="1"/>
  <c r="U38" i="71"/>
  <c r="C38" i="71" s="1"/>
  <c r="U14" i="69"/>
  <c r="C14" i="69" s="1"/>
  <c r="U42" i="68"/>
  <c r="C42" i="68" s="1"/>
  <c r="U10" i="68"/>
  <c r="C10" i="68" s="1"/>
  <c r="U19" i="68"/>
  <c r="C19" i="68" s="1"/>
  <c r="U41" i="69"/>
  <c r="C41" i="69" s="1"/>
  <c r="U39" i="71"/>
  <c r="C39" i="71" s="1"/>
  <c r="U37" i="71"/>
  <c r="C37" i="71" s="1"/>
  <c r="U13" i="71"/>
  <c r="C13" i="71" s="1"/>
  <c r="U32" i="72"/>
  <c r="C32" i="72" s="1"/>
  <c r="U19" i="72"/>
  <c r="C19" i="72" s="1"/>
  <c r="U15" i="73"/>
  <c r="C15" i="73" s="1"/>
  <c r="U23" i="73"/>
  <c r="C23" i="73" s="1"/>
  <c r="U28" i="73"/>
  <c r="C28" i="73" s="1"/>
  <c r="U42" i="72"/>
  <c r="C42" i="72" s="1"/>
  <c r="U12" i="72"/>
  <c r="C12" i="72" s="1"/>
  <c r="U35" i="72"/>
  <c r="C35" i="72" s="1"/>
  <c r="U42" i="71"/>
  <c r="C42" i="71" s="1"/>
  <c r="U28" i="71"/>
  <c r="C28" i="71" s="1"/>
  <c r="U36" i="70"/>
  <c r="C36" i="70" s="1"/>
  <c r="U39" i="70"/>
  <c r="C39" i="70" s="1"/>
  <c r="U40" i="68"/>
  <c r="C40" i="68" s="1"/>
  <c r="U42" i="70"/>
  <c r="C42" i="70" s="1"/>
  <c r="U38" i="70"/>
  <c r="C38" i="70" s="1"/>
  <c r="U38" i="69"/>
  <c r="C38" i="69" s="1"/>
  <c r="U11" i="68"/>
  <c r="C11" i="68" s="1"/>
  <c r="U25" i="69"/>
  <c r="C25" i="69" s="1"/>
  <c r="U21" i="70"/>
  <c r="C21" i="70" s="1"/>
  <c r="U30" i="68"/>
  <c r="C30" i="68" s="1"/>
  <c r="U16" i="69"/>
  <c r="C16" i="69" s="1"/>
  <c r="U17" i="69"/>
  <c r="C17" i="69" s="1"/>
  <c r="U31" i="69"/>
  <c r="C31" i="69" s="1"/>
  <c r="U12" i="70"/>
  <c r="C12" i="70" s="1"/>
  <c r="U16" i="70"/>
  <c r="C16" i="70" s="1"/>
  <c r="U31" i="71"/>
  <c r="C31" i="71" s="1"/>
  <c r="U12" i="71"/>
  <c r="C12" i="71" s="1"/>
  <c r="U18" i="71"/>
  <c r="C18" i="71" s="1"/>
  <c r="U24" i="72"/>
  <c r="C24" i="72" s="1"/>
  <c r="U11" i="72"/>
  <c r="C11" i="72" s="1"/>
  <c r="U14" i="73"/>
  <c r="C14" i="73" s="1"/>
  <c r="U19" i="73"/>
  <c r="C19" i="73" s="1"/>
  <c r="U9" i="72"/>
  <c r="C9" i="72" s="1"/>
  <c r="U18" i="72"/>
  <c r="C18" i="72" s="1"/>
  <c r="U29" i="71"/>
  <c r="C29" i="71" s="1"/>
  <c r="U36" i="71"/>
  <c r="C36" i="71" s="1"/>
  <c r="U19" i="71"/>
  <c r="C19" i="71" s="1"/>
  <c r="U37" i="69"/>
  <c r="C37" i="69" s="1"/>
  <c r="U31" i="70"/>
  <c r="C31" i="70" s="1"/>
  <c r="U32" i="68"/>
  <c r="C32" i="68" s="1"/>
  <c r="U42" i="69"/>
  <c r="C42" i="69" s="1"/>
  <c r="U30" i="70"/>
  <c r="C30" i="70" s="1"/>
  <c r="U30" i="69"/>
  <c r="C30" i="69" s="1"/>
  <c r="U41" i="68"/>
  <c r="C41" i="68" s="1"/>
  <c r="U26" i="69"/>
  <c r="C26" i="69" s="1"/>
  <c r="U25" i="70"/>
  <c r="C25" i="70" s="1"/>
  <c r="U22" i="68"/>
  <c r="C22" i="68" s="1"/>
  <c r="U8" i="69"/>
  <c r="C8" i="69" s="1"/>
  <c r="U9" i="69"/>
  <c r="C9" i="69" s="1"/>
  <c r="U28" i="70"/>
  <c r="C28" i="70" s="1"/>
  <c r="U40" i="70"/>
  <c r="C40" i="70" s="1"/>
  <c r="U8" i="70"/>
  <c r="C8" i="70" s="1"/>
  <c r="U23" i="71"/>
  <c r="C23" i="71" s="1"/>
  <c r="U32" i="71"/>
  <c r="C32" i="71" s="1"/>
  <c r="U41" i="71"/>
  <c r="C41" i="71" s="1"/>
  <c r="U15" i="72"/>
  <c r="C15" i="72" s="1"/>
  <c r="U17" i="72"/>
  <c r="C17" i="72" s="1"/>
  <c r="U41" i="73"/>
  <c r="C41" i="73" s="1"/>
  <c r="U34" i="73"/>
  <c r="C34" i="73" s="1"/>
  <c r="U26" i="73"/>
  <c r="C26" i="73" s="1"/>
  <c r="U18" i="73"/>
  <c r="C18" i="73" s="1"/>
  <c r="U10" i="72"/>
  <c r="C10" i="72" s="1"/>
  <c r="U21" i="71"/>
  <c r="C21" i="71" s="1"/>
  <c r="U9" i="70"/>
  <c r="C9" i="70" s="1"/>
  <c r="U11" i="71"/>
  <c r="C11" i="71" s="1"/>
  <c r="U29" i="69"/>
  <c r="C29" i="69" s="1"/>
  <c r="U38" i="72"/>
  <c r="C38" i="72" s="1"/>
  <c r="U24" i="68"/>
  <c r="C24" i="68" s="1"/>
  <c r="U25" i="68"/>
  <c r="C25" i="68" s="1"/>
  <c r="U22" i="70"/>
  <c r="C22" i="70" s="1"/>
  <c r="U22" i="69"/>
  <c r="C22" i="69" s="1"/>
  <c r="U37" i="68"/>
  <c r="C37" i="68" s="1"/>
  <c r="U39" i="68"/>
  <c r="C39" i="68" s="1"/>
  <c r="U36" i="69"/>
  <c r="C36" i="69" s="1"/>
  <c r="U32" i="69"/>
  <c r="C32" i="69" s="1"/>
  <c r="U19" i="70"/>
  <c r="C19" i="70" s="1"/>
  <c r="U35" i="70"/>
  <c r="C35" i="70" s="1"/>
  <c r="U34" i="70"/>
  <c r="C34" i="70" s="1"/>
  <c r="U14" i="71"/>
  <c r="C14" i="71" s="1"/>
  <c r="U24" i="71"/>
  <c r="C24" i="71" s="1"/>
  <c r="U33" i="71"/>
  <c r="C33" i="71" s="1"/>
  <c r="U33" i="72"/>
  <c r="C33" i="72" s="1"/>
  <c r="U25" i="73"/>
  <c r="C25" i="73" s="1"/>
  <c r="U21" i="73"/>
  <c r="C21" i="73" s="1"/>
  <c r="U37" i="73"/>
  <c r="C37" i="73" s="1"/>
  <c r="U10" i="73"/>
  <c r="C10" i="73" s="1"/>
  <c r="U38" i="73"/>
  <c r="C38" i="73" s="1"/>
  <c r="U35" i="71"/>
  <c r="C35" i="71" s="1"/>
  <c r="U40" i="71"/>
  <c r="C40" i="71" s="1"/>
  <c r="U39" i="72"/>
  <c r="C39" i="72" s="1"/>
  <c r="U21" i="69"/>
  <c r="C21" i="69" s="1"/>
  <c r="U30" i="72"/>
  <c r="C30" i="72" s="1"/>
  <c r="U15" i="68"/>
  <c r="C15" i="68" s="1"/>
  <c r="U16" i="68"/>
  <c r="C16" i="68" s="1"/>
  <c r="U13" i="70"/>
  <c r="C13" i="70" s="1"/>
  <c r="U13" i="69"/>
  <c r="C13" i="69" s="1"/>
  <c r="U29" i="68"/>
  <c r="C29" i="68" s="1"/>
  <c r="U38" i="68"/>
  <c r="C38" i="68" s="1"/>
  <c r="U31" i="68"/>
  <c r="C31" i="68" s="1"/>
  <c r="U28" i="69"/>
  <c r="C28" i="69" s="1"/>
  <c r="U24" i="69"/>
  <c r="C24" i="69" s="1"/>
  <c r="U11" i="70"/>
  <c r="C11" i="70" s="1"/>
  <c r="U27" i="70"/>
  <c r="C27" i="70" s="1"/>
  <c r="U26" i="70"/>
  <c r="C26" i="70" s="1"/>
  <c r="U34" i="71"/>
  <c r="C34" i="71" s="1"/>
  <c r="U15" i="71"/>
  <c r="C15" i="71" s="1"/>
  <c r="U25" i="71"/>
  <c r="C25" i="71" s="1"/>
  <c r="U41" i="72"/>
  <c r="C41" i="72" s="1"/>
  <c r="U29" i="73"/>
  <c r="C29" i="73" s="1"/>
  <c r="U16" i="73"/>
  <c r="C16" i="73" s="1"/>
  <c r="U27" i="73"/>
  <c r="C27" i="73" s="1"/>
  <c r="U32" i="73"/>
  <c r="C32" i="73" s="1"/>
  <c r="U39" i="73"/>
  <c r="C39" i="73" s="1"/>
  <c r="U30" i="73"/>
  <c r="C30" i="73" s="1"/>
  <c r="U27" i="71"/>
  <c r="C27" i="71" s="1"/>
  <c r="U27" i="72"/>
  <c r="C27" i="72" s="1"/>
  <c r="U31" i="72"/>
  <c r="C31" i="72" s="1"/>
  <c r="U12" i="69"/>
  <c r="C12" i="69" s="1"/>
  <c r="U22" i="72"/>
  <c r="C22" i="72" s="1"/>
  <c r="U8" i="68"/>
  <c r="C8" i="68" s="1"/>
  <c r="U35" i="68"/>
  <c r="C35" i="68" s="1"/>
  <c r="U12" i="68"/>
  <c r="C12" i="68" s="1"/>
  <c r="U21" i="68"/>
  <c r="C21" i="68" s="1"/>
  <c r="U7" i="68"/>
  <c r="P44" i="68"/>
  <c r="U7" i="73"/>
  <c r="C7" i="73" s="1"/>
  <c r="P44" i="73"/>
  <c r="P44" i="72"/>
  <c r="U7" i="72"/>
  <c r="U7" i="69"/>
  <c r="P44" i="69"/>
  <c r="P44" i="71"/>
  <c r="U7" i="71"/>
  <c r="U7" i="70"/>
  <c r="P44" i="70"/>
  <c r="C44" i="73" l="1"/>
  <c r="U44" i="73"/>
  <c r="C7" i="69"/>
  <c r="C44" i="69" s="1"/>
  <c r="U44" i="69"/>
  <c r="C7" i="70"/>
  <c r="C44" i="70" s="1"/>
  <c r="U44" i="70"/>
  <c r="C7" i="72"/>
  <c r="C44" i="72" s="1"/>
  <c r="U44" i="72"/>
  <c r="C7" i="71"/>
  <c r="C44" i="71" s="1"/>
  <c r="U44" i="71"/>
  <c r="C7" i="68"/>
  <c r="C44" i="68" s="1"/>
  <c r="U44" i="68"/>
  <c r="P42" i="67" l="1"/>
  <c r="P38" i="67"/>
  <c r="P34" i="67"/>
  <c r="P30" i="67"/>
  <c r="P26" i="67"/>
  <c r="P22" i="67"/>
  <c r="P17" i="67"/>
  <c r="P13" i="67"/>
  <c r="P9" i="67"/>
  <c r="P39" i="67"/>
  <c r="P35" i="67"/>
  <c r="P31" i="67"/>
  <c r="P27" i="67"/>
  <c r="P23" i="67"/>
  <c r="P18" i="67"/>
  <c r="P14" i="67"/>
  <c r="P10" i="67"/>
  <c r="P41" i="67"/>
  <c r="P37" i="67"/>
  <c r="P33" i="67"/>
  <c r="P29" i="67"/>
  <c r="P25" i="67"/>
  <c r="P21" i="67"/>
  <c r="P16" i="67"/>
  <c r="P12" i="67"/>
  <c r="P8" i="67"/>
  <c r="P40" i="67"/>
  <c r="P36" i="67"/>
  <c r="P32" i="67"/>
  <c r="P28" i="67"/>
  <c r="P24" i="67"/>
  <c r="P19" i="67"/>
  <c r="P15" i="67"/>
  <c r="P11" i="67"/>
  <c r="P7" i="67"/>
  <c r="P29" i="66"/>
  <c r="P37" i="66"/>
  <c r="P35" i="66"/>
  <c r="P41" i="66"/>
  <c r="P12" i="66"/>
  <c r="P21" i="66"/>
  <c r="P8" i="66"/>
  <c r="P25" i="66"/>
  <c r="P33" i="66"/>
  <c r="P10" i="66"/>
  <c r="P18" i="66"/>
  <c r="P27" i="66"/>
  <c r="P16" i="66"/>
  <c r="P11" i="66"/>
  <c r="P19" i="66"/>
  <c r="P28" i="66"/>
  <c r="P36" i="66"/>
  <c r="P9" i="66"/>
  <c r="P17" i="66"/>
  <c r="P26" i="66"/>
  <c r="P34" i="66"/>
  <c r="P42" i="66"/>
  <c r="P14" i="66"/>
  <c r="P23" i="66"/>
  <c r="P31" i="66"/>
  <c r="P39" i="66"/>
  <c r="P13" i="66"/>
  <c r="P22" i="66"/>
  <c r="P30" i="66"/>
  <c r="P38" i="66"/>
  <c r="P7" i="66"/>
  <c r="P15" i="66"/>
  <c r="P24" i="66"/>
  <c r="P32" i="66"/>
  <c r="P40" i="66"/>
  <c r="U33" i="67" l="1"/>
  <c r="C33" i="67" s="1"/>
  <c r="U15" i="66"/>
  <c r="C15" i="66" s="1"/>
  <c r="U25" i="66"/>
  <c r="C25" i="66" s="1"/>
  <c r="U40" i="67"/>
  <c r="C40" i="67" s="1"/>
  <c r="U37" i="67"/>
  <c r="C37" i="67" s="1"/>
  <c r="U35" i="67"/>
  <c r="C35" i="67" s="1"/>
  <c r="U34" i="67"/>
  <c r="C34" i="67" s="1"/>
  <c r="U36" i="67"/>
  <c r="C36" i="67" s="1"/>
  <c r="U23" i="66"/>
  <c r="C23" i="66" s="1"/>
  <c r="U19" i="66"/>
  <c r="C19" i="66" s="1"/>
  <c r="U8" i="66"/>
  <c r="C8" i="66" s="1"/>
  <c r="U11" i="67"/>
  <c r="C11" i="67" s="1"/>
  <c r="U8" i="67"/>
  <c r="C8" i="67" s="1"/>
  <c r="U41" i="67"/>
  <c r="C41" i="67" s="1"/>
  <c r="U39" i="67"/>
  <c r="C39" i="67" s="1"/>
  <c r="U38" i="67"/>
  <c r="C38" i="67" s="1"/>
  <c r="U33" i="66"/>
  <c r="C33" i="66" s="1"/>
  <c r="U28" i="66"/>
  <c r="C28" i="66" s="1"/>
  <c r="U14" i="66"/>
  <c r="C14" i="66" s="1"/>
  <c r="U42" i="66"/>
  <c r="C42" i="66" s="1"/>
  <c r="U11" i="66"/>
  <c r="C11" i="66" s="1"/>
  <c r="U21" i="66"/>
  <c r="C21" i="66" s="1"/>
  <c r="U15" i="67"/>
  <c r="C15" i="67" s="1"/>
  <c r="U12" i="67"/>
  <c r="C12" i="67" s="1"/>
  <c r="U10" i="67"/>
  <c r="C10" i="67" s="1"/>
  <c r="U9" i="67"/>
  <c r="C9" i="67" s="1"/>
  <c r="U42" i="67"/>
  <c r="C42" i="67" s="1"/>
  <c r="U36" i="66"/>
  <c r="C36" i="66" s="1"/>
  <c r="U30" i="67"/>
  <c r="C30" i="67" s="1"/>
  <c r="U38" i="66"/>
  <c r="C38" i="66" s="1"/>
  <c r="U30" i="66"/>
  <c r="C30" i="66" s="1"/>
  <c r="U34" i="66"/>
  <c r="C34" i="66" s="1"/>
  <c r="U16" i="66"/>
  <c r="C16" i="66" s="1"/>
  <c r="U12" i="66"/>
  <c r="C12" i="66" s="1"/>
  <c r="U19" i="67"/>
  <c r="C19" i="67" s="1"/>
  <c r="U16" i="67"/>
  <c r="C16" i="67" s="1"/>
  <c r="U14" i="67"/>
  <c r="C14" i="67" s="1"/>
  <c r="U13" i="67"/>
  <c r="C13" i="67" s="1"/>
  <c r="U24" i="66"/>
  <c r="C24" i="66" s="1"/>
  <c r="U29" i="66"/>
  <c r="C29" i="66" s="1"/>
  <c r="U22" i="66"/>
  <c r="C22" i="66" s="1"/>
  <c r="U26" i="66"/>
  <c r="C26" i="66" s="1"/>
  <c r="U27" i="66"/>
  <c r="C27" i="66" s="1"/>
  <c r="U41" i="66"/>
  <c r="C41" i="66" s="1"/>
  <c r="U24" i="67"/>
  <c r="C24" i="67" s="1"/>
  <c r="U21" i="67"/>
  <c r="C21" i="67" s="1"/>
  <c r="U18" i="67"/>
  <c r="C18" i="67" s="1"/>
  <c r="U17" i="67"/>
  <c r="C17" i="67" s="1"/>
  <c r="U31" i="66"/>
  <c r="C31" i="66" s="1"/>
  <c r="U31" i="67"/>
  <c r="C31" i="67" s="1"/>
  <c r="U40" i="66"/>
  <c r="C40" i="66" s="1"/>
  <c r="U13" i="66"/>
  <c r="C13" i="66" s="1"/>
  <c r="U17" i="66"/>
  <c r="C17" i="66" s="1"/>
  <c r="U18" i="66"/>
  <c r="C18" i="66" s="1"/>
  <c r="U35" i="66"/>
  <c r="C35" i="66" s="1"/>
  <c r="U28" i="67"/>
  <c r="C28" i="67" s="1"/>
  <c r="U25" i="67"/>
  <c r="C25" i="67" s="1"/>
  <c r="U23" i="67"/>
  <c r="C23" i="67" s="1"/>
  <c r="U22" i="67"/>
  <c r="C22" i="67" s="1"/>
  <c r="U32" i="66"/>
  <c r="C32" i="66" s="1"/>
  <c r="U39" i="66"/>
  <c r="C39" i="66" s="1"/>
  <c r="U9" i="66"/>
  <c r="C9" i="66" s="1"/>
  <c r="U10" i="66"/>
  <c r="C10" i="66" s="1"/>
  <c r="U37" i="66"/>
  <c r="C37" i="66" s="1"/>
  <c r="U32" i="67"/>
  <c r="C32" i="67" s="1"/>
  <c r="U29" i="67"/>
  <c r="C29" i="67" s="1"/>
  <c r="U27" i="67"/>
  <c r="C27" i="67" s="1"/>
  <c r="U26" i="67"/>
  <c r="C26" i="67" s="1"/>
  <c r="P44" i="67"/>
  <c r="U7" i="67"/>
  <c r="P44" i="66"/>
  <c r="U7" i="66"/>
  <c r="C7" i="66" l="1"/>
  <c r="C44" i="66" s="1"/>
  <c r="U44" i="66"/>
  <c r="C7" i="67"/>
  <c r="C44" i="67" s="1"/>
  <c r="U44" i="67"/>
  <c r="P9" i="65" l="1"/>
  <c r="P17" i="65"/>
  <c r="P31" i="65"/>
  <c r="P39" i="65"/>
  <c r="P28" i="65"/>
  <c r="P8" i="65"/>
  <c r="P16" i="65"/>
  <c r="P25" i="65"/>
  <c r="P41" i="65"/>
  <c r="P10" i="65"/>
  <c r="P18" i="65"/>
  <c r="P27" i="65"/>
  <c r="P35" i="65"/>
  <c r="P7" i="65"/>
  <c r="P15" i="65"/>
  <c r="P24" i="65"/>
  <c r="P32" i="65"/>
  <c r="P26" i="65"/>
  <c r="P34" i="65"/>
  <c r="P42" i="65"/>
  <c r="P40" i="65"/>
  <c r="P12" i="65"/>
  <c r="P21" i="65"/>
  <c r="P29" i="65"/>
  <c r="P37" i="65"/>
  <c r="P11" i="65"/>
  <c r="P19" i="65"/>
  <c r="P14" i="65"/>
  <c r="P23" i="65"/>
  <c r="P36" i="65"/>
  <c r="P33" i="65"/>
  <c r="P13" i="65"/>
  <c r="P22" i="65"/>
  <c r="P30" i="65"/>
  <c r="P38" i="65"/>
  <c r="U26" i="65" l="1"/>
  <c r="C26" i="65" s="1"/>
  <c r="U10" i="65"/>
  <c r="C10" i="65" s="1"/>
  <c r="U32" i="65"/>
  <c r="C32" i="65" s="1"/>
  <c r="U41" i="65"/>
  <c r="C41" i="65" s="1"/>
  <c r="U9" i="65"/>
  <c r="C9" i="65" s="1"/>
  <c r="U37" i="65"/>
  <c r="C37" i="65" s="1"/>
  <c r="U29" i="65"/>
  <c r="C29" i="65" s="1"/>
  <c r="U24" i="65"/>
  <c r="C24" i="65" s="1"/>
  <c r="U25" i="65"/>
  <c r="C25" i="65" s="1"/>
  <c r="U30" i="65"/>
  <c r="C30" i="65" s="1"/>
  <c r="U17" i="65"/>
  <c r="C17" i="65" s="1"/>
  <c r="U33" i="65"/>
  <c r="C33" i="65" s="1"/>
  <c r="U21" i="65"/>
  <c r="C21" i="65" s="1"/>
  <c r="U15" i="65"/>
  <c r="C15" i="65" s="1"/>
  <c r="U16" i="65"/>
  <c r="C16" i="65" s="1"/>
  <c r="U14" i="65"/>
  <c r="C14" i="65" s="1"/>
  <c r="U11" i="65"/>
  <c r="C11" i="65" s="1"/>
  <c r="U22" i="65"/>
  <c r="C22" i="65" s="1"/>
  <c r="U13" i="65"/>
  <c r="C13" i="65" s="1"/>
  <c r="U36" i="65"/>
  <c r="C36" i="65" s="1"/>
  <c r="U12" i="65"/>
  <c r="C12" i="65" s="1"/>
  <c r="U8" i="65"/>
  <c r="C8" i="65" s="1"/>
  <c r="U23" i="65"/>
  <c r="C23" i="65" s="1"/>
  <c r="U40" i="65"/>
  <c r="C40" i="65" s="1"/>
  <c r="U35" i="65"/>
  <c r="C35" i="65" s="1"/>
  <c r="U28" i="65"/>
  <c r="C28" i="65" s="1"/>
  <c r="U42" i="65"/>
  <c r="C42" i="65" s="1"/>
  <c r="U27" i="65"/>
  <c r="C27" i="65" s="1"/>
  <c r="U39" i="65"/>
  <c r="C39" i="65" s="1"/>
  <c r="U38" i="65"/>
  <c r="C38" i="65" s="1"/>
  <c r="U19" i="65"/>
  <c r="C19" i="65" s="1"/>
  <c r="U34" i="65"/>
  <c r="C34" i="65" s="1"/>
  <c r="U18" i="65"/>
  <c r="C18" i="65" s="1"/>
  <c r="U31" i="65"/>
  <c r="C31" i="65" s="1"/>
  <c r="P44" i="65"/>
  <c r="U7" i="65"/>
  <c r="C44" i="65" l="1"/>
  <c r="U44" i="65"/>
  <c r="P15" i="61"/>
  <c r="P15" i="62"/>
  <c r="U15" i="62" l="1"/>
  <c r="C15" i="62" s="1"/>
  <c r="P15" i="75"/>
  <c r="U15" i="61"/>
  <c r="U15" i="75" l="1"/>
  <c r="C15" i="61"/>
  <c r="C15" i="75" s="1"/>
  <c r="P16" i="62" l="1"/>
  <c r="U16" i="62" l="1"/>
  <c r="C16" i="62" s="1"/>
  <c r="P11" i="62"/>
  <c r="P8" i="62"/>
  <c r="P18" i="62"/>
  <c r="P27" i="62"/>
  <c r="P35" i="62"/>
  <c r="P24" i="62"/>
  <c r="P32" i="62"/>
  <c r="P40" i="62"/>
  <c r="P13" i="62"/>
  <c r="P10" i="62"/>
  <c r="P21" i="62"/>
  <c r="P29" i="62"/>
  <c r="P37" i="62"/>
  <c r="P7" i="62"/>
  <c r="P17" i="62"/>
  <c r="P26" i="62"/>
  <c r="P34" i="62"/>
  <c r="P42" i="62"/>
  <c r="P12" i="62"/>
  <c r="P23" i="62"/>
  <c r="P31" i="62"/>
  <c r="P39" i="62"/>
  <c r="P9" i="62"/>
  <c r="P19" i="62"/>
  <c r="P28" i="62"/>
  <c r="P36" i="62"/>
  <c r="P14" i="62"/>
  <c r="P25" i="62"/>
  <c r="P33" i="62"/>
  <c r="P41" i="62"/>
  <c r="P22" i="62"/>
  <c r="P30" i="62"/>
  <c r="P38" i="62"/>
  <c r="U33" i="62" l="1"/>
  <c r="C33" i="62" s="1"/>
  <c r="U37" i="62"/>
  <c r="C37" i="62" s="1"/>
  <c r="U35" i="62"/>
  <c r="C35" i="62" s="1"/>
  <c r="U31" i="62"/>
  <c r="C31" i="62" s="1"/>
  <c r="U23" i="62"/>
  <c r="C23" i="62" s="1"/>
  <c r="U29" i="62"/>
  <c r="C29" i="62" s="1"/>
  <c r="U27" i="62"/>
  <c r="C27" i="62" s="1"/>
  <c r="U41" i="62"/>
  <c r="C41" i="62" s="1"/>
  <c r="U25" i="62"/>
  <c r="C25" i="62" s="1"/>
  <c r="U14" i="62"/>
  <c r="C14" i="62" s="1"/>
  <c r="U12" i="62"/>
  <c r="C12" i="62" s="1"/>
  <c r="U21" i="62"/>
  <c r="C21" i="62" s="1"/>
  <c r="U18" i="62"/>
  <c r="C18" i="62" s="1"/>
  <c r="U39" i="62"/>
  <c r="C39" i="62" s="1"/>
  <c r="U36" i="62"/>
  <c r="C36" i="62" s="1"/>
  <c r="U42" i="62"/>
  <c r="C42" i="62" s="1"/>
  <c r="U10" i="62"/>
  <c r="C10" i="62" s="1"/>
  <c r="U8" i="62"/>
  <c r="C8" i="62" s="1"/>
  <c r="U38" i="62"/>
  <c r="C38" i="62" s="1"/>
  <c r="U28" i="62"/>
  <c r="C28" i="62" s="1"/>
  <c r="U34" i="62"/>
  <c r="C34" i="62" s="1"/>
  <c r="U13" i="62"/>
  <c r="C13" i="62" s="1"/>
  <c r="U11" i="62"/>
  <c r="C11" i="62" s="1"/>
  <c r="U24" i="62"/>
  <c r="C24" i="62" s="1"/>
  <c r="U19" i="62"/>
  <c r="C19" i="62" s="1"/>
  <c r="U26" i="62"/>
  <c r="C26" i="62" s="1"/>
  <c r="U40" i="62"/>
  <c r="C40" i="62" s="1"/>
  <c r="U30" i="62"/>
  <c r="C30" i="62" s="1"/>
  <c r="U22" i="62"/>
  <c r="C22" i="62" s="1"/>
  <c r="U9" i="62"/>
  <c r="C9" i="62" s="1"/>
  <c r="U17" i="62"/>
  <c r="C17" i="62" s="1"/>
  <c r="U32" i="62"/>
  <c r="C32" i="62" s="1"/>
  <c r="U7" i="62"/>
  <c r="P44" i="62"/>
  <c r="C7" i="62" l="1"/>
  <c r="C44" i="62" s="1"/>
  <c r="U44" i="62"/>
  <c r="P7" i="61" l="1"/>
  <c r="P35" i="61"/>
  <c r="P27" i="61"/>
  <c r="P18" i="61"/>
  <c r="P9" i="61"/>
  <c r="P36" i="61"/>
  <c r="P28" i="61"/>
  <c r="P19" i="61"/>
  <c r="P10" i="61"/>
  <c r="P34" i="61"/>
  <c r="P26" i="61"/>
  <c r="P17" i="61"/>
  <c r="P8" i="61"/>
  <c r="P42" i="61"/>
  <c r="P38" i="61"/>
  <c r="P30" i="61"/>
  <c r="P22" i="61"/>
  <c r="P12" i="61"/>
  <c r="P37" i="61"/>
  <c r="P29" i="61"/>
  <c r="P21" i="61"/>
  <c r="P11" i="61"/>
  <c r="P39" i="61"/>
  <c r="P31" i="61"/>
  <c r="P23" i="61"/>
  <c r="P13" i="61"/>
  <c r="P41" i="61"/>
  <c r="P33" i="61"/>
  <c r="P25" i="61"/>
  <c r="P16" i="61"/>
  <c r="P40" i="61"/>
  <c r="P32" i="61"/>
  <c r="P24" i="61"/>
  <c r="P14" i="61"/>
  <c r="U16" i="61" l="1"/>
  <c r="P16" i="75"/>
  <c r="P11" i="75"/>
  <c r="U11" i="61"/>
  <c r="P25" i="75"/>
  <c r="U25" i="61"/>
  <c r="P21" i="75"/>
  <c r="U21" i="61"/>
  <c r="U8" i="61"/>
  <c r="P8" i="75"/>
  <c r="P9" i="75"/>
  <c r="U9" i="61"/>
  <c r="P33" i="75"/>
  <c r="U33" i="61"/>
  <c r="U29" i="61"/>
  <c r="P29" i="75"/>
  <c r="P17" i="75"/>
  <c r="U17" i="61"/>
  <c r="P18" i="75"/>
  <c r="U18" i="61"/>
  <c r="P37" i="75"/>
  <c r="U37" i="61"/>
  <c r="P26" i="75"/>
  <c r="U26" i="61"/>
  <c r="P27" i="75"/>
  <c r="U27" i="61"/>
  <c r="U14" i="61"/>
  <c r="P14" i="75"/>
  <c r="P12" i="75"/>
  <c r="U12" i="61"/>
  <c r="P34" i="75"/>
  <c r="U34" i="61"/>
  <c r="P35" i="75"/>
  <c r="U35" i="61"/>
  <c r="P41" i="75"/>
  <c r="U41" i="61"/>
  <c r="U13" i="61"/>
  <c r="P13" i="75"/>
  <c r="U24" i="61"/>
  <c r="P24" i="75"/>
  <c r="U23" i="61"/>
  <c r="P23" i="75"/>
  <c r="P22" i="75"/>
  <c r="U22" i="61"/>
  <c r="P10" i="75"/>
  <c r="U10" i="61"/>
  <c r="P7" i="75"/>
  <c r="P44" i="61"/>
  <c r="U7" i="61"/>
  <c r="P32" i="75"/>
  <c r="U32" i="61"/>
  <c r="P31" i="75"/>
  <c r="U31" i="61"/>
  <c r="P30" i="75"/>
  <c r="U30" i="61"/>
  <c r="P19" i="75"/>
  <c r="U19" i="61"/>
  <c r="P40" i="75"/>
  <c r="U40" i="61"/>
  <c r="U39" i="61"/>
  <c r="P39" i="75"/>
  <c r="U38" i="61"/>
  <c r="P38" i="75"/>
  <c r="P28" i="75"/>
  <c r="U28" i="61"/>
  <c r="P42" i="75"/>
  <c r="U42" i="61"/>
  <c r="P36" i="75"/>
  <c r="U36" i="61"/>
  <c r="C34" i="61" l="1"/>
  <c r="C34" i="75" s="1"/>
  <c r="U34" i="75"/>
  <c r="U26" i="75"/>
  <c r="C26" i="61"/>
  <c r="C26" i="75" s="1"/>
  <c r="C21" i="61"/>
  <c r="C21" i="75" s="1"/>
  <c r="U21" i="75"/>
  <c r="U30" i="75"/>
  <c r="C30" i="61"/>
  <c r="C30" i="75" s="1"/>
  <c r="P44" i="75"/>
  <c r="U24" i="75"/>
  <c r="C24" i="61"/>
  <c r="C24" i="75" s="1"/>
  <c r="U29" i="75"/>
  <c r="C29" i="61"/>
  <c r="C29" i="75" s="1"/>
  <c r="U38" i="75"/>
  <c r="C38" i="61"/>
  <c r="C38" i="75" s="1"/>
  <c r="U12" i="75"/>
  <c r="C12" i="61"/>
  <c r="C12" i="75" s="1"/>
  <c r="C36" i="61"/>
  <c r="C36" i="75" s="1"/>
  <c r="U36" i="75"/>
  <c r="U31" i="75"/>
  <c r="C31" i="61"/>
  <c r="C31" i="75" s="1"/>
  <c r="C13" i="61"/>
  <c r="C13" i="75" s="1"/>
  <c r="U13" i="75"/>
  <c r="C39" i="61"/>
  <c r="C39" i="75" s="1"/>
  <c r="U39" i="75"/>
  <c r="U22" i="75"/>
  <c r="C22" i="61"/>
  <c r="C22" i="75" s="1"/>
  <c r="C41" i="61"/>
  <c r="C41" i="75" s="1"/>
  <c r="U41" i="75"/>
  <c r="C18" i="61"/>
  <c r="C18" i="75" s="1"/>
  <c r="U18" i="75"/>
  <c r="C9" i="61"/>
  <c r="C9" i="75" s="1"/>
  <c r="U9" i="75"/>
  <c r="C11" i="61"/>
  <c r="C11" i="75" s="1"/>
  <c r="U11" i="75"/>
  <c r="C37" i="61"/>
  <c r="C37" i="75" s="1"/>
  <c r="U37" i="75"/>
  <c r="C42" i="61"/>
  <c r="C42" i="75" s="1"/>
  <c r="U42" i="75"/>
  <c r="C40" i="61"/>
  <c r="C40" i="75" s="1"/>
  <c r="U40" i="75"/>
  <c r="U32" i="75"/>
  <c r="C32" i="61"/>
  <c r="C32" i="75" s="1"/>
  <c r="C14" i="61"/>
  <c r="C14" i="75" s="1"/>
  <c r="U14" i="75"/>
  <c r="C25" i="61"/>
  <c r="C25" i="75" s="1"/>
  <c r="U25" i="75"/>
  <c r="U35" i="75"/>
  <c r="C35" i="61"/>
  <c r="C35" i="75" s="1"/>
  <c r="C27" i="61"/>
  <c r="C27" i="75" s="1"/>
  <c r="U27" i="75"/>
  <c r="U17" i="75"/>
  <c r="C17" i="61"/>
  <c r="C17" i="75" s="1"/>
  <c r="C10" i="61"/>
  <c r="C10" i="75" s="1"/>
  <c r="U10" i="75"/>
  <c r="C33" i="61"/>
  <c r="C33" i="75" s="1"/>
  <c r="U33" i="75"/>
  <c r="C28" i="61"/>
  <c r="C28" i="75" s="1"/>
  <c r="U28" i="75"/>
  <c r="U19" i="75"/>
  <c r="C19" i="61"/>
  <c r="C19" i="75" s="1"/>
  <c r="C7" i="61"/>
  <c r="U7" i="75"/>
  <c r="U44" i="61"/>
  <c r="C23" i="61"/>
  <c r="C23" i="75" s="1"/>
  <c r="U23" i="75"/>
  <c r="C8" i="61"/>
  <c r="C8" i="75" s="1"/>
  <c r="U8" i="75"/>
  <c r="C16" i="61"/>
  <c r="C16" i="75" s="1"/>
  <c r="U16" i="75"/>
  <c r="U44" i="75" l="1"/>
  <c r="C7" i="75"/>
  <c r="C44" i="75" s="1"/>
  <c r="C44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3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6" authorId="0" shapeId="0" xr:uid="{0A79D04F-68BC-4FA9-9503-36D5856793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>INTERET T75 20 000
T100 4 1000</t>
        </r>
      </text>
    </comment>
    <comment ref="C9" authorId="0" shapeId="0" xr:uid="{88452568-0120-4A2B-9A06-E460D59EBC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DEFALQUE EPARGNE 2024</t>
        </r>
      </text>
    </comment>
    <comment ref="C17" authorId="0" shapeId="0" xr:uid="{13E3B327-B0D1-4403-9348-E049EBEF31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PAYE PAR L EPARGNE</t>
        </r>
      </text>
    </comment>
    <comment ref="I17" authorId="0" shapeId="0" xr:uid="{814DE1E1-DC28-4D1F-8D07-28D1576E52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 APRES REPARTITION
40 000
15 000</t>
        </r>
      </text>
    </comment>
    <comment ref="C18" authorId="0" shapeId="0" xr:uid="{3912FA39-9822-42CF-AE04-72A24E98DC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AVANCE PRET</t>
        </r>
      </text>
    </comment>
    <comment ref="C21" authorId="0" shapeId="0" xr:uid="{EC6D14E0-4E56-444E-B679-F88D032D74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I21" authorId="0" shapeId="0" xr:uid="{52A9AFB8-50CF-48CE-9F6F-ACF6FE102C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REMIS DANS L EPARGNE</t>
        </r>
      </text>
    </comment>
    <comment ref="C24" authorId="0" shapeId="0" xr:uid="{E888D9FE-3FFD-4687-8DFF-D85647C37D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PRÊT EN COMPTE EPARGNE </t>
        </r>
      </text>
    </comment>
    <comment ref="C27" authorId="0" shapeId="0" xr:uid="{2746427E-ED72-4058-B859-C411BA09B4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REMBOURSE PAR COMPENSATION TERRAIN</t>
        </r>
      </text>
    </comment>
    <comment ref="C30" authorId="0" shapeId="0" xr:uid="{695AB5FA-E2F4-441D-AFEC-E9B630F0FB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RELIQUAT REPART  EPARGNE</t>
        </r>
      </text>
    </comment>
    <comment ref="I30" authorId="0" shapeId="0" xr:uid="{1701778D-6A0B-46CD-BB37-0F79DD56E6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APRES REPARTITION
</t>
        </r>
      </text>
    </comment>
    <comment ref="C37" authorId="0" shapeId="0" xr:uid="{FF0CDAD5-2BF6-4B76-9852-F0E0553FF26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BD40" authorId="0" shapeId="0" xr:uid="{062834D9-FA1E-46FB-BBDB-B99F0305D2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DETTE ANTERIEURE 267 500
LA AGUZE 30 000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N6" authorId="0" shapeId="0" xr:uid="{B7FF009C-E01D-4A6E-AC58-6D28A74BA8F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VIREMENT FOYER A LAAGWE</t>
        </r>
      </text>
    </comment>
    <comment ref="BC18" authorId="0" shapeId="0" xr:uid="{BAE5F994-2288-419B-A1DC-9E09D2163D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TONTINE</t>
        </r>
      </text>
    </comment>
    <comment ref="BQ21" authorId="0" shapeId="0" xr:uid="{3F6FA6DE-ABEC-4E27-9B8D-C79ABFADED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  371 000
AIDE       30 000</t>
        </r>
      </text>
    </comment>
    <comment ref="AZ30" authorId="0" shapeId="0" xr:uid="{AC72F361-0621-4A8D-9F6A-A1D87B6CD05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RETRAIT EPARGNE</t>
        </r>
      </text>
    </comment>
    <comment ref="AZ34" authorId="0" shapeId="0" xr:uid="{61A14051-33D6-4EE6-80C0-7C7EDF001D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RETRAIT EPARGNE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N6" authorId="0" shapeId="0" xr:uid="{8BBD14D6-9513-4CAA-B6AE-3179EEA73C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VIREMENT FOYER A LAAGWE</t>
        </r>
      </text>
    </comment>
    <comment ref="BQ8" authorId="0" shapeId="0" xr:uid="{6BEB2D1B-8B3F-4B2A-940E-2B32C55110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DESCENTE TERRAIN NYOM</t>
        </r>
      </text>
    </comment>
    <comment ref="C15" authorId="0" shapeId="0" xr:uid="{29DCF6D7-B430-4351-8F2C-D7299545231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T50 DE JANVIER 2025 </t>
        </r>
      </text>
    </comment>
    <comment ref="BC18" authorId="0" shapeId="0" xr:uid="{BC0B983B-7C7E-4AAF-A6CB-6B6E17ED37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TONTINE</t>
        </r>
      </text>
    </comment>
    <comment ref="AZ30" authorId="0" shapeId="0" xr:uid="{64B813FD-682A-4D93-B79F-B2FA09D22E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RETRAIT EPARGNE</t>
        </r>
      </text>
    </comment>
    <comment ref="AZ34" authorId="0" shapeId="0" xr:uid="{40922E0B-B74D-4061-AF36-B1025DB5CC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RETRAIT EPARGNE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" authorId="0" shapeId="0" xr:uid="{D9ED4168-D067-4C90-A89F-310A6B81E74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PRÊT FICTIF</t>
        </r>
      </text>
    </comment>
    <comment ref="C11" authorId="0" shapeId="0" xr:uid="{B19883B3-1869-4181-BDB1-E141C9CEA5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PRÊT 1 135 000
T25    293500-89000
INTERET PRÊT 90 000</t>
        </r>
      </text>
    </comment>
    <comment ref="BF11" authorId="0" shapeId="0" xr:uid="{0B1596A7-EB7D-4EA5-8DBB-821E798AFD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PENALITE</t>
        </r>
      </text>
    </comment>
    <comment ref="C15" authorId="0" shapeId="0" xr:uid="{F8CADB60-16B3-44E6-BBEA-E6D05E36F9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RAPPEL TONTINE
JANV/FEV 200 000
RAPPEL INTERET
26 000</t>
        </r>
      </text>
    </comment>
    <comment ref="BC18" authorId="0" shapeId="0" xr:uid="{0A98D99E-1486-4254-81BE-FDB994511B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TONTINE</t>
        </r>
      </text>
    </comment>
    <comment ref="C22" authorId="0" shapeId="0" xr:uid="{336FCC88-7224-41B6-BFB1-875EB42F01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FICTIF PRET</t>
        </r>
      </text>
    </comment>
    <comment ref="BD25" authorId="0" shapeId="0" xr:uid="{68FAC2D2-374A-4853-A864-BB78740D8CB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COMPLEMENT REMBOURSEMENT YOU?BI 73 000</t>
        </r>
      </text>
    </comment>
    <comment ref="C28" authorId="0" shapeId="0" xr:uid="{5FF9942E-DAB5-43DC-916C-C5136D54ACB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FICTIF PRET</t>
        </r>
      </text>
    </comment>
    <comment ref="BF28" authorId="0" shapeId="0" xr:uid="{5B0BE235-42CF-4A48-B6A7-BC24B59280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PRET</t>
        </r>
      </text>
    </comment>
    <comment ref="AZ30" authorId="0" shapeId="0" xr:uid="{1A241DC5-B40C-4DE1-A4B6-DFE4EBD203B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RETRAIT EPARGNE</t>
        </r>
      </text>
    </comment>
    <comment ref="C32" authorId="0" shapeId="0" xr:uid="{B0C1808E-3C65-440C-A2FA-1457348EB3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FICTIF PRET</t>
        </r>
      </text>
    </comment>
    <comment ref="AZ34" authorId="0" shapeId="0" xr:uid="{DC95B1C5-56FD-4870-A6FE-EC267DD7F2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RETRAIT EPARGNE</t>
        </r>
      </text>
    </comment>
    <comment ref="D42" authorId="0" shapeId="0" xr:uid="{21C6A647-43A4-4A9D-98C0-8A350B0B34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ACHAT PETIT LOT DEJOLIE 73000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Q14" authorId="0" shapeId="0" xr:uid="{805DF02A-F242-4C33-A33C-0851D400E1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COMPLEMENT TERRAIN 350 0000
OUVERT DOSSIER NOTAIRE 50 000</t>
        </r>
      </text>
    </comment>
    <comment ref="C16" authorId="0" shapeId="0" xr:uid="{183A7626-6304-45C4-9E9A-2656C65564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PENALITE REMB PRET</t>
        </r>
      </text>
    </comment>
    <comment ref="BF16" authorId="0" shapeId="0" xr:uid="{49FBEDFC-1C4A-49A9-B62F-B62CD2C430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PENALITE</t>
        </r>
      </text>
    </comment>
    <comment ref="BQ19" authorId="0" shapeId="0" xr:uid="{47BA7DA0-0C2C-4713-86B2-C59551FF82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OUVERTURE DOSSIER NOTAIRE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" authorId="0" shapeId="0" xr:uid="{BC495FDA-1F66-46D5-B16B-4BF08D0CB78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RAPPEL T25 AVRIL </t>
        </r>
      </text>
    </comment>
    <comment ref="C31" authorId="0" shapeId="0" xr:uid="{BA126A9F-41F2-4DD8-8696-9CFAE5790D9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INT NON REMB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Q13" authorId="0" shapeId="0" xr:uid="{28F31B7E-919E-4388-9EF6-9CC3DF43ED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K6" authorId="0" shapeId="0" xr:uid="{61B6A6DD-B452-4FE3-A6BD-64C1986D02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BOISSON DALLE FOYER</t>
        </r>
      </text>
    </comment>
    <comment ref="C21" authorId="0" shapeId="0" xr:uid="{A64FA779-003B-4DD2-8ED2-207DE6F0D4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 xr:uid="{6D1D187A-0501-4A39-BB3C-314B7952C0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REMBOURSEMENT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2" authorId="0" shapeId="0" xr:uid="{003B37A1-2EB6-472C-8013-0D816F33582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INTERET FONDS</t>
        </r>
      </text>
    </comment>
    <comment ref="C17" authorId="0" shapeId="0" xr:uid="{4B7DF3BC-04E0-4B2C-840A-B87AD5BF49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PRÊT MBONING</t>
        </r>
      </text>
    </comment>
    <comment ref="C22" authorId="0" shapeId="0" xr:uid="{12497072-D2FE-40F0-8C9A-8D4A67BE1A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REMBOURSEMENT PRÊT HOTCHO</t>
        </r>
      </text>
    </comment>
    <comment ref="BQ32" authorId="0" shapeId="0" xr:uid="{88638257-A478-443E-A6C6-BE4AE90DB5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BEAU PÈRE SIME BRICE</t>
        </r>
      </text>
    </comment>
    <comment ref="BQ33" authorId="0" shapeId="0" xr:uid="{7C0536BB-6F7E-40A9-A8B8-F1405DC9D4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OBSEQUE SIMO PIERRE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B15" authorId="0" shapeId="0" xr:uid="{B959A201-D4DB-4AD2-AB85-68FEB20FDC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ANCIEN FOYER 75 000
DON VOLONTAIRE 100 000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2" authorId="0" shapeId="0" xr:uid="{F5AC0AE0-1E4D-47A9-8A02-72DE9A3A9BB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19" authorId="0" shapeId="0" xr:uid="{FB72A2CC-E693-4D85-81C0-EBA3AAB019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PETIT LOT NON REMBOURSEMENT</t>
        </r>
      </text>
    </comment>
    <comment ref="C26" authorId="0" shapeId="0" xr:uid="{5E8649D2-58EF-4021-ABD1-F1308E22DB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REMBOURSEMENT PETIT LOT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1" authorId="0" shapeId="0" xr:uid="{08C1057E-D5D4-46F7-BE5D-6A09728FD6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C12" authorId="0" shapeId="0" xr:uid="{213F60AD-FB7E-4667-AECD-3742765C3ED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17" authorId="0" shapeId="0" xr:uid="{B72097CA-B25E-400F-A9FD-3CD8F03A958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21" authorId="0" shapeId="0" xr:uid="{3B0FAA44-FD09-463E-B828-1A0464E40B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C28" authorId="0" shapeId="0" xr:uid="{8E27F54F-58A0-40E4-9A40-9792201C1F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COMPLEMENT TONTINE</t>
        </r>
      </text>
    </comment>
    <comment ref="BQ32" authorId="0" shapeId="0" xr:uid="{9AA3051F-6993-4A38-9992-13746B915D0A}">
      <text>
        <r>
          <rPr>
            <b/>
            <sz val="9"/>
            <color indexed="81"/>
            <rFont val="Tahoma"/>
            <family val="2"/>
          </rPr>
          <t>DECES MERE NOUBE</t>
        </r>
      </text>
    </comment>
    <comment ref="C37" authorId="0" shapeId="0" xr:uid="{A8503AC8-F629-44F1-84E1-66ADB5D00B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TONTINE T50
EPARGNE COMPLEMENTAIRE
</t>
        </r>
      </text>
    </comment>
    <comment ref="C39" authorId="0" shapeId="0" xr:uid="{D95F708E-D8BF-48FD-A5B2-FD8FFF3405D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PRET</t>
        </r>
      </text>
    </comment>
    <comment ref="C40" authorId="0" shapeId="0" xr:uid="{400D7940-8A09-451C-8781-BDC60C8DC13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COMPLEMENT TONTINE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DJUOMBESSY</author>
  </authors>
  <commentList>
    <comment ref="BA6" authorId="0" shapeId="0" xr:uid="{295C484C-4DFA-44C1-9946-216E8ACCF7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  <comment ref="BQ6" authorId="0" shapeId="0" xr:uid="{271068B1-6726-4266-A1A2-819819CDA00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</t>
        </r>
      </text>
    </comment>
    <comment ref="C7" authorId="1" shapeId="0" xr:uid="{00000000-0006-0000-0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7" authorId="0" shapeId="0" xr:uid="{4D849B9A-D781-446A-9C94-B25D06E0E1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BAKOP DECEMBRE PAYE EN JANVIER 24</t>
        </r>
      </text>
    </comment>
    <comment ref="BD7" authorId="0" shapeId="0" xr:uid="{2F21D60B-4E33-4941-8AE2-620DDCF518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EN COMPTE</t>
        </r>
      </text>
    </comment>
    <comment ref="BQ9" authorId="0" shapeId="0" xr:uid="{1F5A37C8-FFE4-40AD-9232-900ECCA17E0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  <comment ref="AZ17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Q18" authorId="0" shapeId="0" xr:uid="{8AD7E572-4AD1-42C1-9BC7-AE346468BF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DOOSSIER TECHNIQUE</t>
        </r>
      </text>
    </comment>
    <comment ref="C33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Q36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KOUAMOU MOISE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AN12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D12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Q36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  <author>HP</author>
  </authors>
  <commentList>
    <comment ref="BD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F8" authorId="1" shapeId="0" xr:uid="{F6C95CA1-9A6E-4623-930A-75B0C550B64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AOUT 2024</t>
        </r>
      </text>
    </comment>
    <comment ref="BQ1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Q1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AZ24" authorId="1" shapeId="0" xr:uid="{6504DD34-5CEF-4E0A-9F91-C2001975B9B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PAIEMENT DETTE BAKOP</t>
        </r>
      </text>
    </comment>
    <comment ref="BQ3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  <author>HP</author>
  </authors>
  <commentList>
    <comment ref="C1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REMBOURSEMENT
RECONDUIT</t>
        </r>
      </text>
    </comment>
    <comment ref="C24" authorId="1" shapeId="0" xr:uid="{F717E511-CEEF-426F-BDE7-F145765FF2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REGLE EN MAI</t>
        </r>
      </text>
    </comment>
    <comment ref="BQ36" authorId="1" shapeId="0" xr:uid="{4F01A132-5929-49E7-AF41-39CD87097E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YOUMBI EMMANUEL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7" authorId="0" shapeId="0" xr:uid="{9A5E7ADB-6417-417D-BE41-F05D7EF340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REGULARISE AU MOIS DE JUIN</t>
        </r>
      </text>
    </comment>
    <comment ref="BQ8" authorId="0" shapeId="0" xr:uid="{67CF9C98-FA5E-481D-8B11-5BB4176239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COMMISSION FERMETURE DE COO?PTE</t>
        </r>
      </text>
    </comment>
    <comment ref="BD11" authorId="0" shapeId="0" xr:uid="{73D327CE-420F-4FCB-B881-738A896B3F9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VERSEMENT T50 BAKOP ACHILLE</t>
        </r>
      </text>
    </comment>
    <comment ref="AZ12" authorId="0" shapeId="0" xr:uid="{3EAD7F69-5027-4709-96C5-8480C4B3E3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100 000 REMBOURSEMENT DETTE</t>
        </r>
      </text>
    </comment>
    <comment ref="BQ36" authorId="0" shapeId="0" xr:uid="{C0B09AAE-451F-4158-AC2B-830EBED476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7" authorId="0" shapeId="0" xr:uid="{D592F3D3-D5E8-46F9-84F7-66494926AF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VERSEMENT CPTE NGONDIEP 103 000
50 000 TONTINE MAI</t>
        </r>
      </text>
    </comment>
    <comment ref="D9" authorId="0" shapeId="0" xr:uid="{7F21D7B9-F98D-4E54-9A24-B2EE32A582A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TRANSFERT 50 000 A KWANTCHO</t>
        </r>
      </text>
    </comment>
    <comment ref="C11" authorId="0" shapeId="0" xr:uid="{2E884AA5-87D4-4BBC-A06F-40FAD863B0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NGONDIEP 103 000 ET 20 000 RECONDUCTION</t>
        </r>
      </text>
    </comment>
    <comment ref="D18" authorId="0" shapeId="0" xr:uid="{87B043E4-CE2A-4498-B5AA-D086527A64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50 000 TRANSFERE PAR DJOMO JP</t>
        </r>
      </text>
    </comment>
    <comment ref="BQ18" authorId="0" shapeId="0" xr:uid="{EE142D95-8DE8-4A9B-8B54-89697CDD0C3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TERRAIN</t>
        </r>
      </text>
    </comment>
    <comment ref="BD20" authorId="0" shapeId="0" xr:uid="{87467001-AD71-49D0-B131-17396F6DA4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VERSE 30 000 A SIMO BRICE POUR RECONDUCTION</t>
        </r>
      </text>
    </comment>
    <comment ref="AZ25" authorId="0" shapeId="0" xr:uid="{4F895545-2381-4DFD-B129-BD2AB6B82F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TERRAIN 2 000 000</t>
        </r>
      </text>
    </comment>
    <comment ref="C31" authorId="0" shapeId="0" xr:uid="{C1E4FD89-D927-44E6-917A-4D4FEC50A4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Q36" authorId="0" shapeId="0" xr:uid="{F9BE1E19-F141-42AB-A6D9-FC91070381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DJUOMBESSY</author>
  </authors>
  <commentList>
    <comment ref="BA6" authorId="0" shapeId="0" xr:uid="{909A0F45-0BAA-44B4-BDAD-82A71A3FC5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COMMISSION</t>
        </r>
      </text>
    </comment>
    <comment ref="C7" authorId="1" shapeId="0" xr:uid="{00000000-0006-0000-0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Q8" authorId="0" shapeId="0" xr:uid="{7407FAA8-5917-4DA1-BDD2-275ABC2D73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DJUOMBESSY 9 000
MBONGNI      9 000
NDJOMO        9 000
DEJOLI           3 000
NGONDIEP       3 000
THOUAMO        3 000</t>
        </r>
      </text>
    </comment>
    <comment ref="C12" authorId="0" shapeId="0" xr:uid="{51147AA8-8604-434F-9C65-F8DDA8F201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INT 140 000</t>
        </r>
      </text>
    </comment>
    <comment ref="AK12" authorId="0" shapeId="0" xr:uid="{4BC11575-7936-4645-B848-972B296252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BF12" authorId="0" shapeId="0" xr:uid="{A3087AD9-0DAB-40D8-AFF0-27D55E0473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6 MOIS</t>
        </r>
      </text>
    </comment>
    <comment ref="C16" authorId="0" shapeId="0" xr:uid="{F22F0E55-014B-4037-BC81-4C2CD14E3B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DETTE HOTCHO PAR FRAIS EXCEPTIONNEL</t>
        </r>
      </text>
    </comment>
    <comment ref="BF20" authorId="0" shapeId="0" xr:uid="{0239EE15-1A4C-4733-9E67-E95301E1DB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PRÊT 6 MOIS</t>
        </r>
      </text>
    </comment>
    <comment ref="C23" authorId="0" shapeId="0" xr:uid="{AB7332DF-B93C-48C0-9C65-C111E839D8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PRET</t>
        </r>
      </text>
    </comment>
    <comment ref="BF23" authorId="0" shapeId="0" xr:uid="{98BCAB00-540D-4F70-8ECA-BD5B486D675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6 MOIS</t>
        </r>
      </text>
    </comment>
    <comment ref="C24" authorId="0" shapeId="0" xr:uid="{6AB6D058-8962-4C37-8BE5-982DFADA1E5A}">
      <text>
        <r>
          <rPr>
            <b/>
            <sz val="9"/>
            <color indexed="81"/>
            <rFont val="Tahoma"/>
            <family val="2"/>
          </rPr>
          <t>PETIT LOT DEDUIT DE LA TONTINE</t>
        </r>
      </text>
    </comment>
    <comment ref="BF26" authorId="0" shapeId="0" xr:uid="{0129100D-7980-452B-8769-1B648062B6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3 MOIS</t>
        </r>
      </text>
    </comment>
    <comment ref="BQ26" authorId="0" shapeId="0" xr:uid="{E98CC544-6930-47F2-A975-8DF5A0B089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PLAQUETTE</t>
        </r>
      </text>
    </comment>
    <comment ref="BQ27" authorId="0" shapeId="0" xr:uid="{65EB0837-3E1A-43F6-9D9A-8C03D6DD06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HOTCHO NUIT DES ELITES</t>
        </r>
      </text>
    </comment>
    <comment ref="C32" authorId="0" shapeId="0" xr:uid="{F20C75B1-5F43-4E9D-AD7B-5B5C00C4F1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PRET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" authorId="0" shapeId="0" xr:uid="{E7C5A384-1BB4-4C3A-9236-899E487D7A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PENALITE ESPECE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34" authorId="0" shapeId="0" xr:uid="{0116B49A-2C6B-4CAB-B4C6-B2199F097F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TONTINE AOUT 2024
PENALITE ECHEC TONTINE AOUT 2024</t>
        </r>
      </text>
    </comment>
    <comment ref="C37" authorId="0" shapeId="0" xr:uid="{38774C48-0A87-427D-9CA4-DF87CED1D2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 240 000
FONDS 700 000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Q26" authorId="0" shapeId="0" xr:uid="{A88FF468-FC4B-4DF0-8DDB-727D92F427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PLAQUETTE</t>
        </r>
      </text>
    </comment>
    <comment ref="C27" authorId="0" shapeId="0" xr:uid="{7453AFC4-3E6B-4DA9-8002-9FAE4458FE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33" authorId="0" shapeId="0" xr:uid="{9A7142CE-5615-46B6-A96A-254222FBB9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EPARGNE RECUPERE DE SA TONTINE SEPTEMBRE</t>
        </r>
      </text>
    </comment>
    <comment ref="BQ36" authorId="0" shapeId="0" xr:uid="{0D0413C7-792E-4F58-87E8-A5FB58BB48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K12" authorId="0" shapeId="0" xr:uid="{C83BC544-7633-485A-B4CB-838104CD6A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DEJOLIE</t>
        </r>
      </text>
    </comment>
    <comment ref="C16" authorId="0" shapeId="0" xr:uid="{47625023-05DB-470A-853E-900A3563A45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RECONDUCTION PRÊT FONDS</t>
        </r>
      </text>
    </comment>
    <comment ref="C17" authorId="0" shapeId="0" xr:uid="{BECD93C9-7FCE-4F04-A4BF-7486D04357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NON REMBOURSE</t>
        </r>
      </text>
    </comment>
    <comment ref="C18" authorId="0" shapeId="0" xr:uid="{D525430E-D462-4030-B98E-2E08A29753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PENALITE DOHOU PYE PAR KOUQTCHO</t>
        </r>
      </text>
    </comment>
    <comment ref="BQ18" authorId="0" shapeId="0" xr:uid="{639621A8-24E7-49F2-AE52-FB209975E2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TERRAIN NGUIEMENI</t>
        </r>
      </text>
    </comment>
    <comment ref="BQ30" authorId="0" shapeId="0" xr:uid="{DC797420-8C7D-4F38-846A-F839F8157D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DECES BEAU PÈRE MBOGNING GUY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6" authorId="0" shapeId="0" xr:uid="{DAF1D5A2-D32A-43DD-BA00-AF296BE301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>INTERET T75 20 000
T100 4 1000</t>
        </r>
      </text>
    </comment>
    <comment ref="C9" authorId="0" shapeId="0" xr:uid="{BBF0F9D8-3BBB-4B76-A6C0-E955D52B6F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DEFALQUE EPARGNE 2024</t>
        </r>
      </text>
    </comment>
    <comment ref="C16" authorId="0" shapeId="0" xr:uid="{4B2AE657-7978-4A37-BE04-6BD25FB718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PAYE PAR L EPARGNE</t>
        </r>
      </text>
    </comment>
    <comment ref="I16" authorId="0" shapeId="0" xr:uid="{C321EA97-8623-46A4-8947-4619B94ECE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 APRES REPARTITION
40 000
15 000</t>
        </r>
      </text>
    </comment>
    <comment ref="C17" authorId="0" shapeId="0" xr:uid="{06E08B86-1CE3-49A7-940D-50719F6885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AVANCE PRET</t>
        </r>
      </text>
    </comment>
    <comment ref="C19" authorId="0" shapeId="0" xr:uid="{3223F12A-B923-47BF-9ED2-9D32D24092D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I19" authorId="0" shapeId="0" xr:uid="{DE516911-9D25-4D0E-90C5-C2F20797E02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REMIS DANS L EPARGNE</t>
        </r>
      </text>
    </comment>
    <comment ref="C22" authorId="0" shapeId="0" xr:uid="{B96EC435-32FD-43F1-8AAD-64343CB351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PRÊT EN COMPTE EPARGNE </t>
        </r>
      </text>
    </comment>
    <comment ref="C25" authorId="0" shapeId="0" xr:uid="{68A61AFD-E16A-446B-8EBD-003C9DBEE1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REMBOURSE PAR COMPENSATION TERRAIN</t>
        </r>
      </text>
    </comment>
    <comment ref="C28" authorId="0" shapeId="0" xr:uid="{3219A5A0-6B6C-41E4-B68F-359DEDF9DA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RELIQUAT REPART  EPARGNE</t>
        </r>
      </text>
    </comment>
    <comment ref="I28" authorId="0" shapeId="0" xr:uid="{4C39DAAB-749B-4062-92F6-C9DFF05C97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APRES REPARTITION
</t>
        </r>
      </text>
    </comment>
    <comment ref="C34" authorId="0" shapeId="0" xr:uid="{50D0E59D-DA8E-4611-9A3C-BCA9324DE43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BD36" authorId="0" shapeId="0" xr:uid="{746F870D-037A-40D0-BA73-F00F197B29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DETTE ANTERIEURE 267 500
LA AGUZE 30 000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6" authorId="0" shapeId="0" xr:uid="{208555A5-7105-41B7-B490-AD4F37448B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>INTERET T75 20 000
T100 4 1000</t>
        </r>
      </text>
    </comment>
    <comment ref="C9" authorId="0" shapeId="0" xr:uid="{2151780E-CC05-4C1F-9A97-A4A23F41C7B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DEFALQUE EPARGNE 2024</t>
        </r>
      </text>
    </comment>
    <comment ref="C16" authorId="0" shapeId="0" xr:uid="{F30AB3F9-DE30-4EB6-A1C2-19957F16C6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PRÊT PAYE PAR L EPARGNE</t>
        </r>
      </text>
    </comment>
    <comment ref="I16" authorId="0" shapeId="0" xr:uid="{FC7F2469-418B-4E1B-81EE-C657389D2F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 APRES REPARTITION
40 000
15 000</t>
        </r>
      </text>
    </comment>
    <comment ref="C17" authorId="0" shapeId="0" xr:uid="{CAA50338-ACE0-4190-B7E0-33460EF850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AVANCE PRET</t>
        </r>
      </text>
    </comment>
    <comment ref="C19" authorId="0" shapeId="0" xr:uid="{9600051E-9992-4AB5-9669-6466C35D83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I19" authorId="0" shapeId="0" xr:uid="{F140A2B4-03E5-42E8-ABF6-E7E896E529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REMIS DANS L EPARGNE</t>
        </r>
      </text>
    </comment>
    <comment ref="C22" authorId="0" shapeId="0" xr:uid="{9AB6F6FB-790A-4219-AD76-28D94316E9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PRÊT EN COMPTE EPARGNE </t>
        </r>
      </text>
    </comment>
    <comment ref="C28" authorId="0" shapeId="0" xr:uid="{2F8A7691-BC1D-43AA-8A9D-8D35725A1CC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RELIQUAT REPART  EPARGNE</t>
        </r>
      </text>
    </comment>
    <comment ref="I28" authorId="0" shapeId="0" xr:uid="{BB0895F4-F12C-4ADF-AFE6-A8885A934D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APRES REPARTITION
</t>
        </r>
      </text>
    </comment>
    <comment ref="C34" authorId="0" shapeId="0" xr:uid="{A9BCA8BC-4DD4-46D3-9844-FD0A0B2AE6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T25 BENEFICIE REVERSE DS EPARGNE</t>
        </r>
      </text>
    </comment>
    <comment ref="BD36" authorId="0" shapeId="0" xr:uid="{822F4335-F18B-42FB-8B55-33908812203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DETTE ANTERIEURE 267 500
LA AGUZE 30 000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K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P8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E6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0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D9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0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D6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8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P8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AZ6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 xr:uid="{00000000-0006-0000-1B00-00000F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 xr:uid="{00000000-0006-0000-1B00-000010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 xr:uid="{00000000-0006-0000-1B00-00001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 xr:uid="{00000000-0006-0000-1B00-00001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8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 xr:uid="{00000000-0006-0000-1C00-00000F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 xr:uid="{00000000-0006-0000-1C00-000010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 xr:uid="{00000000-0006-0000-1C00-00001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 xr:uid="{00000000-0006-0000-1C00-00001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 xr:uid="{00000000-0006-0000-1C00-00001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 xr:uid="{00000000-0006-0000-1C00-00001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 xr:uid="{00000000-0006-0000-1C00-00001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 xr:uid="{00000000-0006-0000-1C00-00001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 xr:uid="{00000000-0006-0000-1C00-000017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 xr:uid="{00000000-0006-0000-1C00-000018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 xr:uid="{00000000-0006-0000-1C00-000019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34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<sst xmlns="http://schemas.openxmlformats.org/spreadsheetml/2006/main" count="8567" uniqueCount="293">
  <si>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</si>
  <si>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</si>
  <si>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</si>
  <si>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</si>
  <si>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</si>
  <si>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</si>
  <si>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</si>
  <si>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</si>
  <si>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</si>
  <si>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</si>
  <si>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</si>
  <si>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</si>
  <si>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</si>
  <si>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</si>
  <si>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</si>
  <si>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</si>
  <si>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</si>
  <si>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</si>
  <si>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</si>
  <si>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</si>
  <si>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</si>
  <si>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</si>
  <si>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</si>
  <si>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</si>
  <si>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</si>
  <si>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</si>
  <si>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</si>
  <si>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</si>
  <si>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</si>
  <si>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</si>
  <si>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</si>
  <si>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</si>
  <si>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</si>
  <si>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</si>
  <si>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</si>
  <si>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</si>
  <si>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</si>
  <si>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</si>
  <si>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</si>
  <si>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</si>
  <si>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</si>
  <si>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</si>
  <si>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</si>
  <si>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</si>
  <si>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</si>
  <si>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</si>
  <si>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</si>
  <si>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</si>
  <si>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</si>
  <si>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</si>
  <si>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</si>
  <si>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</si>
  <si>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</si>
  <si>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</si>
  <si>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</si>
  <si>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</si>
  <si>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</si>
  <si>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</si>
  <si>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</si>
  <si>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</si>
  <si>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</si>
  <si>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</si>
  <si>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</si>
  <si>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</si>
  <si>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</si>
  <si>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</si>
  <si>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</si>
  <si>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</si>
  <si>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</si>
  <si>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</si>
  <si>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</si>
  <si>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</si>
  <si>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</si>
  <si>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</si>
  <si>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</si>
  <si>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</si>
  <si>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</si>
  <si>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</si>
  <si>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</si>
  <si>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</si>
  <si>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</si>
  <si>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</si>
  <si>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</si>
  <si>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</si>
  <si>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</si>
  <si>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</si>
  <si>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</si>
  <si>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</si>
  <si>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</si>
  <si>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</si>
  <si>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</si>
  <si>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</si>
  <si>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</si>
  <si>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</si>
  <si>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</si>
  <si>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</si>
  <si>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</si>
  <si>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</si>
  <si>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</si>
  <si>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</si>
  <si>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</si>
  <si>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</si>
  <si>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</si>
  <si>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</si>
  <si>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</si>
  <si>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</si>
  <si>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</si>
  <si>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</si>
  <si>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</si>
  <si>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</si>
  <si>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</si>
  <si>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</si>
  <si>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</si>
  <si>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</si>
  <si>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</si>
  <si>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</si>
  <si>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</si>
  <si>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</si>
  <si>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</si>
  <si>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</si>
  <si>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</si>
  <si>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</si>
  <si>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</si>
  <si>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</si>
  <si>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</si>
  <si>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</si>
  <si>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</si>
  <si>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</si>
  <si>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</si>
  <si>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</si>
  <si>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</si>
  <si>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</si>
  <si>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</si>
  <si>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</si>
  <si>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</si>
  <si>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</si>
  <si>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</si>
  <si>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</si>
  <si>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</si>
  <si>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</si>
  <si>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</si>
  <si>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</si>
  <si>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</si>
  <si>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</si>
  <si>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</si>
  <si>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</si>
  <si>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</si>
  <si>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</si>
  <si>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</si>
  <si>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</si>
  <si>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</si>
  <si>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</si>
  <si>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</si>
  <si>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</si>
  <si>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</si>
  <si>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</si>
  <si>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</si>
  <si>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</si>
  <si>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</si>
  <si>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</si>
  <si>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</si>
  <si>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</si>
  <si>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</si>
  <si>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</si>
  <si>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</si>
  <si>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</si>
  <si>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</si>
  <si>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</si>
  <si>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</si>
  <si>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</si>
  <si>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</si>
  <si>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</si>
  <si>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</si>
  <si>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</si>
  <si>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</si>
  <si>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</si>
  <si>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</si>
  <si>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</si>
  <si>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</si>
  <si>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</si>
  <si>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</si>
  <si>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</si>
  <si>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</si>
  <si>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</si>
  <si>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</si>
  <si>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</si>
  <si>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</si>
  <si>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</si>
  <si>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</si>
  <si>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</si>
  <si>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</si>
  <si>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</si>
  <si>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</si>
  <si>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</si>
  <si>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</si>
  <si>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</si>
  <si>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</si>
  <si>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</si>
  <si>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</si>
  <si>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</si>
  <si>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</si>
  <si>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</si>
  <si>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</si>
  <si>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</si>
  <si>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</si>
  <si>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</si>
  <si>
    <t>BQNAUE</t>
  </si>
  <si>
    <t>INSTALLATION CHEF LA AGWE</t>
  </si>
  <si>
    <t>OPERATIONS DU JOUR</t>
  </si>
  <si>
    <t>EN COMPTE</t>
  </si>
  <si>
    <t>ACHAT TERRAIN</t>
  </si>
  <si>
    <t>AUTRES DEPENSES</t>
  </si>
  <si>
    <t>TERRAIN NYOM</t>
  </si>
  <si>
    <t>REMBOURSEMENT DETTE HOTCHO</t>
  </si>
  <si>
    <t>REMB DETTE NGONDIEP PLAQUETTE</t>
  </si>
  <si>
    <t>PLUS VALUE</t>
  </si>
  <si>
    <t>COMPLEMENT TONTINE</t>
  </si>
  <si>
    <t>ASCOBA</t>
  </si>
  <si>
    <t>AS201662</t>
  </si>
  <si>
    <t>VERSEMENT BANQUE</t>
  </si>
  <si>
    <t>VERSEMENT ESPECES</t>
  </si>
  <si>
    <t>AUTRE VERSEMENTS</t>
  </si>
  <si>
    <t>KOUAMOU MOISE</t>
  </si>
  <si>
    <t>ACHAT LOT PRINCIPAL T25</t>
  </si>
  <si>
    <t>TONTINE 25 000</t>
  </si>
  <si>
    <t>REMBOURSEMENT PETIT LOT T25</t>
  </si>
  <si>
    <t>VENTE  PETIT LOT T25</t>
  </si>
  <si>
    <t>INTERET  PETIT LOT T25</t>
  </si>
  <si>
    <t>MONTANT T25</t>
  </si>
  <si>
    <t>FOYER</t>
  </si>
  <si>
    <t>TONTINE MOIS</t>
  </si>
  <si>
    <t>AUTRES MODE DE VERST</t>
  </si>
  <si>
    <t>ESPECES EN CAISSE</t>
  </si>
  <si>
    <t>CHEQUE TIRE</t>
  </si>
  <si>
    <t>BAKOP ACHILLE</t>
  </si>
  <si>
    <t>BOUTCHOUANG WILLIAM</t>
  </si>
  <si>
    <t xml:space="preserve">DJOMO JEAN PAUL </t>
  </si>
  <si>
    <t>DJOMOU TCHAPDA</t>
  </si>
  <si>
    <t>DJOUKWE NANGUEN GUY BLAISE</t>
  </si>
  <si>
    <t>DJUOMBESSY ANTOINE</t>
  </si>
  <si>
    <t>DOMOU FABIEN</t>
  </si>
  <si>
    <t>DONHOU DAVID</t>
  </si>
  <si>
    <t>HENGUE PAUL OMER</t>
  </si>
  <si>
    <t>HOTCHO BENJAMIN</t>
  </si>
  <si>
    <t>KOUATCHO MESSACK</t>
  </si>
  <si>
    <t>LOWE JEAN</t>
  </si>
  <si>
    <t>MBOGNING TUGMA GUY</t>
  </si>
  <si>
    <t>NANGUEN MARTIN</t>
  </si>
  <si>
    <t>NANKAM APPOLINAIRE</t>
  </si>
  <si>
    <t>NDJOMO ETIENNE</t>
  </si>
  <si>
    <t>NGONDIEP CLAUDE</t>
  </si>
  <si>
    <t>NGUIEMEGNI MATHIEU BLAISE</t>
  </si>
  <si>
    <t>NKAMGANG JUSTIN DEJOLIE</t>
  </si>
  <si>
    <t>NOUBE ETIENNE</t>
  </si>
  <si>
    <t>PATEGO NJOSSU GUSTAVE</t>
  </si>
  <si>
    <t>SEUMO POLYCARPE</t>
  </si>
  <si>
    <t>SIME BRICE</t>
  </si>
  <si>
    <t>SIMO PIERRE</t>
  </si>
  <si>
    <t>TCHOUAMOU MATHIEU</t>
  </si>
  <si>
    <t>TCHOUTOU NANA CLAUDE</t>
  </si>
  <si>
    <t>YANTCHOU GERVAIS</t>
  </si>
  <si>
    <t>YEPMOU JEAN JACQUES</t>
  </si>
  <si>
    <t>YOUMBI EMMANUEL</t>
  </si>
  <si>
    <t>DJOMOU TCHANDA</t>
  </si>
  <si>
    <t>FOTSO THOMAS</t>
  </si>
  <si>
    <t>NKEHE DAVID</t>
  </si>
  <si>
    <t>NKEPSEU DIEUDONNE</t>
  </si>
  <si>
    <t>SIMO FONGANG ERIC</t>
  </si>
  <si>
    <t>TIEYAM ERNEST</t>
  </si>
  <si>
    <t>AS201663</t>
  </si>
  <si>
    <t>ECHEC</t>
  </si>
  <si>
    <t xml:space="preserve">MODE REMBOURSEMENT PAIEMENT PETIT LOT </t>
  </si>
  <si>
    <t>DECES ELLE MERE DJOUKWE</t>
  </si>
  <si>
    <t>DECES ELLE MERE MASSEUGO</t>
  </si>
  <si>
    <t>DECES ELLE MERE MBONING</t>
  </si>
  <si>
    <t>SOLDE TERRAIN</t>
  </si>
  <si>
    <t>0K</t>
  </si>
  <si>
    <t>AUTRES</t>
  </si>
  <si>
    <t>LOWE</t>
  </si>
  <si>
    <t>BOISSON DALLE</t>
  </si>
  <si>
    <t>RETRAIT AIDE</t>
  </si>
  <si>
    <t>EPARGNE</t>
  </si>
  <si>
    <t>COLLATION DJOUKWE GUY</t>
  </si>
  <si>
    <t>TAXIE BANQUE</t>
  </si>
  <si>
    <t>JUOM?BESSY</t>
  </si>
  <si>
    <t>KOUATCHO</t>
  </si>
  <si>
    <t>NKAMGA</t>
  </si>
  <si>
    <t>NGONDIEP</t>
  </si>
  <si>
    <t>NANKAM</t>
  </si>
  <si>
    <t>TCHOUATEU AUGUSTIN</t>
  </si>
  <si>
    <t>NDJOMO</t>
  </si>
  <si>
    <t>FOYER DON VOLONTAIRE</t>
  </si>
  <si>
    <t>SIMO PIERRE SOLDE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</si>
</sst>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_€"/>
    <numFmt numFmtId="165" formatCode="#,##0;[Red]#,##0"/>
    <numFmt numFmtId="166" formatCode="#,##0_ ;[Red]\-#,##0\ 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b/>
      <sz val="14"/>
      <color theme="1"/>
      <name val="Britannic Bold"/>
      <family val="2"/>
    </font>
    <font>
      <sz val="14"/>
      <color rgb="FFFFC000"/>
      <name val="Britannic Bold"/>
      <family val="2"/>
    </font>
    <font>
      <b/>
      <sz val="14"/>
      <color rgb="FFC00000"/>
      <name val="Calibri"/>
      <family val="2"/>
      <scheme val="minor"/>
    </font>
    <font>
      <sz val="14"/>
      <color rgb="FFC00000"/>
      <name val="Britannic Bold"/>
      <family val="2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stellar"/>
      <family val="1"/>
    </font>
    <font>
      <b/>
      <sz val="11"/>
      <name val="Castellar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35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36" fillId="0" borderId="0" xfId="0" applyNumberFormat="1" applyFont="1"/>
    <xf numFmtId="164" fontId="3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38" fillId="0" borderId="0" xfId="0" applyNumberFormat="1" applyFont="1"/>
    <xf numFmtId="3" fontId="14" fillId="0" borderId="0" xfId="0" applyNumberFormat="1" applyFont="1"/>
    <xf numFmtId="164" fontId="39" fillId="0" borderId="0" xfId="0" applyNumberFormat="1" applyFont="1" applyAlignment="1">
      <alignment horizontal="center"/>
    </xf>
    <xf numFmtId="164" fontId="40" fillId="0" borderId="0" xfId="0" applyNumberFormat="1" applyFont="1"/>
    <xf numFmtId="3" fontId="40" fillId="0" borderId="0" xfId="0" applyNumberFormat="1" applyFont="1"/>
    <xf numFmtId="3" fontId="25" fillId="0" borderId="0" xfId="0" applyNumberFormat="1" applyFont="1"/>
    <xf numFmtId="3" fontId="39" fillId="0" borderId="0" xfId="0" applyNumberFormat="1" applyFont="1"/>
    <xf numFmtId="164" fontId="39" fillId="0" borderId="0" xfId="0" applyNumberFormat="1" applyFont="1"/>
    <xf numFmtId="164" fontId="14" fillId="0" borderId="0" xfId="0" applyNumberFormat="1" applyFont="1"/>
    <xf numFmtId="164" fontId="41" fillId="0" borderId="0" xfId="0" applyNumberFormat="1" applyFont="1"/>
    <xf numFmtId="0" fontId="42" fillId="0" borderId="0" xfId="0" applyFont="1"/>
    <xf numFmtId="3" fontId="43" fillId="0" borderId="0" xfId="0" applyNumberFormat="1" applyFont="1"/>
    <xf numFmtId="0" fontId="40" fillId="0" borderId="0" xfId="0" applyFont="1"/>
    <xf numFmtId="3" fontId="41" fillId="0" borderId="0" xfId="0" applyNumberFormat="1" applyFont="1"/>
    <xf numFmtId="3" fontId="44" fillId="0" borderId="0" xfId="0" applyNumberFormat="1" applyFont="1"/>
    <xf numFmtId="3" fontId="25" fillId="0" borderId="2" xfId="0" applyNumberFormat="1" applyFont="1" applyBorder="1"/>
    <xf numFmtId="3" fontId="15" fillId="0" borderId="0" xfId="0" applyNumberFormat="1" applyFont="1"/>
    <xf numFmtId="164" fontId="30" fillId="0" borderId="0" xfId="0" applyNumberFormat="1" applyFont="1"/>
    <xf numFmtId="0" fontId="0" fillId="0" borderId="0" xfId="0" applyAlignment="1">
      <alignment horizontal="center"/>
    </xf>
    <xf numFmtId="3" fontId="42" fillId="0" borderId="0" xfId="0" applyNumberFormat="1" applyFont="1"/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3.xml"/><Relationship Id="rId55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6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56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5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HISTOBQU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5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75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  <sheetName val="MODEPAID"/>
      <sheetName val="TONTJANV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  <sheetName val="DEFAILLANCETONTINE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MODETABORD"/>
      <sheetName val="HISTOMVTDEPENSE"/>
      <sheetName val="HISTODEC22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</sheetNames>
    <sheetDataSet>
      <sheetData sheetId="0" refreshError="1"/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  <sheetData sheetId="15"/>
      <sheetData sheetId="16">
        <row r="1">
          <cell r="A1" t="str">
            <v>ASSOCIATION</v>
          </cell>
        </row>
        <row r="2">
          <cell r="A2" t="str">
            <v>ANNEE</v>
          </cell>
        </row>
        <row r="3">
          <cell r="A3" t="str">
            <v xml:space="preserve">TAUX TONTINE 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4">
          <cell r="A4" t="str">
            <v>MLE</v>
          </cell>
        </row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>
            <v>32</v>
          </cell>
          <cell r="C36" t="str">
            <v>SIMO FONGANG ERIC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33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34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  <cell r="D39"/>
          <cell r="E39"/>
          <cell r="F39"/>
          <cell r="G39"/>
          <cell r="H39"/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E40"/>
          <cell r="F40">
            <v>677508603</v>
          </cell>
          <cell r="G40"/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5"/>
      <sheetName val="HISTOBQUEFEV25"/>
      <sheetName val="HISTOBQUEMARS25"/>
      <sheetName val="HISTOBQUEAVRIL25"/>
      <sheetName val="HISTOBQUEMAI25"/>
      <sheetName val="HISTOBQUEJUIN25"/>
      <sheetName val="HISTOBQUEJUIL25"/>
      <sheetName val="HISTOBQUEAOUT25"/>
      <sheetName val="HISTOBQUESEPT25"/>
      <sheetName val="HISTOBQUEOCT25"/>
      <sheetName val="HISTOBQUENOV25"/>
      <sheetName val="HISTOBQUEDEC25"/>
      <sheetName val="HISTOBQUERESUME25"/>
      <sheetName val="HISTOBQUERESUME24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4770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E9">
            <v>250000</v>
          </cell>
          <cell r="G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D10">
            <v>50000</v>
          </cell>
          <cell r="G10">
            <v>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150000</v>
          </cell>
          <cell r="G11">
            <v>150000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260000</v>
          </cell>
          <cell r="G12">
            <v>260000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G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D17">
            <v>25000</v>
          </cell>
          <cell r="E17">
            <v>250000</v>
          </cell>
          <cell r="G17">
            <v>275000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150000</v>
          </cell>
          <cell r="F18">
            <v>346500</v>
          </cell>
          <cell r="G18">
            <v>496500</v>
          </cell>
        </row>
        <row r="19">
          <cell r="A19" t="str">
            <v>AS201619</v>
          </cell>
          <cell r="B19" t="str">
            <v>KOUATCHO MESSACK</v>
          </cell>
          <cell r="C19">
            <v>150000</v>
          </cell>
          <cell r="E19">
            <v>160000</v>
          </cell>
          <cell r="G19">
            <v>160000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650000</v>
          </cell>
          <cell r="G21">
            <v>650000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E22">
            <v>325000</v>
          </cell>
          <cell r="G22">
            <v>325000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260000</v>
          </cell>
          <cell r="G25">
            <v>260000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240000</v>
          </cell>
          <cell r="G26">
            <v>240000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D27">
            <v>25000</v>
          </cell>
          <cell r="E27">
            <v>225000</v>
          </cell>
          <cell r="G27">
            <v>250000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50000</v>
          </cell>
          <cell r="G28">
            <v>50000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250000</v>
          </cell>
          <cell r="G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E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150000</v>
          </cell>
          <cell r="G34">
            <v>150000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125000</v>
          </cell>
          <cell r="G35">
            <v>125000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D39">
            <v>25000</v>
          </cell>
          <cell r="E39">
            <v>100000</v>
          </cell>
          <cell r="G39">
            <v>125000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D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E41">
            <v>250000</v>
          </cell>
          <cell r="G41">
            <v>250000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4900000</v>
          </cell>
          <cell r="D44">
            <v>275000</v>
          </cell>
          <cell r="E44">
            <v>5320000</v>
          </cell>
          <cell r="F44">
            <v>346500</v>
          </cell>
          <cell r="G44">
            <v>5941500</v>
          </cell>
          <cell r="H44">
            <v>4770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1191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E9">
            <v>250000</v>
          </cell>
          <cell r="G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50000</v>
          </cell>
          <cell r="G10">
            <v>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150375</v>
          </cell>
          <cell r="G11">
            <v>150375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910000</v>
          </cell>
          <cell r="G12">
            <v>910000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125000</v>
          </cell>
          <cell r="G15">
            <v>125000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260000</v>
          </cell>
          <cell r="G17">
            <v>260000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150000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E19">
            <v>310000</v>
          </cell>
          <cell r="G19">
            <v>310000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E22">
            <v>325000</v>
          </cell>
          <cell r="G22">
            <v>325000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F24">
            <v>892500</v>
          </cell>
          <cell r="G24">
            <v>1017500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260000</v>
          </cell>
          <cell r="G25">
            <v>260000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240000</v>
          </cell>
          <cell r="G26">
            <v>240000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D27">
            <v>25000</v>
          </cell>
          <cell r="E27">
            <v>225000</v>
          </cell>
          <cell r="G27">
            <v>250000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100000</v>
          </cell>
          <cell r="G28">
            <v>100000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250000</v>
          </cell>
          <cell r="G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E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150000</v>
          </cell>
          <cell r="G34">
            <v>150000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125000</v>
          </cell>
          <cell r="G35">
            <v>125000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125000</v>
          </cell>
          <cell r="G39">
            <v>125000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D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E41">
            <v>250000</v>
          </cell>
          <cell r="G41">
            <v>250000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4975000</v>
          </cell>
          <cell r="D44">
            <v>300000</v>
          </cell>
          <cell r="E44">
            <v>5655375</v>
          </cell>
          <cell r="F44">
            <v>892500</v>
          </cell>
          <cell r="G44">
            <v>6847875</v>
          </cell>
          <cell r="H44">
            <v>1191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2395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228000</v>
          </cell>
          <cell r="G8">
            <v>228000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E9">
            <v>457500</v>
          </cell>
          <cell r="G9">
            <v>457500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100500</v>
          </cell>
          <cell r="G10">
            <v>100500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150000</v>
          </cell>
          <cell r="G11">
            <v>150000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260000</v>
          </cell>
          <cell r="G12">
            <v>260000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376000</v>
          </cell>
          <cell r="G15">
            <v>376000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1275000</v>
          </cell>
          <cell r="G16">
            <v>1275000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250000</v>
          </cell>
          <cell r="G17">
            <v>250000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150000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E19">
            <v>291000</v>
          </cell>
          <cell r="G19">
            <v>291000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E22">
            <v>376000</v>
          </cell>
          <cell r="G22">
            <v>376000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361000</v>
          </cell>
          <cell r="G25">
            <v>361000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240000</v>
          </cell>
          <cell r="G26">
            <v>240000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450000</v>
          </cell>
          <cell r="G27">
            <v>450000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122000</v>
          </cell>
          <cell r="G28">
            <v>122000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91000</v>
          </cell>
          <cell r="G31">
            <v>91000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D32">
            <v>253000</v>
          </cell>
          <cell r="G32">
            <v>253000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E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150000</v>
          </cell>
          <cell r="G34">
            <v>150000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125000</v>
          </cell>
          <cell r="G35">
            <v>125000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130000</v>
          </cell>
          <cell r="G39">
            <v>130000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E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D41">
            <v>253000</v>
          </cell>
          <cell r="G41">
            <v>253000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652000</v>
          </cell>
          <cell r="G42">
            <v>652000</v>
          </cell>
        </row>
        <row r="44">
          <cell r="B44" t="str">
            <v>TOTAUX</v>
          </cell>
          <cell r="C44">
            <v>5125000</v>
          </cell>
          <cell r="D44">
            <v>606000</v>
          </cell>
          <cell r="E44">
            <v>7285000</v>
          </cell>
          <cell r="F44">
            <v>0</v>
          </cell>
          <cell r="G44">
            <v>7891000</v>
          </cell>
          <cell r="H44">
            <v>2395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2385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G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253500</v>
          </cell>
          <cell r="G9">
            <v>253500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50000</v>
          </cell>
          <cell r="G10">
            <v>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D11">
            <v>100000</v>
          </cell>
          <cell r="E11">
            <v>50000</v>
          </cell>
          <cell r="G11">
            <v>150000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260000</v>
          </cell>
          <cell r="G12">
            <v>260000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150000</v>
          </cell>
          <cell r="G15">
            <v>150000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220000</v>
          </cell>
          <cell r="G17">
            <v>220000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150000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E19">
            <v>150000</v>
          </cell>
          <cell r="G19">
            <v>150000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D22">
            <v>202000</v>
          </cell>
          <cell r="E22">
            <v>325000</v>
          </cell>
          <cell r="G22">
            <v>527000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260000</v>
          </cell>
          <cell r="G25">
            <v>260000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240000</v>
          </cell>
          <cell r="G26">
            <v>240000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D27">
            <v>35000</v>
          </cell>
          <cell r="E27">
            <v>300000</v>
          </cell>
          <cell r="G27">
            <v>335000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50000</v>
          </cell>
          <cell r="G28">
            <v>50000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D32">
            <v>50000</v>
          </cell>
          <cell r="E32">
            <v>250000</v>
          </cell>
          <cell r="G32">
            <v>300000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D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100000</v>
          </cell>
          <cell r="G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125000</v>
          </cell>
          <cell r="G35">
            <v>125000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D36">
            <v>102000</v>
          </cell>
          <cell r="E36">
            <v>150000</v>
          </cell>
          <cell r="G36">
            <v>252000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125000</v>
          </cell>
          <cell r="G39">
            <v>125000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D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D41">
            <v>250000</v>
          </cell>
          <cell r="G41">
            <v>250000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5075000</v>
          </cell>
          <cell r="D44">
            <v>1142500</v>
          </cell>
          <cell r="E44">
            <v>4280000</v>
          </cell>
          <cell r="F44">
            <v>0</v>
          </cell>
          <cell r="G44">
            <v>5422500</v>
          </cell>
          <cell r="H44">
            <v>2385</v>
          </cell>
        </row>
        <row r="46">
          <cell r="E46">
            <v>8568500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2385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E7">
            <v>100000</v>
          </cell>
          <cell r="G7">
            <v>100000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252000</v>
          </cell>
          <cell r="E9">
            <v>250000</v>
          </cell>
          <cell r="G9">
            <v>502000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D10">
            <v>1500</v>
          </cell>
          <cell r="E10">
            <v>81000</v>
          </cell>
          <cell r="G10">
            <v>82500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150000</v>
          </cell>
          <cell r="G11">
            <v>150000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260000</v>
          </cell>
          <cell r="G12">
            <v>260000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150000</v>
          </cell>
          <cell r="G15">
            <v>150000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250000</v>
          </cell>
          <cell r="G17">
            <v>250000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D18">
            <v>102000</v>
          </cell>
          <cell r="E18">
            <v>150000</v>
          </cell>
          <cell r="G18">
            <v>252000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D19">
            <v>27000</v>
          </cell>
          <cell r="E19">
            <v>298500</v>
          </cell>
          <cell r="G19">
            <v>325500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D22">
            <v>202000</v>
          </cell>
          <cell r="E22">
            <v>325000</v>
          </cell>
          <cell r="G22">
            <v>527000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D23">
            <v>203000</v>
          </cell>
          <cell r="G23">
            <v>203000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260000</v>
          </cell>
          <cell r="G25">
            <v>260000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D26">
            <v>283625</v>
          </cell>
          <cell r="E26">
            <v>240000</v>
          </cell>
          <cell r="G26">
            <v>523625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250000</v>
          </cell>
          <cell r="G27">
            <v>250000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345000</v>
          </cell>
          <cell r="G28">
            <v>345000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D31">
            <v>30000</v>
          </cell>
          <cell r="E31">
            <v>50000</v>
          </cell>
          <cell r="G31">
            <v>80000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250000</v>
          </cell>
          <cell r="G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D33">
            <v>53000</v>
          </cell>
          <cell r="G33">
            <v>53000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150000</v>
          </cell>
          <cell r="G34">
            <v>150000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125000</v>
          </cell>
          <cell r="G35">
            <v>125000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125000</v>
          </cell>
          <cell r="G39">
            <v>125000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E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E41">
            <v>250000</v>
          </cell>
          <cell r="G41">
            <v>250000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5125000</v>
          </cell>
          <cell r="D44">
            <v>1204125</v>
          </cell>
          <cell r="E44">
            <v>5484500</v>
          </cell>
          <cell r="F44">
            <v>0</v>
          </cell>
          <cell r="G44">
            <v>6688625</v>
          </cell>
          <cell r="H44">
            <v>2385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2385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351000</v>
          </cell>
          <cell r="G9">
            <v>351000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81000</v>
          </cell>
          <cell r="G10">
            <v>81000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251000</v>
          </cell>
          <cell r="G11">
            <v>251000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315000</v>
          </cell>
          <cell r="G12">
            <v>315000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150000</v>
          </cell>
          <cell r="G15">
            <v>150000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301000</v>
          </cell>
          <cell r="G17">
            <v>301000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150000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E19">
            <v>235000</v>
          </cell>
          <cell r="G19">
            <v>235000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E22">
            <v>628000</v>
          </cell>
          <cell r="G22">
            <v>628000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D25">
            <v>202500</v>
          </cell>
          <cell r="E25">
            <v>260000</v>
          </cell>
          <cell r="G25">
            <v>462500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240000</v>
          </cell>
          <cell r="G26">
            <v>240000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450000</v>
          </cell>
          <cell r="G27">
            <v>450000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D28">
            <v>53000</v>
          </cell>
          <cell r="G28">
            <v>53000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250000</v>
          </cell>
          <cell r="G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D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181000</v>
          </cell>
          <cell r="G34">
            <v>181000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D35">
            <v>102000</v>
          </cell>
          <cell r="E35">
            <v>125000</v>
          </cell>
          <cell r="G35">
            <v>227000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227000</v>
          </cell>
          <cell r="G39">
            <v>227000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D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D41">
            <v>253000</v>
          </cell>
          <cell r="G41">
            <v>253000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5125000</v>
          </cell>
          <cell r="D44">
            <v>1161500</v>
          </cell>
          <cell r="E44">
            <v>5319000</v>
          </cell>
          <cell r="F44">
            <v>0</v>
          </cell>
          <cell r="G44">
            <v>6480500</v>
          </cell>
          <cell r="H44">
            <v>2385</v>
          </cell>
        </row>
        <row r="47">
          <cell r="B47" t="str">
            <v>LOWE</v>
          </cell>
          <cell r="D47">
            <v>100000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4770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291500</v>
          </cell>
          <cell r="G9">
            <v>291500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50000</v>
          </cell>
          <cell r="G10">
            <v>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290000</v>
          </cell>
          <cell r="G11">
            <v>290000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D12">
            <v>31000</v>
          </cell>
          <cell r="E12">
            <v>466500</v>
          </cell>
          <cell r="G12">
            <v>497500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150000</v>
          </cell>
          <cell r="G15">
            <v>150000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342000</v>
          </cell>
          <cell r="G17">
            <v>342000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180000</v>
          </cell>
          <cell r="G18">
            <v>180000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E19">
            <v>376000</v>
          </cell>
          <cell r="G19">
            <v>376000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75000</v>
          </cell>
          <cell r="G21">
            <v>75000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E22">
            <v>530000</v>
          </cell>
          <cell r="G22">
            <v>530000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481500</v>
          </cell>
          <cell r="G25">
            <v>481500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240000</v>
          </cell>
          <cell r="G26">
            <v>240000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343000</v>
          </cell>
          <cell r="G27">
            <v>343000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50000</v>
          </cell>
          <cell r="G28">
            <v>50000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250000</v>
          </cell>
          <cell r="G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D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175000</v>
          </cell>
          <cell r="G34">
            <v>175000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227000</v>
          </cell>
          <cell r="G35">
            <v>227000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53000</v>
          </cell>
          <cell r="G38">
            <v>53000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125000</v>
          </cell>
          <cell r="G39">
            <v>125000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E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E41">
            <v>250000</v>
          </cell>
          <cell r="G41">
            <v>250000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3">
          <cell r="B43" t="str">
            <v>LOWE</v>
          </cell>
        </row>
        <row r="44">
          <cell r="B44" t="str">
            <v>TOTAUX</v>
          </cell>
          <cell r="C44">
            <v>5125000</v>
          </cell>
          <cell r="D44">
            <v>475500</v>
          </cell>
          <cell r="E44">
            <v>6076000</v>
          </cell>
          <cell r="F44">
            <v>0</v>
          </cell>
          <cell r="G44">
            <v>6551500</v>
          </cell>
          <cell r="H44">
            <v>4770</v>
          </cell>
        </row>
        <row r="47">
          <cell r="B47" t="str">
            <v>LOWE</v>
          </cell>
          <cell r="D47">
            <v>50000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2385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453500</v>
          </cell>
          <cell r="G9">
            <v>453500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77000</v>
          </cell>
          <cell r="G10">
            <v>77000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400000</v>
          </cell>
          <cell r="G11">
            <v>400000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529500</v>
          </cell>
          <cell r="G12">
            <v>529500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251000</v>
          </cell>
          <cell r="G15">
            <v>251000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250000</v>
          </cell>
          <cell r="G17">
            <v>250000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150000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E19">
            <v>370000</v>
          </cell>
          <cell r="G19">
            <v>370000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E22">
            <v>634500</v>
          </cell>
          <cell r="G22">
            <v>634500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466000</v>
          </cell>
          <cell r="G25">
            <v>466000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365000</v>
          </cell>
          <cell r="G26">
            <v>365000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320000</v>
          </cell>
          <cell r="F27">
            <v>133500</v>
          </cell>
          <cell r="G27">
            <v>453500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50000</v>
          </cell>
          <cell r="G28">
            <v>50000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250000</v>
          </cell>
          <cell r="G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D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E34">
            <v>185000</v>
          </cell>
          <cell r="G34">
            <v>185000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227000</v>
          </cell>
          <cell r="G35">
            <v>227000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E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125000</v>
          </cell>
          <cell r="G39">
            <v>125000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E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D41">
            <v>253000</v>
          </cell>
          <cell r="G41">
            <v>253000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3">
          <cell r="G43">
            <v>0</v>
          </cell>
        </row>
        <row r="44">
          <cell r="B44" t="str">
            <v>TOTAUX</v>
          </cell>
          <cell r="C44">
            <v>5125000</v>
          </cell>
          <cell r="D44">
            <v>806500</v>
          </cell>
          <cell r="E44">
            <v>6225000</v>
          </cell>
          <cell r="F44">
            <v>133500</v>
          </cell>
          <cell r="G44">
            <v>7165000</v>
          </cell>
          <cell r="H44">
            <v>2385</v>
          </cell>
        </row>
        <row r="46">
          <cell r="B46" t="str">
            <v>F0TSO THOMAS</v>
          </cell>
          <cell r="E46">
            <v>20000</v>
          </cell>
        </row>
        <row r="47">
          <cell r="B47" t="str">
            <v>LOWE</v>
          </cell>
          <cell r="E47">
            <v>50000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1193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125000</v>
          </cell>
          <cell r="G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382000</v>
          </cell>
          <cell r="G9">
            <v>382000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D10">
            <v>61000</v>
          </cell>
          <cell r="E10">
            <v>50000</v>
          </cell>
          <cell r="G10">
            <v>111000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150000</v>
          </cell>
          <cell r="G11">
            <v>150000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361000</v>
          </cell>
          <cell r="G12">
            <v>361000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150000</v>
          </cell>
          <cell r="F15">
            <v>800000</v>
          </cell>
          <cell r="G15">
            <v>950000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484000</v>
          </cell>
          <cell r="G17">
            <v>484000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E18">
            <v>150000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D19">
            <v>30500</v>
          </cell>
          <cell r="E19">
            <v>641000</v>
          </cell>
          <cell r="G19">
            <v>671500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D22">
            <v>261000</v>
          </cell>
          <cell r="E22">
            <v>471000</v>
          </cell>
          <cell r="G22">
            <v>732000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462000</v>
          </cell>
          <cell r="G25">
            <v>462000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D26">
            <v>240000</v>
          </cell>
          <cell r="E26">
            <v>52500</v>
          </cell>
          <cell r="G26">
            <v>292500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350000</v>
          </cell>
          <cell r="G27">
            <v>350000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50000</v>
          </cell>
          <cell r="G28">
            <v>50000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250000</v>
          </cell>
          <cell r="G32">
            <v>250000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E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G34">
            <v>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327000</v>
          </cell>
          <cell r="G35">
            <v>327000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E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232000</v>
          </cell>
          <cell r="G39">
            <v>232000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E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E41">
            <v>250000</v>
          </cell>
          <cell r="G41">
            <v>250000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4975000</v>
          </cell>
          <cell r="D44">
            <v>1024500</v>
          </cell>
          <cell r="E44">
            <v>6055500</v>
          </cell>
          <cell r="F44">
            <v>800000</v>
          </cell>
          <cell r="G44">
            <v>7880000</v>
          </cell>
          <cell r="H44">
            <v>1193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3578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D8">
            <v>101000</v>
          </cell>
          <cell r="E8">
            <v>125000</v>
          </cell>
          <cell r="G8">
            <v>226000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476500</v>
          </cell>
          <cell r="G9">
            <v>476500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50000</v>
          </cell>
          <cell r="G10">
            <v>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D11">
            <v>205500</v>
          </cell>
          <cell r="E11">
            <v>150000</v>
          </cell>
          <cell r="G11">
            <v>355500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1125000</v>
          </cell>
          <cell r="G12">
            <v>1125000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150000</v>
          </cell>
          <cell r="G15">
            <v>150000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E17">
            <v>351500</v>
          </cell>
          <cell r="G17">
            <v>351500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D18">
            <v>50000</v>
          </cell>
          <cell r="E18">
            <v>100000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D19">
            <v>336000</v>
          </cell>
          <cell r="G19">
            <v>336000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D22">
            <v>205000</v>
          </cell>
          <cell r="E22">
            <v>428500</v>
          </cell>
          <cell r="G22">
            <v>633500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D25">
            <v>102500</v>
          </cell>
          <cell r="E25">
            <v>275000</v>
          </cell>
          <cell r="G25">
            <v>377500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D26">
            <v>237500</v>
          </cell>
          <cell r="E26">
            <v>240000</v>
          </cell>
          <cell r="G26">
            <v>477500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460000</v>
          </cell>
          <cell r="G27">
            <v>460000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50000</v>
          </cell>
          <cell r="G28">
            <v>50000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50000</v>
          </cell>
          <cell r="G29">
            <v>50000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D32">
            <v>206500</v>
          </cell>
          <cell r="E32">
            <v>250000</v>
          </cell>
          <cell r="G32">
            <v>456500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E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D34">
            <v>500000</v>
          </cell>
          <cell r="G34">
            <v>500000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D35">
            <v>202500</v>
          </cell>
          <cell r="E35">
            <v>125000</v>
          </cell>
          <cell r="G35">
            <v>327500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E36">
            <v>150000</v>
          </cell>
          <cell r="G36">
            <v>150000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125000</v>
          </cell>
          <cell r="G39">
            <v>125000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E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D41">
            <v>253000</v>
          </cell>
          <cell r="G41">
            <v>253000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5125000</v>
          </cell>
          <cell r="D44">
            <v>2976000</v>
          </cell>
          <cell r="E44">
            <v>5455000</v>
          </cell>
          <cell r="F44">
            <v>0</v>
          </cell>
          <cell r="G44">
            <v>8431000</v>
          </cell>
          <cell r="H44">
            <v>3578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2385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50000</v>
          </cell>
          <cell r="G7">
            <v>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E8">
            <v>378000</v>
          </cell>
          <cell r="G8">
            <v>378000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404500</v>
          </cell>
          <cell r="E9">
            <v>100000</v>
          </cell>
          <cell r="G9">
            <v>504500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E10">
            <v>101000</v>
          </cell>
          <cell r="G10">
            <v>101000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E11">
            <v>300000</v>
          </cell>
          <cell r="G11">
            <v>300000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E12">
            <v>600000</v>
          </cell>
          <cell r="G12">
            <v>600000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E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E15">
            <v>150000</v>
          </cell>
          <cell r="G15">
            <v>150000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D17">
            <v>50500</v>
          </cell>
          <cell r="E17">
            <v>395500</v>
          </cell>
          <cell r="G17">
            <v>446000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D18">
            <v>150000</v>
          </cell>
          <cell r="G18">
            <v>150000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E19">
            <v>335000</v>
          </cell>
          <cell r="G19">
            <v>335000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E21">
            <v>50000</v>
          </cell>
          <cell r="G21">
            <v>50000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E22">
            <v>784400</v>
          </cell>
          <cell r="G22">
            <v>784400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E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E24">
            <v>125000</v>
          </cell>
          <cell r="G24">
            <v>125000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E25">
            <v>362500</v>
          </cell>
          <cell r="G25">
            <v>362500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240000</v>
          </cell>
          <cell r="G26">
            <v>240000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360000</v>
          </cell>
          <cell r="G27">
            <v>360000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E28">
            <v>100500</v>
          </cell>
          <cell r="G28">
            <v>100500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D29">
            <v>150000</v>
          </cell>
          <cell r="E29">
            <v>50000</v>
          </cell>
          <cell r="G29">
            <v>200000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50000</v>
          </cell>
          <cell r="G31">
            <v>50000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E32">
            <v>508000</v>
          </cell>
          <cell r="G32">
            <v>508000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D33">
            <v>50000</v>
          </cell>
          <cell r="G33">
            <v>50000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G34">
            <v>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E35">
            <v>277000</v>
          </cell>
          <cell r="G35">
            <v>277000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D36">
            <v>102500</v>
          </cell>
          <cell r="E36">
            <v>150000</v>
          </cell>
          <cell r="G36">
            <v>252500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50000</v>
          </cell>
          <cell r="G38">
            <v>50000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D39">
            <v>152500</v>
          </cell>
          <cell r="E39">
            <v>125000</v>
          </cell>
          <cell r="G39">
            <v>277500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E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D41">
            <v>253000</v>
          </cell>
          <cell r="G41">
            <v>253000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4975000</v>
          </cell>
          <cell r="D44">
            <v>1413000</v>
          </cell>
          <cell r="E44">
            <v>6516900</v>
          </cell>
          <cell r="F44">
            <v>0</v>
          </cell>
          <cell r="G44">
            <v>7929900</v>
          </cell>
          <cell r="H44">
            <v>2385</v>
          </cell>
        </row>
        <row r="46">
          <cell r="E46">
            <v>240000</v>
          </cell>
        </row>
        <row r="47">
          <cell r="E47">
            <v>125000</v>
          </cell>
        </row>
        <row r="48">
          <cell r="E48">
            <v>125000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250000</v>
          </cell>
          <cell r="E6">
            <v>250000</v>
          </cell>
          <cell r="G6">
            <v>250000</v>
          </cell>
          <cell r="H6">
            <v>2385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1050000</v>
          </cell>
          <cell r="G7">
            <v>1050000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D8">
            <v>500000</v>
          </cell>
          <cell r="E8">
            <v>125000</v>
          </cell>
          <cell r="G8">
            <v>625000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D9">
            <v>1457000</v>
          </cell>
          <cell r="G9">
            <v>1457000</v>
          </cell>
        </row>
        <row r="10">
          <cell r="A10" t="str">
            <v>AS201654</v>
          </cell>
          <cell r="B10" t="str">
            <v>DJOMOU TCHAPDA</v>
          </cell>
          <cell r="C10">
            <v>50000</v>
          </cell>
          <cell r="D10">
            <v>1000500</v>
          </cell>
          <cell r="E10">
            <v>70000</v>
          </cell>
          <cell r="G10">
            <v>1070500</v>
          </cell>
        </row>
        <row r="11">
          <cell r="A11" t="str">
            <v>AS201605</v>
          </cell>
          <cell r="B11" t="str">
            <v>DJOUKWE NANGUEN GUY BLAISE</v>
          </cell>
          <cell r="C11">
            <v>150000</v>
          </cell>
          <cell r="D11">
            <v>1101500</v>
          </cell>
          <cell r="F11">
            <v>268500</v>
          </cell>
          <cell r="G11">
            <v>1370000</v>
          </cell>
        </row>
        <row r="12">
          <cell r="A12" t="str">
            <v>AS201608</v>
          </cell>
          <cell r="B12" t="str">
            <v>DJUOMBESSY ANTOINE</v>
          </cell>
          <cell r="C12">
            <v>250000</v>
          </cell>
          <cell r="D12">
            <v>101500</v>
          </cell>
          <cell r="E12">
            <v>260000</v>
          </cell>
          <cell r="G12">
            <v>361500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E13">
            <v>50000</v>
          </cell>
          <cell r="G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D14">
            <v>50000</v>
          </cell>
          <cell r="G14">
            <v>50000</v>
          </cell>
        </row>
        <row r="15">
          <cell r="A15" t="str">
            <v>AS201663</v>
          </cell>
          <cell r="B15" t="str">
            <v>FAMPOU PAUL</v>
          </cell>
          <cell r="C15">
            <v>150000</v>
          </cell>
          <cell r="D15">
            <v>203000</v>
          </cell>
          <cell r="E15">
            <v>150000</v>
          </cell>
          <cell r="G15">
            <v>353000</v>
          </cell>
        </row>
        <row r="16">
          <cell r="A16" t="str">
            <v>AS201611</v>
          </cell>
          <cell r="B16" t="str">
            <v>HENGUE PAUL OMER</v>
          </cell>
          <cell r="C16">
            <v>125000</v>
          </cell>
          <cell r="E16">
            <v>125000</v>
          </cell>
          <cell r="G16">
            <v>125000</v>
          </cell>
        </row>
        <row r="17">
          <cell r="A17" t="str">
            <v>AS201613</v>
          </cell>
          <cell r="B17" t="str">
            <v>HOTCHO BENJAMIN</v>
          </cell>
          <cell r="C17">
            <v>225000</v>
          </cell>
          <cell r="D17">
            <v>603000</v>
          </cell>
          <cell r="E17">
            <v>250000</v>
          </cell>
          <cell r="G17">
            <v>853000</v>
          </cell>
        </row>
        <row r="18">
          <cell r="A18" t="str">
            <v>AS201617</v>
          </cell>
          <cell r="B18" t="str">
            <v>KOUAMOU MOISE</v>
          </cell>
          <cell r="C18">
            <v>150000</v>
          </cell>
          <cell r="D18">
            <v>20000</v>
          </cell>
          <cell r="E18">
            <v>250000</v>
          </cell>
          <cell r="F18">
            <v>143500</v>
          </cell>
          <cell r="G18">
            <v>413500</v>
          </cell>
        </row>
        <row r="19">
          <cell r="A19" t="str">
            <v>AS201619</v>
          </cell>
          <cell r="B19" t="str">
            <v>KOUATCHO MESSACK</v>
          </cell>
          <cell r="C19">
            <v>225000</v>
          </cell>
          <cell r="D19">
            <v>1235000</v>
          </cell>
          <cell r="E19">
            <v>208000</v>
          </cell>
          <cell r="G19">
            <v>1443000</v>
          </cell>
        </row>
        <row r="20">
          <cell r="A20" t="str">
            <v>AS201620</v>
          </cell>
          <cell r="B20" t="str">
            <v>LOWE JEAN</v>
          </cell>
          <cell r="D20">
            <v>50000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50000</v>
          </cell>
          <cell r="D21">
            <v>53000</v>
          </cell>
          <cell r="E21">
            <v>50000</v>
          </cell>
          <cell r="G21">
            <v>103000</v>
          </cell>
        </row>
        <row r="22">
          <cell r="A22" t="str">
            <v>AS201649</v>
          </cell>
          <cell r="B22" t="str">
            <v>MBOGNING TUGMA GUY</v>
          </cell>
          <cell r="C22">
            <v>325000</v>
          </cell>
          <cell r="D22">
            <v>1471000</v>
          </cell>
          <cell r="G22">
            <v>1471000</v>
          </cell>
        </row>
        <row r="23">
          <cell r="A23" t="str">
            <v>AS201639</v>
          </cell>
          <cell r="B23" t="str">
            <v>NANGUEN MARTIN</v>
          </cell>
          <cell r="C23">
            <v>50000</v>
          </cell>
          <cell r="D23">
            <v>50000</v>
          </cell>
          <cell r="G23">
            <v>50000</v>
          </cell>
        </row>
        <row r="24">
          <cell r="A24" t="str">
            <v>AS201621</v>
          </cell>
          <cell r="B24" t="str">
            <v>NANKAM APPOLINAIRE</v>
          </cell>
          <cell r="C24">
            <v>125000</v>
          </cell>
          <cell r="D24">
            <v>900000</v>
          </cell>
          <cell r="E24">
            <v>125000</v>
          </cell>
          <cell r="F24">
            <v>900000</v>
          </cell>
          <cell r="G24">
            <v>1025000</v>
          </cell>
        </row>
        <row r="25">
          <cell r="A25" t="str">
            <v>AS201622</v>
          </cell>
          <cell r="B25" t="str">
            <v>NDJOMO ETIENNE</v>
          </cell>
          <cell r="C25">
            <v>250000</v>
          </cell>
          <cell r="D25">
            <v>203000</v>
          </cell>
          <cell r="E25">
            <v>760000</v>
          </cell>
          <cell r="G25">
            <v>963000</v>
          </cell>
        </row>
        <row r="26">
          <cell r="A26" t="str">
            <v>AS201624</v>
          </cell>
          <cell r="B26" t="str">
            <v>NGONDIEP CLAUDE</v>
          </cell>
          <cell r="C26">
            <v>225000</v>
          </cell>
          <cell r="E26">
            <v>1550000</v>
          </cell>
          <cell r="G26">
            <v>1550000</v>
          </cell>
        </row>
        <row r="27">
          <cell r="A27" t="str">
            <v>AS201626</v>
          </cell>
          <cell r="B27" t="str">
            <v>NGUIEMEGNI MATHIEU BLAISE</v>
          </cell>
          <cell r="C27">
            <v>250000</v>
          </cell>
          <cell r="E27">
            <v>450000</v>
          </cell>
          <cell r="G27">
            <v>450000</v>
          </cell>
        </row>
        <row r="28">
          <cell r="A28" t="str">
            <v>AS201628</v>
          </cell>
          <cell r="B28" t="str">
            <v>NKAMGANG JUSTIN DEJOLIE</v>
          </cell>
          <cell r="C28">
            <v>50000</v>
          </cell>
          <cell r="D28">
            <v>1050000</v>
          </cell>
          <cell r="E28">
            <v>51500</v>
          </cell>
          <cell r="G28">
            <v>1101500</v>
          </cell>
        </row>
        <row r="29">
          <cell r="A29" t="str">
            <v>AS201656</v>
          </cell>
          <cell r="B29" t="str">
            <v>NOUBE ETIENNE</v>
          </cell>
          <cell r="C29">
            <v>50000</v>
          </cell>
          <cell r="E29">
            <v>300000</v>
          </cell>
          <cell r="G29">
            <v>300000</v>
          </cell>
        </row>
        <row r="30">
          <cell r="A30" t="str">
            <v>AS201633</v>
          </cell>
          <cell r="B30" t="str">
            <v>PATEGO NJOSSU GUSTAVE</v>
          </cell>
          <cell r="C30">
            <v>125000</v>
          </cell>
          <cell r="E30">
            <v>125000</v>
          </cell>
          <cell r="G30">
            <v>125000</v>
          </cell>
        </row>
        <row r="31">
          <cell r="A31" t="str">
            <v>AS201657</v>
          </cell>
          <cell r="B31" t="str">
            <v>SEUMO POLYCARPE</v>
          </cell>
          <cell r="C31">
            <v>50000</v>
          </cell>
          <cell r="E31">
            <v>110000</v>
          </cell>
          <cell r="G31">
            <v>110000</v>
          </cell>
        </row>
        <row r="32">
          <cell r="A32" t="str">
            <v>AS201653</v>
          </cell>
          <cell r="B32" t="str">
            <v>SIME BRICE</v>
          </cell>
          <cell r="C32">
            <v>250000</v>
          </cell>
          <cell r="D32">
            <v>1203000</v>
          </cell>
          <cell r="E32">
            <v>250000</v>
          </cell>
          <cell r="G32">
            <v>1453000</v>
          </cell>
        </row>
        <row r="33">
          <cell r="A33" t="str">
            <v>AS201629</v>
          </cell>
          <cell r="B33" t="str">
            <v>SIMO FONGANG ERIC</v>
          </cell>
          <cell r="C33">
            <v>50000</v>
          </cell>
          <cell r="D33">
            <v>10000</v>
          </cell>
          <cell r="E33">
            <v>50000</v>
          </cell>
          <cell r="G33">
            <v>60000</v>
          </cell>
        </row>
        <row r="34">
          <cell r="A34" t="str">
            <v>AS201638</v>
          </cell>
          <cell r="B34" t="str">
            <v>SIMO PIERRE</v>
          </cell>
          <cell r="C34">
            <v>150000</v>
          </cell>
          <cell r="D34">
            <v>58000</v>
          </cell>
          <cell r="F34">
            <v>530500</v>
          </cell>
          <cell r="G34">
            <v>530500</v>
          </cell>
        </row>
        <row r="35">
          <cell r="A35" t="str">
            <v>AS201641</v>
          </cell>
          <cell r="B35" t="str">
            <v>TCHOUAMOU MATHIEU</v>
          </cell>
          <cell r="C35">
            <v>125000</v>
          </cell>
          <cell r="D35">
            <v>1000000</v>
          </cell>
          <cell r="E35">
            <v>125000</v>
          </cell>
          <cell r="G35">
            <v>1125000</v>
          </cell>
        </row>
        <row r="36">
          <cell r="A36" t="str">
            <v>AS201660</v>
          </cell>
          <cell r="B36" t="str">
            <v>TCHOUATEU AUGUSTIN</v>
          </cell>
          <cell r="C36">
            <v>150000</v>
          </cell>
          <cell r="D36">
            <v>3500</v>
          </cell>
          <cell r="E36">
            <v>1150000</v>
          </cell>
          <cell r="G36">
            <v>1153500</v>
          </cell>
        </row>
        <row r="37">
          <cell r="A37" t="str">
            <v>AS201643</v>
          </cell>
          <cell r="B37" t="str">
            <v>TCHOUTOU NANA CLAUDE</v>
          </cell>
          <cell r="C37">
            <v>50000</v>
          </cell>
          <cell r="E37">
            <v>50000</v>
          </cell>
          <cell r="G37">
            <v>50000</v>
          </cell>
        </row>
        <row r="38">
          <cell r="A38" t="str">
            <v>AS201662</v>
          </cell>
          <cell r="B38" t="str">
            <v>TIEYAM ERNEST</v>
          </cell>
          <cell r="C38">
            <v>50000</v>
          </cell>
          <cell r="D38">
            <v>13300</v>
          </cell>
          <cell r="E38">
            <v>50000</v>
          </cell>
          <cell r="G38">
            <v>63300</v>
          </cell>
        </row>
        <row r="39">
          <cell r="A39" t="str">
            <v>AS201658</v>
          </cell>
          <cell r="B39" t="str">
            <v>YANTCHOU GERVAIS</v>
          </cell>
          <cell r="C39">
            <v>125000</v>
          </cell>
          <cell r="E39">
            <v>232500</v>
          </cell>
          <cell r="G39">
            <v>232500</v>
          </cell>
        </row>
        <row r="40">
          <cell r="A40" t="str">
            <v>AS201646</v>
          </cell>
          <cell r="B40" t="str">
            <v>YEPMOU JEAN JACQUES</v>
          </cell>
          <cell r="C40">
            <v>50000</v>
          </cell>
          <cell r="D40">
            <v>50000</v>
          </cell>
          <cell r="G40">
            <v>50000</v>
          </cell>
        </row>
        <row r="41">
          <cell r="A41" t="str">
            <v>AS201659</v>
          </cell>
          <cell r="B41" t="str">
            <v>YIALA ALAIN OSCAR</v>
          </cell>
          <cell r="C41">
            <v>250000</v>
          </cell>
          <cell r="D41">
            <v>453000</v>
          </cell>
          <cell r="G41">
            <v>453000</v>
          </cell>
        </row>
        <row r="42">
          <cell r="A42" t="str">
            <v>AS201647</v>
          </cell>
          <cell r="B42" t="str">
            <v>YOUMBI EMMANUEL</v>
          </cell>
          <cell r="C42">
            <v>225000</v>
          </cell>
          <cell r="E42">
            <v>225000</v>
          </cell>
          <cell r="G42">
            <v>225000</v>
          </cell>
        </row>
        <row r="44">
          <cell r="B44" t="str">
            <v>TOTAUX</v>
          </cell>
          <cell r="C44">
            <v>5125000</v>
          </cell>
          <cell r="D44">
            <v>12931300</v>
          </cell>
          <cell r="E44">
            <v>7392000</v>
          </cell>
          <cell r="F44">
            <v>1842500</v>
          </cell>
          <cell r="G44">
            <v>22165800</v>
          </cell>
          <cell r="H44">
            <v>2385</v>
          </cell>
        </row>
        <row r="46">
          <cell r="D46">
            <v>190000</v>
          </cell>
        </row>
        <row r="48">
          <cell r="D48">
            <v>13121300</v>
          </cell>
          <cell r="E48">
            <v>12501150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/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50375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710000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75000</v>
          </cell>
          <cell r="F14">
            <v>0</v>
          </cell>
          <cell r="G14" t="str">
            <v>ESPECES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85000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60000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  <cell r="Q18">
            <v>274000</v>
          </cell>
          <cell r="R18">
            <v>26000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942500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 t="str">
            <v>BANQUE</v>
          </cell>
          <cell r="P25">
            <v>0</v>
          </cell>
          <cell r="Q25">
            <v>274000</v>
          </cell>
          <cell r="R25">
            <v>26000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58000</v>
          </cell>
          <cell r="F26">
            <v>0</v>
          </cell>
          <cell r="G26" t="str">
            <v>BANQUE</v>
          </cell>
          <cell r="H26">
            <v>41000</v>
          </cell>
          <cell r="I26">
            <v>1000</v>
          </cell>
          <cell r="J26" t="str">
            <v>BANQUE</v>
          </cell>
          <cell r="K26">
            <v>0</v>
          </cell>
          <cell r="L26">
            <v>42000</v>
          </cell>
          <cell r="M26">
            <v>42000</v>
          </cell>
          <cell r="N26" t="str">
            <v>BANQUE</v>
          </cell>
          <cell r="O26" t="str">
            <v>BANQUE</v>
          </cell>
          <cell r="P26">
            <v>0</v>
          </cell>
          <cell r="Q26">
            <v>273000</v>
          </cell>
          <cell r="R26">
            <v>27000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40000</v>
          </cell>
          <cell r="I29">
            <v>1000</v>
          </cell>
          <cell r="J29" t="str">
            <v>BANQUE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/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3000</v>
          </cell>
          <cell r="G38" t="str">
            <v>ESPECES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50000</v>
          </cell>
          <cell r="F39">
            <v>0</v>
          </cell>
          <cell r="G39" t="str">
            <v>BANQUE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/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59500</v>
          </cell>
          <cell r="F9">
            <v>0</v>
          </cell>
          <cell r="G9" t="str">
            <v>BANQUE</v>
          </cell>
          <cell r="H9">
            <v>40000</v>
          </cell>
          <cell r="I9">
            <v>2000</v>
          </cell>
          <cell r="J9" t="str">
            <v>BANQUE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 t="str">
            <v>BANQUE</v>
          </cell>
          <cell r="P10">
            <v>0</v>
          </cell>
          <cell r="Q10">
            <v>293500</v>
          </cell>
          <cell r="R10">
            <v>6500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 t="str">
            <v>BANQUE</v>
          </cell>
          <cell r="P11">
            <v>0</v>
          </cell>
          <cell r="Q11">
            <v>293000</v>
          </cell>
          <cell r="R11">
            <v>7000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75000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61500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  <cell r="Q20">
            <v>292500</v>
          </cell>
          <cell r="R20">
            <v>7500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43500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42000</v>
          </cell>
          <cell r="M26">
            <v>42000</v>
          </cell>
          <cell r="N26" t="str">
            <v>BANQUE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80000</v>
          </cell>
          <cell r="I29">
            <v>3000</v>
          </cell>
          <cell r="J29" t="str">
            <v>BANQUE</v>
          </cell>
          <cell r="K29">
            <v>0</v>
          </cell>
          <cell r="L29">
            <v>41000</v>
          </cell>
          <cell r="M29">
            <v>41000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53000</v>
          </cell>
          <cell r="F30">
            <v>3000</v>
          </cell>
          <cell r="G30" t="str">
            <v>ESPECES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/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55000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0</v>
          </cell>
          <cell r="G38" t="str">
            <v>BANQUE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53000</v>
          </cell>
          <cell r="F39">
            <v>3000</v>
          </cell>
          <cell r="G39" t="str">
            <v>ESPECES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4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ESPECES</v>
          </cell>
          <cell r="H8">
            <v>0</v>
          </cell>
          <cell r="I8">
            <v>0</v>
          </cell>
          <cell r="J8"/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30000</v>
          </cell>
          <cell r="I9">
            <v>2500</v>
          </cell>
          <cell r="J9" t="str">
            <v>BANQUE</v>
          </cell>
          <cell r="K9">
            <v>0</v>
          </cell>
          <cell r="L9">
            <v>42000</v>
          </cell>
          <cell r="M9">
            <v>42000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45000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45000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280000</v>
          </cell>
          <cell r="R17">
            <v>20000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58000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290000</v>
          </cell>
          <cell r="R21">
            <v>10000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50500</v>
          </cell>
          <cell r="F25">
            <v>0</v>
          </cell>
          <cell r="G25" t="str">
            <v>BANQUE</v>
          </cell>
          <cell r="H25">
            <v>32000</v>
          </cell>
          <cell r="I25">
            <v>3000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83000</v>
          </cell>
          <cell r="I29">
            <v>6000</v>
          </cell>
          <cell r="J29" t="str">
            <v>BANQUE</v>
          </cell>
          <cell r="K29">
            <v>0</v>
          </cell>
          <cell r="L29">
            <v>83000</v>
          </cell>
          <cell r="M29">
            <v>83000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3000</v>
          </cell>
          <cell r="G31" t="str">
            <v>ESPECES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/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47000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260000</v>
          </cell>
          <cell r="R37">
            <v>40000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53000</v>
          </cell>
          <cell r="F38">
            <v>3000</v>
          </cell>
          <cell r="G38" t="str">
            <v>ESPECES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53000</v>
          </cell>
          <cell r="F39">
            <v>3000</v>
          </cell>
          <cell r="G39" t="str">
            <v>ESPECES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50000</v>
          </cell>
          <cell r="E6">
            <v>100000</v>
          </cell>
          <cell r="F6">
            <v>5000</v>
          </cell>
          <cell r="G6" t="str">
            <v>BANQUE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/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30000</v>
          </cell>
          <cell r="I9">
            <v>500</v>
          </cell>
          <cell r="J9" t="str">
            <v>BANQUE</v>
          </cell>
          <cell r="K9">
            <v>0</v>
          </cell>
          <cell r="L9">
            <v>32500</v>
          </cell>
          <cell r="M9">
            <v>32500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60000</v>
          </cell>
          <cell r="F11">
            <v>0</v>
          </cell>
          <cell r="G11" t="str">
            <v>BANQUE</v>
          </cell>
          <cell r="H11">
            <v>53000</v>
          </cell>
          <cell r="I11">
            <v>1000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294500</v>
          </cell>
          <cell r="R12">
            <v>5500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75000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295500</v>
          </cell>
          <cell r="R16">
            <v>4500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53000</v>
          </cell>
          <cell r="F21">
            <v>3000</v>
          </cell>
          <cell r="G21" t="str">
            <v>ESPECES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35000</v>
          </cell>
          <cell r="M25">
            <v>35000</v>
          </cell>
          <cell r="N25" t="str">
            <v>BANQUE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59000</v>
          </cell>
          <cell r="I29">
            <v>0</v>
          </cell>
          <cell r="J29"/>
          <cell r="K29">
            <v>0</v>
          </cell>
          <cell r="L29">
            <v>89000</v>
          </cell>
          <cell r="M29">
            <v>89000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294500</v>
          </cell>
          <cell r="R30">
            <v>5500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53000</v>
          </cell>
          <cell r="F31">
            <v>3000</v>
          </cell>
          <cell r="G31" t="str">
            <v>ESPECES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30000</v>
          </cell>
          <cell r="I32">
            <v>500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0</v>
          </cell>
          <cell r="G38" t="str">
            <v>BANQUE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50000</v>
          </cell>
          <cell r="F39">
            <v>0</v>
          </cell>
          <cell r="G39" t="str">
            <v>BANQUE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ESPECES</v>
          </cell>
          <cell r="H8">
            <v>39500</v>
          </cell>
          <cell r="I8">
            <v>2000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50500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/>
          <cell r="K9">
            <v>0</v>
          </cell>
          <cell r="L9">
            <v>30500</v>
          </cell>
          <cell r="M9">
            <v>30500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30000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61000</v>
          </cell>
          <cell r="F11">
            <v>0</v>
          </cell>
          <cell r="G11" t="str">
            <v>BANQUE</v>
          </cell>
          <cell r="H11">
            <v>30000</v>
          </cell>
          <cell r="I11">
            <v>1000</v>
          </cell>
          <cell r="J11" t="str">
            <v>BANQUE</v>
          </cell>
          <cell r="K11">
            <v>0</v>
          </cell>
          <cell r="L11">
            <v>54000</v>
          </cell>
          <cell r="M11">
            <v>54000</v>
          </cell>
          <cell r="N11" t="str">
            <v>BANQUE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75000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60000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49000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48000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53000</v>
          </cell>
          <cell r="F26">
            <v>3000</v>
          </cell>
          <cell r="G26" t="str">
            <v>ESPECES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59000</v>
          </cell>
          <cell r="I29">
            <v>0</v>
          </cell>
          <cell r="J29"/>
          <cell r="K29">
            <v>0</v>
          </cell>
          <cell r="L29">
            <v>59000</v>
          </cell>
          <cell r="M29">
            <v>59000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3000</v>
          </cell>
          <cell r="G31" t="str">
            <v>ESPECES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50500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/>
          <cell r="K32">
            <v>0</v>
          </cell>
          <cell r="L32">
            <v>30500</v>
          </cell>
          <cell r="M32">
            <v>30500</v>
          </cell>
          <cell r="N32" t="str">
            <v>BANQUE</v>
          </cell>
          <cell r="O32">
            <v>0</v>
          </cell>
          <cell r="P32">
            <v>0</v>
          </cell>
          <cell r="Q32">
            <v>296500</v>
          </cell>
          <cell r="R32">
            <v>3500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297500</v>
          </cell>
          <cell r="R33">
            <v>2500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3000</v>
          </cell>
          <cell r="G38" t="str">
            <v>ESPECES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53000</v>
          </cell>
          <cell r="F39">
            <v>3000</v>
          </cell>
          <cell r="G39" t="str">
            <v>ESPECES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296500</v>
          </cell>
          <cell r="R39">
            <v>3500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ESPECES</v>
          </cell>
          <cell r="H8">
            <v>0</v>
          </cell>
          <cell r="I8">
            <v>0</v>
          </cell>
          <cell r="J8"/>
          <cell r="K8">
            <v>0</v>
          </cell>
          <cell r="L8">
            <v>41500</v>
          </cell>
          <cell r="M8">
            <v>41500</v>
          </cell>
          <cell r="N8" t="str">
            <v>BANQUE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26000</v>
          </cell>
          <cell r="I9">
            <v>500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63500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31000</v>
          </cell>
          <cell r="M11">
            <v>31000</v>
          </cell>
          <cell r="N11" t="str">
            <v>BANQUE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297500</v>
          </cell>
          <cell r="R14">
            <v>2500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64500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59000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297500</v>
          </cell>
          <cell r="R23">
            <v>2500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59000</v>
          </cell>
          <cell r="I29">
            <v>0</v>
          </cell>
          <cell r="J29"/>
          <cell r="K29">
            <v>0</v>
          </cell>
          <cell r="L29">
            <v>59000</v>
          </cell>
          <cell r="M29">
            <v>59000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3000</v>
          </cell>
          <cell r="G31" t="str">
            <v>ESPECES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30000</v>
          </cell>
          <cell r="I32">
            <v>500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297500</v>
          </cell>
          <cell r="R34">
            <v>2500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0</v>
          </cell>
          <cell r="G38" t="str">
            <v>BANQUE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50000</v>
          </cell>
          <cell r="F39">
            <v>0</v>
          </cell>
          <cell r="G39" t="str">
            <v>BANQUE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297500</v>
          </cell>
          <cell r="R6">
            <v>2500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ESPECES</v>
          </cell>
          <cell r="H8">
            <v>30000</v>
          </cell>
          <cell r="I8">
            <v>500</v>
          </cell>
          <cell r="J8" t="str">
            <v>BANQUE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50500</v>
          </cell>
          <cell r="F9">
            <v>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26500</v>
          </cell>
          <cell r="M9">
            <v>26500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300000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62500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49000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296500</v>
          </cell>
          <cell r="R15">
            <v>3500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75000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63000</v>
          </cell>
          <cell r="F18">
            <v>0</v>
          </cell>
          <cell r="G18" t="str">
            <v>BANQUE</v>
          </cell>
          <cell r="H18">
            <v>30000</v>
          </cell>
          <cell r="I18">
            <v>500</v>
          </cell>
          <cell r="J18" t="str">
            <v>BANQUE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53000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64500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59000</v>
          </cell>
          <cell r="I29">
            <v>0</v>
          </cell>
          <cell r="J29"/>
          <cell r="K29">
            <v>0</v>
          </cell>
          <cell r="L29">
            <v>59000</v>
          </cell>
          <cell r="M29">
            <v>59000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3000</v>
          </cell>
          <cell r="G31" t="str">
            <v>ESPECES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54500</v>
          </cell>
          <cell r="F32">
            <v>0</v>
          </cell>
          <cell r="G32" t="str">
            <v>BANQUE</v>
          </cell>
          <cell r="H32">
            <v>30000</v>
          </cell>
          <cell r="I32">
            <v>500</v>
          </cell>
          <cell r="J32" t="str">
            <v>BANQUE</v>
          </cell>
          <cell r="K32">
            <v>0</v>
          </cell>
          <cell r="L32">
            <v>30500</v>
          </cell>
          <cell r="M32">
            <v>30500</v>
          </cell>
          <cell r="N32" t="str">
            <v>BANQUE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0</v>
          </cell>
          <cell r="G38" t="str">
            <v>BANQUE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53000</v>
          </cell>
          <cell r="F39">
            <v>3000</v>
          </cell>
          <cell r="G39" t="str">
            <v>ESPECES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  <cell r="Q7">
            <v>297500</v>
          </cell>
          <cell r="R7">
            <v>2500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ESPECES</v>
          </cell>
          <cell r="H8">
            <v>0</v>
          </cell>
          <cell r="I8">
            <v>0</v>
          </cell>
          <cell r="J8"/>
          <cell r="K8">
            <v>0</v>
          </cell>
          <cell r="L8">
            <v>30500</v>
          </cell>
          <cell r="M8">
            <v>30500</v>
          </cell>
          <cell r="N8" t="str">
            <v>BANQUE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3000</v>
          </cell>
          <cell r="G9" t="str">
            <v>BANQUE</v>
          </cell>
          <cell r="H9">
            <v>0</v>
          </cell>
          <cell r="I9">
            <v>0</v>
          </cell>
          <cell r="J9"/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850000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75000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60000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30500</v>
          </cell>
          <cell r="M18">
            <v>30500</v>
          </cell>
          <cell r="N18" t="str">
            <v>BANQUE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 t="str">
            <v>BANQUE</v>
          </cell>
          <cell r="P19">
            <v>0</v>
          </cell>
          <cell r="Q19">
            <v>297500</v>
          </cell>
          <cell r="R19">
            <v>2500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53000</v>
          </cell>
          <cell r="F20">
            <v>3000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3000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49000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297500</v>
          </cell>
          <cell r="R27">
            <v>2500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  <cell r="Q28">
            <v>297500</v>
          </cell>
          <cell r="R28">
            <v>2500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59000</v>
          </cell>
          <cell r="I29">
            <v>0</v>
          </cell>
          <cell r="J29"/>
          <cell r="K29">
            <v>0</v>
          </cell>
          <cell r="L29">
            <v>59000</v>
          </cell>
          <cell r="M29">
            <v>59000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0</v>
          </cell>
          <cell r="C32" t="str">
            <v>SIMO PIERRE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30500</v>
          </cell>
          <cell r="I32">
            <v>0</v>
          </cell>
          <cell r="J32"/>
          <cell r="K32">
            <v>0</v>
          </cell>
          <cell r="L32">
            <v>30500</v>
          </cell>
          <cell r="M32">
            <v>30500</v>
          </cell>
          <cell r="N32" t="str">
            <v>BANQUE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55000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0</v>
          </cell>
          <cell r="G38" t="str">
            <v>BANQUE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50000</v>
          </cell>
          <cell r="F39">
            <v>0</v>
          </cell>
          <cell r="G39" t="str">
            <v>BANQUE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50000</v>
          </cell>
          <cell r="I7">
            <v>500</v>
          </cell>
          <cell r="J7" t="str">
            <v>BANQUE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ESPECES</v>
          </cell>
          <cell r="H8">
            <v>50000</v>
          </cell>
          <cell r="I8">
            <v>500</v>
          </cell>
          <cell r="J8" t="str">
            <v>BANQUE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50000</v>
          </cell>
          <cell r="I9">
            <v>1000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53000</v>
          </cell>
          <cell r="F10">
            <v>3000</v>
          </cell>
          <cell r="G10" t="str">
            <v>BANQUE</v>
          </cell>
          <cell r="H10">
            <v>50000</v>
          </cell>
          <cell r="I10">
            <v>500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73500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3000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75000</v>
          </cell>
          <cell r="F16">
            <v>0</v>
          </cell>
          <cell r="G16" t="str">
            <v>BANQUE</v>
          </cell>
          <cell r="H16">
            <v>50000</v>
          </cell>
          <cell r="I16">
            <v>500</v>
          </cell>
          <cell r="J16" t="str">
            <v>BANQUE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50000</v>
          </cell>
          <cell r="I17">
            <v>1000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60000</v>
          </cell>
          <cell r="F18">
            <v>3000</v>
          </cell>
          <cell r="G18" t="str">
            <v>ESPECES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50000</v>
          </cell>
          <cell r="I19">
            <v>1000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55500</v>
          </cell>
          <cell r="F20">
            <v>3000</v>
          </cell>
          <cell r="G20" t="str">
            <v>BANQUE</v>
          </cell>
          <cell r="H20">
            <v>50000</v>
          </cell>
          <cell r="I20">
            <v>1000</v>
          </cell>
          <cell r="J20" t="str">
            <v>BANQUE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55000</v>
          </cell>
          <cell r="F25">
            <v>0</v>
          </cell>
          <cell r="G25" t="str">
            <v>BANQUE</v>
          </cell>
          <cell r="H25">
            <v>50000</v>
          </cell>
          <cell r="I25">
            <v>500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50000</v>
          </cell>
          <cell r="I26">
            <v>500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59000</v>
          </cell>
          <cell r="I29">
            <v>0</v>
          </cell>
          <cell r="J29"/>
          <cell r="K29">
            <v>0</v>
          </cell>
          <cell r="L29">
            <v>59000</v>
          </cell>
          <cell r="M29">
            <v>59000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53000</v>
          </cell>
          <cell r="F30">
            <v>3000</v>
          </cell>
          <cell r="G30" t="str">
            <v>BANQUE</v>
          </cell>
          <cell r="H30">
            <v>50000</v>
          </cell>
          <cell r="I30">
            <v>1000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0</v>
          </cell>
          <cell r="C32" t="str">
            <v>SIMO PIERRE</v>
          </cell>
          <cell r="D32"/>
          <cell r="E32"/>
          <cell r="F32">
            <v>0</v>
          </cell>
          <cell r="G32" t="str">
            <v>ESPECES</v>
          </cell>
          <cell r="H32">
            <v>30500</v>
          </cell>
          <cell r="I32">
            <v>0</v>
          </cell>
          <cell r="J32"/>
          <cell r="K32">
            <v>0</v>
          </cell>
          <cell r="L32">
            <v>30500</v>
          </cell>
          <cell r="M32">
            <v>30500</v>
          </cell>
          <cell r="N32" t="str">
            <v>BANQUE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50000</v>
          </cell>
          <cell r="I33">
            <v>1000</v>
          </cell>
          <cell r="J33" t="str">
            <v>BANQUE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50000</v>
          </cell>
          <cell r="I37">
            <v>1000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0</v>
          </cell>
          <cell r="G38" t="str">
            <v>BANQUE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53000</v>
          </cell>
          <cell r="F39">
            <v>3000</v>
          </cell>
          <cell r="G39" t="str">
            <v>ESPECES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50500</v>
          </cell>
          <cell r="M7">
            <v>50500</v>
          </cell>
          <cell r="N7" t="str">
            <v>BANQUE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/>
          <cell r="K8">
            <v>0</v>
          </cell>
          <cell r="L8">
            <v>50500</v>
          </cell>
          <cell r="M8">
            <v>50500</v>
          </cell>
          <cell r="N8" t="str">
            <v>BANQUE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20000</v>
          </cell>
          <cell r="I9">
            <v>500</v>
          </cell>
          <cell r="J9" t="str">
            <v>BANQUE</v>
          </cell>
          <cell r="K9">
            <v>0</v>
          </cell>
          <cell r="L9">
            <v>51000</v>
          </cell>
          <cell r="M9">
            <v>51000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50500</v>
          </cell>
          <cell r="I10">
            <v>1000</v>
          </cell>
          <cell r="J10" t="str">
            <v>BANQUE</v>
          </cell>
          <cell r="K10">
            <v>0</v>
          </cell>
          <cell r="L10">
            <v>50500</v>
          </cell>
          <cell r="M10">
            <v>50500</v>
          </cell>
          <cell r="N10" t="str">
            <v>BANQUE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250000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297500</v>
          </cell>
          <cell r="R13">
            <v>2500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65000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50500</v>
          </cell>
          <cell r="M16">
            <v>50500</v>
          </cell>
          <cell r="N16" t="str">
            <v>BANQUE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3000</v>
          </cell>
          <cell r="G17" t="str">
            <v>ESPECES</v>
          </cell>
          <cell r="H17">
            <v>51000</v>
          </cell>
          <cell r="I17">
            <v>2000</v>
          </cell>
          <cell r="J17" t="str">
            <v>BANQUE</v>
          </cell>
          <cell r="K17">
            <v>0</v>
          </cell>
          <cell r="L17">
            <v>51000</v>
          </cell>
          <cell r="M17">
            <v>51000</v>
          </cell>
          <cell r="N17" t="str">
            <v>BANQUE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57000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51000</v>
          </cell>
          <cell r="I19">
            <v>2000</v>
          </cell>
          <cell r="J19" t="str">
            <v>BANQUE</v>
          </cell>
          <cell r="K19">
            <v>0</v>
          </cell>
          <cell r="L19">
            <v>51000</v>
          </cell>
          <cell r="M19">
            <v>51000</v>
          </cell>
          <cell r="N19" t="str">
            <v>BANQUE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50400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51000</v>
          </cell>
          <cell r="M20">
            <v>51000</v>
          </cell>
          <cell r="N20" t="str">
            <v>BANQUE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297500</v>
          </cell>
          <cell r="R22">
            <v>2500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65000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57500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50500</v>
          </cell>
          <cell r="M25">
            <v>50500</v>
          </cell>
          <cell r="N25" t="str">
            <v>BANQUE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49000</v>
          </cell>
          <cell r="F26">
            <v>0</v>
          </cell>
          <cell r="G26" t="str">
            <v>BANQUE</v>
          </cell>
          <cell r="H26">
            <v>50500</v>
          </cell>
          <cell r="I26">
            <v>1000</v>
          </cell>
          <cell r="J26" t="str">
            <v>BANQUE</v>
          </cell>
          <cell r="K26">
            <v>0</v>
          </cell>
          <cell r="L26">
            <v>50500</v>
          </cell>
          <cell r="M26">
            <v>50500</v>
          </cell>
          <cell r="N26" t="str">
            <v>BANQUE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59000</v>
          </cell>
          <cell r="I29">
            <v>0</v>
          </cell>
          <cell r="J29" t="str">
            <v>BANQUE</v>
          </cell>
          <cell r="K29">
            <v>0</v>
          </cell>
          <cell r="L29">
            <v>59000</v>
          </cell>
          <cell r="M29">
            <v>59000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51000</v>
          </cell>
          <cell r="M30">
            <v>51000</v>
          </cell>
          <cell r="N30" t="str">
            <v>BANQUE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50000</v>
          </cell>
          <cell r="F31">
            <v>3000</v>
          </cell>
          <cell r="G31" t="str">
            <v>ESPECES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AS201638</v>
          </cell>
          <cell r="B32">
            <v>0</v>
          </cell>
          <cell r="C32" t="str">
            <v>SIMO PIERRE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30500</v>
          </cell>
          <cell r="I32">
            <v>0</v>
          </cell>
          <cell r="J32" t="str">
            <v>BANQUE</v>
          </cell>
          <cell r="K32">
            <v>0</v>
          </cell>
          <cell r="L32">
            <v>30500</v>
          </cell>
          <cell r="M32">
            <v>30500</v>
          </cell>
          <cell r="N32" t="str">
            <v>BANQUE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51000</v>
          </cell>
          <cell r="M33">
            <v>51000</v>
          </cell>
          <cell r="N33" t="str">
            <v>BANQUE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267500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297500</v>
          </cell>
          <cell r="R35">
            <v>2500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50000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51000</v>
          </cell>
          <cell r="M37">
            <v>51000</v>
          </cell>
          <cell r="N37" t="str">
            <v>BANQUE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47000</v>
          </cell>
          <cell r="F38">
            <v>0</v>
          </cell>
          <cell r="G38" t="str">
            <v>BANQUE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297500</v>
          </cell>
          <cell r="R38">
            <v>2500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53000</v>
          </cell>
          <cell r="F39">
            <v>3000</v>
          </cell>
          <cell r="G39" t="str">
            <v>ESPECES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297500</v>
          </cell>
          <cell r="R40">
            <v>2500</v>
          </cell>
        </row>
        <row r="41">
          <cell r="A41"/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/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/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ESPECES</v>
          </cell>
          <cell r="H8">
            <v>0</v>
          </cell>
          <cell r="I8">
            <v>0</v>
          </cell>
          <cell r="J8"/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/>
          <cell r="K9">
            <v>0</v>
          </cell>
          <cell r="L9">
            <v>20500</v>
          </cell>
          <cell r="M9">
            <v>20500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ESPECES</v>
          </cell>
          <cell r="H10">
            <v>0</v>
          </cell>
          <cell r="I10">
            <v>0</v>
          </cell>
          <cell r="J10"/>
          <cell r="K10">
            <v>0</v>
          </cell>
          <cell r="L10">
            <v>51500</v>
          </cell>
          <cell r="M10">
            <v>51500</v>
          </cell>
          <cell r="N10" t="str">
            <v>ESPECES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60000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/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/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ESPECES</v>
          </cell>
          <cell r="H13">
            <v>0</v>
          </cell>
          <cell r="I13">
            <v>0</v>
          </cell>
          <cell r="J13"/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AS201663</v>
          </cell>
          <cell r="B14">
            <v>1</v>
          </cell>
          <cell r="C14" t="str">
            <v>FAMPOU PAUL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/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AS201611</v>
          </cell>
          <cell r="B15">
            <v>1</v>
          </cell>
          <cell r="C15" t="str">
            <v>HENGUE PAUL OMER</v>
          </cell>
          <cell r="D15">
            <v>25000</v>
          </cell>
          <cell r="E15">
            <v>50000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/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AS201613</v>
          </cell>
          <cell r="B16">
            <v>1</v>
          </cell>
          <cell r="C16" t="str">
            <v>HOTCHO BENJAMIN</v>
          </cell>
          <cell r="D16">
            <v>25000</v>
          </cell>
          <cell r="E16">
            <v>75000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/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AS201617</v>
          </cell>
          <cell r="B17">
            <v>1</v>
          </cell>
          <cell r="C17" t="str">
            <v>KOUAMOU MOISE</v>
          </cell>
          <cell r="D17">
            <v>25000</v>
          </cell>
          <cell r="E17">
            <v>50000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/>
          <cell r="K17">
            <v>0</v>
          </cell>
          <cell r="L17">
            <v>53000</v>
          </cell>
          <cell r="M17">
            <v>53000</v>
          </cell>
          <cell r="N17" t="str">
            <v>BANQUE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AS201619</v>
          </cell>
          <cell r="B18">
            <v>1</v>
          </cell>
          <cell r="C18" t="str">
            <v>KOUATCHO MESSACK</v>
          </cell>
          <cell r="D18">
            <v>25000</v>
          </cell>
          <cell r="E18">
            <v>60000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/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AS201661</v>
          </cell>
          <cell r="B19">
            <v>1</v>
          </cell>
          <cell r="C19" t="str">
            <v>MASSEUNGOUE DAGOBERT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/>
          <cell r="K19">
            <v>0</v>
          </cell>
          <cell r="L19">
            <v>53000</v>
          </cell>
          <cell r="M19">
            <v>53000</v>
          </cell>
          <cell r="N19" t="str">
            <v>ESPECES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AS201649</v>
          </cell>
          <cell r="B20">
            <v>1</v>
          </cell>
          <cell r="C20" t="str">
            <v>MBOGNING TUGMA GUY</v>
          </cell>
          <cell r="D20">
            <v>25000</v>
          </cell>
          <cell r="E20">
            <v>50000</v>
          </cell>
          <cell r="F20">
            <v>0</v>
          </cell>
          <cell r="G20" t="str">
            <v>ESPECES</v>
          </cell>
          <cell r="H20">
            <v>0</v>
          </cell>
          <cell r="I20">
            <v>0</v>
          </cell>
          <cell r="J20"/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AS201639</v>
          </cell>
          <cell r="B21">
            <v>1</v>
          </cell>
          <cell r="C21" t="str">
            <v>NANGUEN MARTIN</v>
          </cell>
          <cell r="D21">
            <v>25000</v>
          </cell>
          <cell r="E21">
            <v>50000</v>
          </cell>
          <cell r="F21">
            <v>0</v>
          </cell>
          <cell r="G21" t="str">
            <v>ESPECES</v>
          </cell>
          <cell r="H21">
            <v>0</v>
          </cell>
          <cell r="I21">
            <v>0</v>
          </cell>
          <cell r="J21"/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AS201621</v>
          </cell>
          <cell r="B22">
            <v>1</v>
          </cell>
          <cell r="C22" t="str">
            <v>NANKAM APPOLINAIRE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/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AS201622</v>
          </cell>
          <cell r="B23">
            <v>1</v>
          </cell>
          <cell r="C23" t="str">
            <v>NDJOMO ETIENNE</v>
          </cell>
          <cell r="D23">
            <v>25000</v>
          </cell>
          <cell r="E23">
            <v>60000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/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AS201624</v>
          </cell>
          <cell r="B24">
            <v>1</v>
          </cell>
          <cell r="C24" t="str">
            <v>NGONDIEP CLAUDE</v>
          </cell>
          <cell r="D24">
            <v>25000</v>
          </cell>
          <cell r="E24">
            <v>67500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/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297500</v>
          </cell>
          <cell r="R24">
            <v>2500</v>
          </cell>
        </row>
        <row r="25">
          <cell r="A25" t="str">
            <v>AS201626</v>
          </cell>
          <cell r="B25">
            <v>1</v>
          </cell>
          <cell r="C25" t="str">
            <v>NGUIEMEGNI MATHIEU BLAISE</v>
          </cell>
          <cell r="D25">
            <v>25000</v>
          </cell>
          <cell r="E25">
            <v>43500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/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AS201628</v>
          </cell>
          <cell r="B26">
            <v>1</v>
          </cell>
          <cell r="C26" t="str">
            <v>NKAMGANG JUSTIN DEJOLIE</v>
          </cell>
          <cell r="D26">
            <v>25000</v>
          </cell>
          <cell r="E26">
            <v>50000</v>
          </cell>
          <cell r="F26">
            <v>0</v>
          </cell>
          <cell r="G26" t="str">
            <v>ESPECES</v>
          </cell>
          <cell r="H26">
            <v>0</v>
          </cell>
          <cell r="I26">
            <v>0</v>
          </cell>
          <cell r="J26"/>
          <cell r="K26">
            <v>0</v>
          </cell>
          <cell r="L26">
            <v>51500</v>
          </cell>
          <cell r="M26">
            <v>51500</v>
          </cell>
          <cell r="N26" t="str">
            <v>BANQUE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AS201656</v>
          </cell>
          <cell r="B27">
            <v>1</v>
          </cell>
          <cell r="C27" t="str">
            <v>NOUBE ETIENNE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/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AS201633</v>
          </cell>
          <cell r="B28">
            <v>1</v>
          </cell>
          <cell r="C28" t="str">
            <v>PATEGO NJOSSU GUSTAVE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/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AS201657</v>
          </cell>
          <cell r="B29">
            <v>1</v>
          </cell>
          <cell r="C29" t="str">
            <v>SEUMO POLYCARPE</v>
          </cell>
          <cell r="D29">
            <v>25000</v>
          </cell>
          <cell r="E29">
            <v>51000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/>
          <cell r="K29">
            <v>0</v>
          </cell>
          <cell r="L29">
            <v>59000</v>
          </cell>
          <cell r="M29">
            <v>59000</v>
          </cell>
          <cell r="N29" t="str">
            <v>BANQUE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AS201653</v>
          </cell>
          <cell r="B30">
            <v>1</v>
          </cell>
          <cell r="C30" t="str">
            <v>SIME BRICE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/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AS201629</v>
          </cell>
          <cell r="B31">
            <v>1</v>
          </cell>
          <cell r="C31" t="str">
            <v>SIMO FONGANG ERIC</v>
          </cell>
          <cell r="D31">
            <v>25000</v>
          </cell>
          <cell r="E31">
            <v>354500</v>
          </cell>
          <cell r="F31">
            <v>-3000</v>
          </cell>
          <cell r="G31" t="str">
            <v>BANQUE</v>
          </cell>
          <cell r="H31">
            <v>0</v>
          </cell>
          <cell r="I31">
            <v>0</v>
          </cell>
          <cell r="J31"/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297500</v>
          </cell>
          <cell r="R31">
            <v>2500</v>
          </cell>
        </row>
        <row r="32">
          <cell r="A32" t="str">
            <v>AS201638</v>
          </cell>
          <cell r="B32">
            <v>1</v>
          </cell>
          <cell r="C32" t="str">
            <v>SIMO PIERRE</v>
          </cell>
          <cell r="D32">
            <v>25000</v>
          </cell>
          <cell r="E32">
            <v>53000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/>
          <cell r="K32">
            <v>0</v>
          </cell>
          <cell r="L32">
            <v>30500</v>
          </cell>
          <cell r="M32">
            <v>30500</v>
          </cell>
          <cell r="N32" t="str">
            <v>COMPTE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AS201641</v>
          </cell>
          <cell r="B33">
            <v>1</v>
          </cell>
          <cell r="C33" t="str">
            <v>TCHOUAMOU MATHIEU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/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AS201660</v>
          </cell>
          <cell r="B34">
            <v>1</v>
          </cell>
          <cell r="C34" t="str">
            <v>TCHOUATEU AUGUSTIN</v>
          </cell>
          <cell r="D34">
            <v>25000</v>
          </cell>
          <cell r="E34">
            <v>50000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/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AS201643</v>
          </cell>
          <cell r="B35">
            <v>1</v>
          </cell>
          <cell r="C35" t="str">
            <v>TCHOUTOU NANA CLAUDE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/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AS201662</v>
          </cell>
          <cell r="B36">
            <v>1</v>
          </cell>
          <cell r="C36" t="str">
            <v>TIEYAM ERNEST</v>
          </cell>
          <cell r="D36">
            <v>25000</v>
          </cell>
          <cell r="E36">
            <v>347500</v>
          </cell>
          <cell r="F36">
            <v>0</v>
          </cell>
          <cell r="G36" t="str">
            <v>BANQUE</v>
          </cell>
          <cell r="H36">
            <v>0</v>
          </cell>
          <cell r="I36">
            <v>0</v>
          </cell>
          <cell r="J36"/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297500</v>
          </cell>
          <cell r="R36">
            <v>2500</v>
          </cell>
        </row>
        <row r="37">
          <cell r="A37" t="str">
            <v>AS201658</v>
          </cell>
          <cell r="B37">
            <v>1</v>
          </cell>
          <cell r="C37" t="str">
            <v>YANTCHOU GERVAIS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/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AS201646</v>
          </cell>
          <cell r="B38">
            <v>1</v>
          </cell>
          <cell r="C38" t="str">
            <v>YEPMOU JEAN JACQUES</v>
          </cell>
          <cell r="D38">
            <v>25000</v>
          </cell>
          <cell r="E38">
            <v>50000</v>
          </cell>
          <cell r="F38">
            <v>0</v>
          </cell>
          <cell r="G38" t="str">
            <v>ESPECES</v>
          </cell>
          <cell r="H38">
            <v>0</v>
          </cell>
          <cell r="I38">
            <v>0</v>
          </cell>
          <cell r="J38"/>
          <cell r="K38">
            <v>0</v>
          </cell>
          <cell r="L38">
            <v>0</v>
          </cell>
          <cell r="M38">
            <v>0</v>
          </cell>
          <cell r="N38" t="str">
            <v>ECHEC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AS201659</v>
          </cell>
          <cell r="B39">
            <v>1</v>
          </cell>
          <cell r="C39" t="str">
            <v>YIALA ALAIN OSCAR</v>
          </cell>
          <cell r="D39">
            <v>25000</v>
          </cell>
          <cell r="E39">
            <v>50000</v>
          </cell>
          <cell r="F39">
            <v>0</v>
          </cell>
          <cell r="G39" t="str">
            <v>ESPECES</v>
          </cell>
          <cell r="H39">
            <v>0</v>
          </cell>
          <cell r="I39">
            <v>0</v>
          </cell>
          <cell r="J39"/>
          <cell r="K39">
            <v>0</v>
          </cell>
          <cell r="L39">
            <v>0</v>
          </cell>
          <cell r="M39">
            <v>0</v>
          </cell>
          <cell r="N39" t="str">
            <v>ECHEC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AS201647</v>
          </cell>
          <cell r="B40">
            <v>1</v>
          </cell>
          <cell r="C40" t="str">
            <v>YOUMBI EMMANUEL</v>
          </cell>
          <cell r="D40">
            <v>25000</v>
          </cell>
          <cell r="E40">
            <v>50000</v>
          </cell>
          <cell r="F40">
            <v>0</v>
          </cell>
          <cell r="G40" t="str">
            <v>BANQUE</v>
          </cell>
          <cell r="H40">
            <v>0</v>
          </cell>
          <cell r="I40">
            <v>0</v>
          </cell>
          <cell r="J40"/>
          <cell r="K40">
            <v>0</v>
          </cell>
          <cell r="L40">
            <v>0</v>
          </cell>
          <cell r="M40">
            <v>0</v>
          </cell>
          <cell r="N40" t="str">
            <v>ECHEC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/>
        </row>
      </sheetData>
      <sheetData sheetId="13">
        <row r="42">
          <cell r="W42">
            <v>26499.999999999942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/>
      <sheetData sheetId="2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3000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53000</v>
          </cell>
          <cell r="G9">
            <v>1500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50000</v>
          </cell>
          <cell r="G11">
            <v>1000</v>
          </cell>
          <cell r="H11" t="str">
            <v>BANQUE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855000</v>
          </cell>
          <cell r="P11">
            <v>45000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/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/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1050625</v>
          </cell>
          <cell r="E20">
            <v>0</v>
          </cell>
          <cell r="F20">
            <v>203000</v>
          </cell>
          <cell r="G20">
            <v>5500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855000</v>
          </cell>
          <cell r="P20">
            <v>45000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1178125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1</v>
          </cell>
          <cell r="N23"/>
        </row>
        <row r="24">
          <cell r="D24">
            <v>1050625</v>
          </cell>
          <cell r="E24">
            <v>0</v>
          </cell>
          <cell r="F24">
            <v>203000</v>
          </cell>
          <cell r="G24">
            <v>855000</v>
          </cell>
          <cell r="H24">
            <v>-7375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278125</v>
          </cell>
          <cell r="L25"/>
          <cell r="M25"/>
          <cell r="N25"/>
        </row>
        <row r="26">
          <cell r="D26">
            <v>1050625</v>
          </cell>
          <cell r="E26">
            <v>0</v>
          </cell>
          <cell r="F26">
            <v>203000</v>
          </cell>
          <cell r="G26">
            <v>855000</v>
          </cell>
          <cell r="H26">
            <v>-7375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75125</v>
          </cell>
          <cell r="L27"/>
          <cell r="M27">
            <v>-97500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0</v>
          </cell>
          <cell r="M30">
            <v>0</v>
          </cell>
          <cell r="N30" t="str">
            <v>CUMUL</v>
          </cell>
        </row>
      </sheetData>
      <sheetData sheetId="3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103000</v>
          </cell>
          <cell r="K7">
            <v>103000</v>
          </cell>
          <cell r="L7" t="str">
            <v>BANQUE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91125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54500</v>
          </cell>
          <cell r="K9">
            <v>54500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100000</v>
          </cell>
          <cell r="G11">
            <v>2000</v>
          </cell>
          <cell r="H11" t="str">
            <v>BANQUE</v>
          </cell>
          <cell r="I11">
            <v>0</v>
          </cell>
          <cell r="J11">
            <v>51000</v>
          </cell>
          <cell r="K11">
            <v>51000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/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291125</v>
          </cell>
          <cell r="G20">
            <v>6000</v>
          </cell>
          <cell r="H20">
            <v>0</v>
          </cell>
          <cell r="I20">
            <v>0</v>
          </cell>
          <cell r="J20">
            <v>208500</v>
          </cell>
          <cell r="K20">
            <v>208500</v>
          </cell>
          <cell r="L20">
            <v>0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1093500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1</v>
          </cell>
          <cell r="N23"/>
        </row>
        <row r="24">
          <cell r="D24">
            <v>975000</v>
          </cell>
          <cell r="E24">
            <v>208500</v>
          </cell>
          <cell r="F24">
            <v>100000</v>
          </cell>
          <cell r="G24">
            <v>892500</v>
          </cell>
          <cell r="H24">
            <v>191000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193500</v>
          </cell>
          <cell r="L25"/>
          <cell r="M25"/>
          <cell r="N25"/>
        </row>
        <row r="26">
          <cell r="D26">
            <v>975000</v>
          </cell>
          <cell r="E26">
            <v>208500</v>
          </cell>
          <cell r="F26">
            <v>100000</v>
          </cell>
          <cell r="G26">
            <v>892500</v>
          </cell>
          <cell r="H26">
            <v>191000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-97625</v>
          </cell>
          <cell r="L27"/>
          <cell r="M27">
            <v>-97625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0</v>
          </cell>
          <cell r="M30">
            <v>0</v>
          </cell>
          <cell r="N30" t="str">
            <v>CUMUL</v>
          </cell>
        </row>
      </sheetData>
      <sheetData sheetId="4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50000</v>
          </cell>
          <cell r="G8">
            <v>1000</v>
          </cell>
          <cell r="H8">
            <v>0</v>
          </cell>
          <cell r="I8">
            <v>0</v>
          </cell>
          <cell r="J8">
            <v>93125</v>
          </cell>
          <cell r="K8">
            <v>93125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892500</v>
          </cell>
          <cell r="P9">
            <v>7500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100000</v>
          </cell>
          <cell r="G11">
            <v>2000</v>
          </cell>
          <cell r="H11" t="str">
            <v>BANQUE</v>
          </cell>
          <cell r="I11">
            <v>0</v>
          </cell>
          <cell r="J11">
            <v>102000</v>
          </cell>
          <cell r="K11">
            <v>102000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79625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50000</v>
          </cell>
          <cell r="G15">
            <v>1000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100000</v>
          </cell>
          <cell r="G16">
            <v>2000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379625</v>
          </cell>
          <cell r="G20">
            <v>7000</v>
          </cell>
          <cell r="H20">
            <v>0</v>
          </cell>
          <cell r="I20">
            <v>0</v>
          </cell>
          <cell r="J20">
            <v>297125</v>
          </cell>
          <cell r="K20">
            <v>297125</v>
          </cell>
          <cell r="L20">
            <v>0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1080125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1</v>
          </cell>
          <cell r="N23"/>
        </row>
        <row r="24">
          <cell r="D24">
            <v>975000</v>
          </cell>
          <cell r="E24">
            <v>195125</v>
          </cell>
          <cell r="F24">
            <v>100000</v>
          </cell>
          <cell r="G24">
            <v>892500</v>
          </cell>
          <cell r="H24">
            <v>177625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180125</v>
          </cell>
          <cell r="L25"/>
          <cell r="M25"/>
          <cell r="N25"/>
        </row>
        <row r="26">
          <cell r="D26">
            <v>975000</v>
          </cell>
          <cell r="E26">
            <v>195125</v>
          </cell>
          <cell r="F26">
            <v>100000</v>
          </cell>
          <cell r="G26">
            <v>892500</v>
          </cell>
          <cell r="H26">
            <v>177625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-199500</v>
          </cell>
          <cell r="L27"/>
          <cell r="M27">
            <v>-199500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102000</v>
          </cell>
          <cell r="M30">
            <v>102000</v>
          </cell>
          <cell r="N30" t="str">
            <v>CUMUL</v>
          </cell>
        </row>
      </sheetData>
      <sheetData sheetId="5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50000</v>
          </cell>
          <cell r="G8">
            <v>1000</v>
          </cell>
          <cell r="H8">
            <v>0</v>
          </cell>
          <cell r="I8">
            <v>0</v>
          </cell>
          <cell r="J8">
            <v>51000</v>
          </cell>
          <cell r="K8">
            <v>51000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100000</v>
          </cell>
          <cell r="G11">
            <v>2000</v>
          </cell>
          <cell r="H11" t="str">
            <v>BANQUE</v>
          </cell>
          <cell r="I11">
            <v>0</v>
          </cell>
          <cell r="J11">
            <v>102000</v>
          </cell>
          <cell r="K11">
            <v>102000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119125</v>
          </cell>
          <cell r="G13">
            <v>2000</v>
          </cell>
          <cell r="H13">
            <v>0</v>
          </cell>
          <cell r="I13">
            <v>0</v>
          </cell>
          <cell r="J13">
            <v>80625</v>
          </cell>
          <cell r="K13">
            <v>80625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>
            <v>0</v>
          </cell>
          <cell r="I15">
            <v>0</v>
          </cell>
          <cell r="J15">
            <v>51000</v>
          </cell>
          <cell r="K15">
            <v>51000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100000</v>
          </cell>
          <cell r="G16">
            <v>2000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469125</v>
          </cell>
          <cell r="G20">
            <v>9000</v>
          </cell>
          <cell r="H20">
            <v>0</v>
          </cell>
          <cell r="I20">
            <v>0</v>
          </cell>
          <cell r="J20">
            <v>386625</v>
          </cell>
          <cell r="K20">
            <v>386625</v>
          </cell>
          <cell r="L20">
            <v>0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1118625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1</v>
          </cell>
          <cell r="N23"/>
        </row>
        <row r="24">
          <cell r="D24">
            <v>975000</v>
          </cell>
          <cell r="E24">
            <v>233625</v>
          </cell>
          <cell r="F24">
            <v>100000</v>
          </cell>
          <cell r="G24">
            <v>0</v>
          </cell>
          <cell r="H24">
            <v>1108625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218625</v>
          </cell>
          <cell r="L25"/>
          <cell r="M25"/>
          <cell r="N25"/>
        </row>
        <row r="26">
          <cell r="D26">
            <v>975000</v>
          </cell>
          <cell r="E26">
            <v>233625</v>
          </cell>
          <cell r="F26">
            <v>100000</v>
          </cell>
          <cell r="G26">
            <v>0</v>
          </cell>
          <cell r="H26">
            <v>1108625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-250500</v>
          </cell>
          <cell r="L27"/>
          <cell r="M27">
            <v>-250500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153000</v>
          </cell>
          <cell r="M30">
            <v>153000</v>
          </cell>
          <cell r="N30" t="str">
            <v>CUMUL</v>
          </cell>
        </row>
      </sheetData>
      <sheetData sheetId="6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100000</v>
          </cell>
          <cell r="G8">
            <v>2500</v>
          </cell>
          <cell r="H8">
            <v>0</v>
          </cell>
          <cell r="I8">
            <v>0</v>
          </cell>
          <cell r="J8">
            <v>51000</v>
          </cell>
          <cell r="K8">
            <v>51000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138500</v>
          </cell>
          <cell r="G9">
            <v>2500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100000</v>
          </cell>
          <cell r="G11">
            <v>2000</v>
          </cell>
          <cell r="H11" t="str">
            <v>BANQUE</v>
          </cell>
          <cell r="I11">
            <v>0</v>
          </cell>
          <cell r="J11">
            <v>102000</v>
          </cell>
          <cell r="K11">
            <v>102000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121125</v>
          </cell>
          <cell r="G13">
            <v>4000</v>
          </cell>
          <cell r="H13">
            <v>0</v>
          </cell>
          <cell r="I13">
            <v>0</v>
          </cell>
          <cell r="J13">
            <v>121125</v>
          </cell>
          <cell r="K13">
            <v>121125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559625</v>
          </cell>
          <cell r="G20">
            <v>13000</v>
          </cell>
          <cell r="H20">
            <v>0</v>
          </cell>
          <cell r="I20">
            <v>0</v>
          </cell>
          <cell r="J20">
            <v>478125</v>
          </cell>
          <cell r="K20">
            <v>478125</v>
          </cell>
          <cell r="L20">
            <v>0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1159125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0</v>
          </cell>
          <cell r="L23">
            <v>1</v>
          </cell>
          <cell r="M23">
            <v>0</v>
          </cell>
          <cell r="N23"/>
        </row>
        <row r="24">
          <cell r="D24">
            <v>975000</v>
          </cell>
          <cell r="E24">
            <v>274125</v>
          </cell>
          <cell r="F24">
            <v>238500</v>
          </cell>
          <cell r="G24">
            <v>0</v>
          </cell>
          <cell r="H24">
            <v>1010625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1159125</v>
          </cell>
          <cell r="L25"/>
          <cell r="M25"/>
          <cell r="N25"/>
        </row>
        <row r="26">
          <cell r="D26">
            <v>975000</v>
          </cell>
          <cell r="E26">
            <v>274125</v>
          </cell>
          <cell r="F26">
            <v>238500</v>
          </cell>
          <cell r="G26">
            <v>0</v>
          </cell>
          <cell r="H26">
            <v>1010625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599500</v>
          </cell>
          <cell r="L27"/>
          <cell r="M27">
            <v>599500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204000</v>
          </cell>
          <cell r="M30">
            <v>204000</v>
          </cell>
          <cell r="N30" t="str">
            <v>CUMUL</v>
          </cell>
        </row>
      </sheetData>
      <sheetData sheetId="7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102500</v>
          </cell>
          <cell r="K8">
            <v>102500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141000</v>
          </cell>
          <cell r="K9">
            <v>141000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100000</v>
          </cell>
          <cell r="G11">
            <v>2000</v>
          </cell>
          <cell r="H11" t="str">
            <v>BANQUE</v>
          </cell>
          <cell r="I11">
            <v>0</v>
          </cell>
          <cell r="J11">
            <v>102000</v>
          </cell>
          <cell r="K11">
            <v>102000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121500</v>
          </cell>
          <cell r="G13">
            <v>0</v>
          </cell>
          <cell r="H13"/>
          <cell r="I13">
            <v>0</v>
          </cell>
          <cell r="J13">
            <v>125125</v>
          </cell>
          <cell r="K13">
            <v>125125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892500</v>
          </cell>
          <cell r="P15">
            <v>7500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371500</v>
          </cell>
          <cell r="G20">
            <v>5000</v>
          </cell>
          <cell r="H20">
            <v>0</v>
          </cell>
          <cell r="I20">
            <v>0</v>
          </cell>
          <cell r="J20">
            <v>572625</v>
          </cell>
          <cell r="K20">
            <v>572625</v>
          </cell>
          <cell r="L20">
            <v>0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1355625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0</v>
          </cell>
          <cell r="N23"/>
        </row>
        <row r="24">
          <cell r="D24">
            <v>975000</v>
          </cell>
          <cell r="E24">
            <v>470625</v>
          </cell>
          <cell r="F24">
            <v>150000</v>
          </cell>
          <cell r="G24">
            <v>0</v>
          </cell>
          <cell r="H24">
            <v>1295625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455625</v>
          </cell>
          <cell r="L25"/>
          <cell r="M25"/>
          <cell r="N25"/>
        </row>
        <row r="26">
          <cell r="D26">
            <v>975000</v>
          </cell>
          <cell r="E26">
            <v>470625</v>
          </cell>
          <cell r="F26">
            <v>150000</v>
          </cell>
          <cell r="G26">
            <v>0</v>
          </cell>
          <cell r="H26">
            <v>1295625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84125</v>
          </cell>
          <cell r="L27"/>
          <cell r="M27">
            <v>84125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102000</v>
          </cell>
          <cell r="M30">
            <v>102000</v>
          </cell>
          <cell r="N30" t="str">
            <v>CUMUL</v>
          </cell>
        </row>
      </sheetData>
      <sheetData sheetId="8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200000</v>
          </cell>
          <cell r="G9">
            <v>3000</v>
          </cell>
          <cell r="H9" t="str">
            <v>BANQUE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200000</v>
          </cell>
          <cell r="G11">
            <v>2000</v>
          </cell>
          <cell r="H11" t="str">
            <v>BANQUE</v>
          </cell>
          <cell r="I11">
            <v>0</v>
          </cell>
          <cell r="J11">
            <v>102000</v>
          </cell>
          <cell r="K11">
            <v>102000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51500</v>
          </cell>
          <cell r="G13">
            <v>1000</v>
          </cell>
          <cell r="H13">
            <v>0</v>
          </cell>
          <cell r="I13">
            <v>0</v>
          </cell>
          <cell r="J13">
            <v>121500</v>
          </cell>
          <cell r="K13">
            <v>121500</v>
          </cell>
          <cell r="L13" t="str">
            <v>BANQUE</v>
          </cell>
          <cell r="M13">
            <v>0</v>
          </cell>
          <cell r="N13">
            <v>0</v>
          </cell>
          <cell r="O13">
            <v>885000</v>
          </cell>
          <cell r="P13">
            <v>15000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100000</v>
          </cell>
          <cell r="G16">
            <v>2000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751500</v>
          </cell>
          <cell r="G20">
            <v>10000</v>
          </cell>
          <cell r="H20">
            <v>0</v>
          </cell>
          <cell r="I20">
            <v>0</v>
          </cell>
          <cell r="J20">
            <v>376500</v>
          </cell>
          <cell r="K20">
            <v>376500</v>
          </cell>
          <cell r="L20">
            <v>0</v>
          </cell>
          <cell r="M20">
            <v>0</v>
          </cell>
          <cell r="N20">
            <v>0</v>
          </cell>
          <cell r="O20">
            <v>885000</v>
          </cell>
          <cell r="P20">
            <v>15000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1167000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1</v>
          </cell>
          <cell r="N23"/>
        </row>
        <row r="24">
          <cell r="D24">
            <v>975000</v>
          </cell>
          <cell r="E24">
            <v>274500</v>
          </cell>
          <cell r="F24">
            <v>400000</v>
          </cell>
          <cell r="G24">
            <v>0</v>
          </cell>
          <cell r="H24">
            <v>849500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267000</v>
          </cell>
          <cell r="L25"/>
          <cell r="M25"/>
          <cell r="N25"/>
        </row>
        <row r="26">
          <cell r="D26">
            <v>975000</v>
          </cell>
          <cell r="E26">
            <v>274500</v>
          </cell>
          <cell r="F26">
            <v>400000</v>
          </cell>
          <cell r="G26">
            <v>0</v>
          </cell>
          <cell r="H26">
            <v>849500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-484500</v>
          </cell>
          <cell r="L27"/>
          <cell r="M27">
            <v>-484500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102000</v>
          </cell>
          <cell r="M30">
            <v>102000</v>
          </cell>
          <cell r="N30" t="str">
            <v>CUMUL</v>
          </cell>
        </row>
      </sheetData>
      <sheetData sheetId="9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100000</v>
          </cell>
          <cell r="G8">
            <v>1500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100000</v>
          </cell>
          <cell r="G9">
            <v>1000</v>
          </cell>
          <cell r="H9" t="str">
            <v>BANQUE</v>
          </cell>
          <cell r="I9">
            <v>0</v>
          </cell>
          <cell r="J9">
            <v>203000</v>
          </cell>
          <cell r="K9">
            <v>203000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891500</v>
          </cell>
          <cell r="P10">
            <v>8500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200000</v>
          </cell>
          <cell r="G11">
            <v>2000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52500</v>
          </cell>
          <cell r="K13">
            <v>52500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200000</v>
          </cell>
          <cell r="G15">
            <v>2500</v>
          </cell>
          <cell r="H15">
            <v>0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800000</v>
          </cell>
          <cell r="G20">
            <v>9000</v>
          </cell>
          <cell r="H20">
            <v>0</v>
          </cell>
          <cell r="I20">
            <v>0</v>
          </cell>
          <cell r="J20">
            <v>761500</v>
          </cell>
          <cell r="K20">
            <v>761500</v>
          </cell>
          <cell r="L20">
            <v>0</v>
          </cell>
          <cell r="M20">
            <v>0</v>
          </cell>
          <cell r="N20">
            <v>0</v>
          </cell>
          <cell r="O20">
            <v>891500</v>
          </cell>
          <cell r="P20">
            <v>8500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1343500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1</v>
          </cell>
          <cell r="N23"/>
        </row>
        <row r="24">
          <cell r="D24">
            <v>975000</v>
          </cell>
          <cell r="E24">
            <v>457500</v>
          </cell>
          <cell r="F24">
            <v>400000</v>
          </cell>
          <cell r="G24">
            <v>891500</v>
          </cell>
          <cell r="H24">
            <v>141000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443500</v>
          </cell>
          <cell r="L25"/>
          <cell r="M25"/>
          <cell r="N25"/>
        </row>
        <row r="26">
          <cell r="D26">
            <v>975000</v>
          </cell>
          <cell r="E26">
            <v>457500</v>
          </cell>
          <cell r="F26">
            <v>400000</v>
          </cell>
          <cell r="G26">
            <v>891500</v>
          </cell>
          <cell r="H26">
            <v>141000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-356500</v>
          </cell>
          <cell r="L27"/>
          <cell r="M27">
            <v>-356500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304000</v>
          </cell>
          <cell r="M30">
            <v>304000</v>
          </cell>
          <cell r="N30" t="str">
            <v>CUMUL</v>
          </cell>
        </row>
      </sheetData>
      <sheetData sheetId="10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101000</v>
          </cell>
          <cell r="K7">
            <v>101000</v>
          </cell>
          <cell r="L7" t="str">
            <v>BANQUE</v>
          </cell>
          <cell r="M7">
            <v>0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100000</v>
          </cell>
          <cell r="G8">
            <v>1000</v>
          </cell>
          <cell r="H8">
            <v>0</v>
          </cell>
          <cell r="I8">
            <v>0</v>
          </cell>
          <cell r="J8">
            <v>101500</v>
          </cell>
          <cell r="K8">
            <v>101500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ESPECES</v>
          </cell>
          <cell r="F9">
            <v>0</v>
          </cell>
          <cell r="G9">
            <v>0</v>
          </cell>
          <cell r="H9"/>
          <cell r="I9">
            <v>0</v>
          </cell>
          <cell r="J9">
            <v>101000</v>
          </cell>
          <cell r="K9">
            <v>101000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200000</v>
          </cell>
          <cell r="G11">
            <v>2500</v>
          </cell>
          <cell r="H11" t="str">
            <v>BANQUE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100000</v>
          </cell>
          <cell r="G13">
            <v>1500</v>
          </cell>
          <cell r="H13">
            <v>0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100000</v>
          </cell>
          <cell r="G15">
            <v>1000</v>
          </cell>
          <cell r="H15">
            <v>0</v>
          </cell>
          <cell r="I15">
            <v>0</v>
          </cell>
          <cell r="J15">
            <v>202500</v>
          </cell>
          <cell r="K15">
            <v>202500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100000</v>
          </cell>
          <cell r="G16">
            <v>1500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800000</v>
          </cell>
          <cell r="G20">
            <v>9500</v>
          </cell>
          <cell r="H20">
            <v>0</v>
          </cell>
          <cell r="I20">
            <v>0</v>
          </cell>
          <cell r="J20">
            <v>809000</v>
          </cell>
          <cell r="K20">
            <v>809000</v>
          </cell>
          <cell r="L20">
            <v>0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1491500</v>
          </cell>
          <cell r="L22"/>
          <cell r="M22"/>
          <cell r="N22"/>
        </row>
        <row r="23">
          <cell r="D23">
            <v>75000</v>
          </cell>
          <cell r="E23">
            <v>0</v>
          </cell>
          <cell r="F23">
            <v>0</v>
          </cell>
          <cell r="G23">
            <v>0</v>
          </cell>
          <cell r="H23">
            <v>75000</v>
          </cell>
          <cell r="I23"/>
          <cell r="J23" t="str">
            <v>LOT PRINCIPAL</v>
          </cell>
          <cell r="K23">
            <v>900000</v>
          </cell>
          <cell r="L23">
            <v>1</v>
          </cell>
          <cell r="M23">
            <v>1</v>
          </cell>
          <cell r="N23"/>
        </row>
        <row r="24">
          <cell r="D24">
            <v>900000</v>
          </cell>
          <cell r="E24">
            <v>606500</v>
          </cell>
          <cell r="F24">
            <v>400000</v>
          </cell>
          <cell r="G24">
            <v>0</v>
          </cell>
          <cell r="H24">
            <v>1106500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591500</v>
          </cell>
          <cell r="L25"/>
          <cell r="M25"/>
          <cell r="N25"/>
        </row>
        <row r="26">
          <cell r="D26">
            <v>975000</v>
          </cell>
          <cell r="E26">
            <v>606500</v>
          </cell>
          <cell r="F26">
            <v>400000</v>
          </cell>
          <cell r="G26">
            <v>0</v>
          </cell>
          <cell r="H26">
            <v>1181500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-208500</v>
          </cell>
          <cell r="L27"/>
          <cell r="M27">
            <v>-208500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202500</v>
          </cell>
          <cell r="M30">
            <v>202500</v>
          </cell>
          <cell r="N30" t="str">
            <v>CUMUL</v>
          </cell>
        </row>
      </sheetData>
      <sheetData sheetId="11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101000</v>
          </cell>
          <cell r="K8">
            <v>101000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202500</v>
          </cell>
          <cell r="K11">
            <v>202500</v>
          </cell>
          <cell r="L11" t="str">
            <v>BANQUE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101500</v>
          </cell>
          <cell r="G13">
            <v>3000</v>
          </cell>
          <cell r="H13">
            <v>0</v>
          </cell>
          <cell r="I13">
            <v>0</v>
          </cell>
          <cell r="J13">
            <v>101500</v>
          </cell>
          <cell r="K13">
            <v>101500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/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101500</v>
          </cell>
          <cell r="K16">
            <v>101500</v>
          </cell>
          <cell r="L16" t="str">
            <v>BANQUE</v>
          </cell>
          <cell r="M16">
            <v>0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101500</v>
          </cell>
          <cell r="G20">
            <v>3000</v>
          </cell>
          <cell r="H20">
            <v>0</v>
          </cell>
          <cell r="I20">
            <v>0</v>
          </cell>
          <cell r="J20">
            <v>809500</v>
          </cell>
          <cell r="K20">
            <v>809500</v>
          </cell>
          <cell r="L20">
            <v>0</v>
          </cell>
          <cell r="M20">
            <v>0</v>
          </cell>
          <cell r="N20">
            <v>0</v>
          </cell>
          <cell r="O20">
            <v>1785000</v>
          </cell>
          <cell r="P20">
            <v>15000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1499500</v>
          </cell>
          <cell r="L22"/>
          <cell r="M22"/>
          <cell r="N22"/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/>
          <cell r="J23" t="str">
            <v>LOT PRINCIPAL</v>
          </cell>
          <cell r="K23">
            <v>1800000</v>
          </cell>
          <cell r="L23">
            <v>1</v>
          </cell>
          <cell r="M23">
            <v>0</v>
          </cell>
          <cell r="N23"/>
        </row>
        <row r="24">
          <cell r="D24">
            <v>975000</v>
          </cell>
          <cell r="E24">
            <v>607000</v>
          </cell>
          <cell r="F24">
            <v>0</v>
          </cell>
          <cell r="G24">
            <v>0</v>
          </cell>
          <cell r="H24">
            <v>1582000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-300500</v>
          </cell>
          <cell r="L25"/>
          <cell r="M25"/>
          <cell r="N25"/>
        </row>
        <row r="26">
          <cell r="D26">
            <v>975000</v>
          </cell>
          <cell r="E26">
            <v>607000</v>
          </cell>
          <cell r="F26">
            <v>0</v>
          </cell>
          <cell r="G26">
            <v>0</v>
          </cell>
          <cell r="H26">
            <v>1582000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-402000</v>
          </cell>
          <cell r="L27"/>
          <cell r="M27">
            <v>-402000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202500</v>
          </cell>
          <cell r="M30">
            <v>202500</v>
          </cell>
          <cell r="N30" t="str">
            <v>CUMUL</v>
          </cell>
        </row>
      </sheetData>
      <sheetData sheetId="12">
        <row r="6">
          <cell r="A6" t="str">
            <v>AS201648</v>
          </cell>
          <cell r="B6">
            <v>2</v>
          </cell>
          <cell r="C6" t="str">
            <v>ASELBY</v>
          </cell>
          <cell r="D6">
            <v>150000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/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AS201613</v>
          </cell>
          <cell r="B8">
            <v>1</v>
          </cell>
          <cell r="C8" t="str">
            <v>HOTCHO BENJAMIN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75000</v>
          </cell>
          <cell r="E9" t="str">
            <v>ESPECES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AS201611</v>
          </cell>
          <cell r="B10">
            <v>1</v>
          </cell>
          <cell r="C10" t="str">
            <v>HENGUE PAUL OMER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AS201649</v>
          </cell>
          <cell r="B11">
            <v>1</v>
          </cell>
          <cell r="C11" t="str">
            <v>MBOGNING TUGMA GUY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AS201621</v>
          </cell>
          <cell r="B12">
            <v>1</v>
          </cell>
          <cell r="C12" t="str">
            <v>NANKAM APPOLINAIRE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AS201624</v>
          </cell>
          <cell r="B13">
            <v>1</v>
          </cell>
          <cell r="C13" t="str">
            <v>NGONDIEP CLAUDE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/>
          <cell r="I13">
            <v>0</v>
          </cell>
          <cell r="J13">
            <v>104500</v>
          </cell>
          <cell r="K13">
            <v>104500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AS201633</v>
          </cell>
          <cell r="B14">
            <v>1</v>
          </cell>
          <cell r="C14" t="str">
            <v>PATEGO NJOSSU GUSTAVE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AS201641</v>
          </cell>
          <cell r="B15">
            <v>1</v>
          </cell>
          <cell r="C15" t="str">
            <v>TCHOUAMOU MATHIEU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/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AS201658</v>
          </cell>
          <cell r="B16">
            <v>1</v>
          </cell>
          <cell r="C16" t="str">
            <v>YANTCHOU GERVAIS</v>
          </cell>
          <cell r="D16">
            <v>75000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 t="str">
            <v>TOTAL PART</v>
          </cell>
          <cell r="B19">
            <v>13</v>
          </cell>
          <cell r="G19"/>
        </row>
        <row r="20">
          <cell r="A20" t="str">
            <v>NBRE ADHERENT</v>
          </cell>
          <cell r="B20">
            <v>12</v>
          </cell>
          <cell r="C20"/>
          <cell r="D20">
            <v>975000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104500</v>
          </cell>
          <cell r="K20">
            <v>104500</v>
          </cell>
          <cell r="L20">
            <v>0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L21" t="str">
            <v>NBRE PART</v>
          </cell>
          <cell r="M21" t="str">
            <v>PART VENDUE</v>
          </cell>
          <cell r="N21"/>
        </row>
        <row r="22">
          <cell r="D22" t="str">
            <v>MONTANT TONTINE</v>
          </cell>
          <cell r="E22" t="str">
            <v>REMBOURSEMENT PETIT LOT</v>
          </cell>
          <cell r="F22" t="str">
            <v>VENTE PETIT LOT</v>
          </cell>
          <cell r="G22" t="str">
            <v>VENTE LOT PRINCIPAL</v>
          </cell>
          <cell r="H22" t="str">
            <v>SOLDE EN CAISSE</v>
          </cell>
          <cell r="I22"/>
          <cell r="J22" t="str">
            <v>TONTINE + REMB + INTERET VENTE+RELIQUAT</v>
          </cell>
          <cell r="K22">
            <v>989500</v>
          </cell>
          <cell r="L22"/>
          <cell r="M22"/>
          <cell r="N22"/>
        </row>
        <row r="23"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>
            <v>150000</v>
          </cell>
          <cell r="I23"/>
          <cell r="J23" t="str">
            <v>LOT PRINCIPAL</v>
          </cell>
          <cell r="K23">
            <v>0</v>
          </cell>
          <cell r="L23">
            <v>1</v>
          </cell>
          <cell r="M23">
            <v>0</v>
          </cell>
          <cell r="N23"/>
        </row>
        <row r="24">
          <cell r="D24">
            <v>825000</v>
          </cell>
          <cell r="E24">
            <v>104500</v>
          </cell>
          <cell r="F24">
            <v>0</v>
          </cell>
          <cell r="G24">
            <v>0</v>
          </cell>
          <cell r="H24">
            <v>929500</v>
          </cell>
          <cell r="I24"/>
          <cell r="K24"/>
          <cell r="L24"/>
          <cell r="M24"/>
          <cell r="N24"/>
        </row>
        <row r="25">
          <cell r="D25"/>
          <cell r="E25"/>
          <cell r="F25"/>
          <cell r="G25"/>
          <cell r="I25"/>
          <cell r="J25" t="str">
            <v>PETIT LOT</v>
          </cell>
          <cell r="K25">
            <v>989500</v>
          </cell>
          <cell r="L25"/>
          <cell r="M25"/>
          <cell r="N25"/>
        </row>
        <row r="26">
          <cell r="D26">
            <v>975000</v>
          </cell>
          <cell r="E26">
            <v>104500</v>
          </cell>
          <cell r="F26">
            <v>0</v>
          </cell>
          <cell r="G26">
            <v>0</v>
          </cell>
          <cell r="H26">
            <v>1079500</v>
          </cell>
          <cell r="I26"/>
          <cell r="K26"/>
          <cell r="L26"/>
          <cell r="M26"/>
          <cell r="N26"/>
        </row>
        <row r="27">
          <cell r="D27"/>
          <cell r="E27"/>
          <cell r="F27"/>
          <cell r="G27"/>
          <cell r="H27"/>
          <cell r="I27"/>
          <cell r="J27" t="str">
            <v>RELIQUAT</v>
          </cell>
          <cell r="K27">
            <v>989500</v>
          </cell>
          <cell r="L27"/>
          <cell r="M27">
            <v>989500</v>
          </cell>
          <cell r="N27" t="str">
            <v>CUMUL</v>
          </cell>
        </row>
        <row r="28">
          <cell r="D28"/>
          <cell r="E28"/>
          <cell r="F28"/>
          <cell r="G28"/>
          <cell r="H28"/>
          <cell r="I28"/>
          <cell r="L28"/>
          <cell r="M28"/>
          <cell r="N28"/>
        </row>
        <row r="29">
          <cell r="J29" t="str">
            <v>ECHEC TONTINE MOIS</v>
          </cell>
          <cell r="K29">
            <v>0</v>
          </cell>
          <cell r="M29">
            <v>0</v>
          </cell>
          <cell r="N29" t="str">
            <v>CUMUL</v>
          </cell>
        </row>
        <row r="30">
          <cell r="J30" t="str">
            <v>ECHEC REMBOURSEMENT MOIS</v>
          </cell>
          <cell r="K30">
            <v>0</v>
          </cell>
          <cell r="M30">
            <v>0</v>
          </cell>
          <cell r="N30" t="str">
            <v>CUMUL</v>
          </cell>
        </row>
      </sheetData>
      <sheetData sheetId="13">
        <row r="20">
          <cell r="V20">
            <v>15499.999999999971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</sheetNames>
    <sheetDataSet>
      <sheetData sheetId="0"/>
      <sheetData sheetId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200000</v>
          </cell>
          <cell r="G7">
            <v>7500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1120000</v>
          </cell>
          <cell r="P7">
            <v>80000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200000</v>
          </cell>
          <cell r="G8">
            <v>4500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ESPECES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/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1115000</v>
          </cell>
          <cell r="P14">
            <v>85000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200000</v>
          </cell>
          <cell r="G17">
            <v>6500</v>
          </cell>
          <cell r="H17" t="str">
            <v>BANQUE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100000</v>
          </cell>
          <cell r="E20" t="str">
            <v>BANQUE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1130000</v>
          </cell>
          <cell r="P20">
            <v>70000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BANQUE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24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2400000</v>
          </cell>
          <cell r="E25">
            <v>0</v>
          </cell>
          <cell r="F25">
            <v>700000</v>
          </cell>
          <cell r="G25">
            <v>19500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3365000</v>
          </cell>
          <cell r="P25">
            <v>235000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1675000</v>
          </cell>
          <cell r="M27"/>
          <cell r="N27"/>
          <cell r="O27"/>
        </row>
        <row r="28">
          <cell r="C28" t="str">
            <v>ESPECES</v>
          </cell>
          <cell r="D28">
            <v>100000</v>
          </cell>
          <cell r="E28">
            <v>0</v>
          </cell>
          <cell r="F28">
            <v>0</v>
          </cell>
          <cell r="G28">
            <v>0</v>
          </cell>
          <cell r="H28">
            <v>100000</v>
          </cell>
          <cell r="I28"/>
          <cell r="K28" t="str">
            <v>LOT PRINCIPAL</v>
          </cell>
          <cell r="L28">
            <v>3600000</v>
          </cell>
          <cell r="M28">
            <v>1</v>
          </cell>
          <cell r="N28">
            <v>2</v>
          </cell>
          <cell r="O28"/>
        </row>
        <row r="29">
          <cell r="C29" t="str">
            <v>BANQUE</v>
          </cell>
          <cell r="D29">
            <v>2300000</v>
          </cell>
          <cell r="E29">
            <v>0</v>
          </cell>
          <cell r="F29">
            <v>700000</v>
          </cell>
          <cell r="G29">
            <v>3365000</v>
          </cell>
          <cell r="H29">
            <v>-1765000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-1925000</v>
          </cell>
          <cell r="M30"/>
          <cell r="N30"/>
          <cell r="O30"/>
        </row>
        <row r="31">
          <cell r="C31" t="str">
            <v>TOTAL</v>
          </cell>
          <cell r="D31">
            <v>2400000</v>
          </cell>
          <cell r="E31">
            <v>0</v>
          </cell>
          <cell r="F31">
            <v>700000</v>
          </cell>
          <cell r="G31">
            <v>3365000</v>
          </cell>
          <cell r="H31">
            <v>-1665000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-2625000</v>
          </cell>
          <cell r="M32"/>
          <cell r="N32">
            <v>-2625000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200000</v>
          </cell>
          <cell r="G7">
            <v>3500</v>
          </cell>
          <cell r="H7" t="str">
            <v>BANQUE</v>
          </cell>
          <cell r="I7">
            <v>0</v>
          </cell>
          <cell r="J7">
            <v>207500</v>
          </cell>
          <cell r="K7">
            <v>207500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204500</v>
          </cell>
          <cell r="K8">
            <v>204500</v>
          </cell>
          <cell r="L8" t="str">
            <v>BANQUE</v>
          </cell>
          <cell r="M8" t="str">
            <v>BANQUE</v>
          </cell>
          <cell r="N8">
            <v>0</v>
          </cell>
          <cell r="O8">
            <v>1165000</v>
          </cell>
          <cell r="P8">
            <v>35000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1170000</v>
          </cell>
          <cell r="P9">
            <v>30000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26000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205500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200000</v>
          </cell>
          <cell r="G17">
            <v>2500</v>
          </cell>
          <cell r="H17" t="str">
            <v>BANQUE</v>
          </cell>
          <cell r="I17">
            <v>0</v>
          </cell>
          <cell r="J17">
            <v>206500</v>
          </cell>
          <cell r="K17">
            <v>206500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ESPECES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100000</v>
          </cell>
          <cell r="E20" t="str">
            <v>BANQUE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ESPECES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24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2400000</v>
          </cell>
          <cell r="E25">
            <v>0</v>
          </cell>
          <cell r="F25">
            <v>905500</v>
          </cell>
          <cell r="G25">
            <v>37000</v>
          </cell>
          <cell r="H25">
            <v>0</v>
          </cell>
          <cell r="I25">
            <v>0</v>
          </cell>
          <cell r="J25">
            <v>719500</v>
          </cell>
          <cell r="K25">
            <v>719500</v>
          </cell>
          <cell r="L25">
            <v>0</v>
          </cell>
          <cell r="M25">
            <v>0</v>
          </cell>
          <cell r="N25">
            <v>0</v>
          </cell>
          <cell r="O25">
            <v>2335000</v>
          </cell>
          <cell r="P25">
            <v>65000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3159500</v>
          </cell>
          <cell r="M27"/>
          <cell r="N27"/>
          <cell r="O27"/>
        </row>
        <row r="28">
          <cell r="C28" t="str">
            <v>ESPECES</v>
          </cell>
          <cell r="D28">
            <v>400000</v>
          </cell>
          <cell r="E28">
            <v>0</v>
          </cell>
          <cell r="F28">
            <v>0</v>
          </cell>
          <cell r="G28">
            <v>0</v>
          </cell>
          <cell r="H28">
            <v>400000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2</v>
          </cell>
          <cell r="O28"/>
        </row>
        <row r="29">
          <cell r="C29" t="str">
            <v>BANQUE</v>
          </cell>
          <cell r="D29">
            <v>2000000</v>
          </cell>
          <cell r="E29">
            <v>719500</v>
          </cell>
          <cell r="F29">
            <v>905500</v>
          </cell>
          <cell r="G29">
            <v>2335000</v>
          </cell>
          <cell r="H29">
            <v>-521000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1010500</v>
          </cell>
          <cell r="M30"/>
          <cell r="N30"/>
          <cell r="O30"/>
        </row>
        <row r="31">
          <cell r="C31" t="str">
            <v>TOTAL</v>
          </cell>
          <cell r="D31">
            <v>2600000</v>
          </cell>
          <cell r="E31">
            <v>719500</v>
          </cell>
          <cell r="F31">
            <v>905500</v>
          </cell>
          <cell r="G31">
            <v>2335000</v>
          </cell>
          <cell r="H31">
            <v>-121000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105000</v>
          </cell>
          <cell r="M32"/>
          <cell r="N32">
            <v>105000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ESPECES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203500</v>
          </cell>
          <cell r="K7">
            <v>203500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26000</v>
          </cell>
          <cell r="K10">
            <v>26000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1170000</v>
          </cell>
          <cell r="P11">
            <v>30000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100000</v>
          </cell>
          <cell r="G13">
            <v>1000</v>
          </cell>
          <cell r="H13" t="str">
            <v>BANQUE</v>
          </cell>
          <cell r="I13">
            <v>0</v>
          </cell>
          <cell r="J13">
            <v>207500</v>
          </cell>
          <cell r="K13">
            <v>207500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193000</v>
          </cell>
          <cell r="G15">
            <v>2500</v>
          </cell>
          <cell r="H15" t="str">
            <v>BANQUE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200000</v>
          </cell>
          <cell r="G16">
            <v>3000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1160000</v>
          </cell>
          <cell r="P16">
            <v>40000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202500</v>
          </cell>
          <cell r="K17">
            <v>202500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100000</v>
          </cell>
          <cell r="G19">
            <v>1000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100000</v>
          </cell>
          <cell r="E20" t="str">
            <v>BANQUE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ESPECES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24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2400000</v>
          </cell>
          <cell r="E25">
            <v>0</v>
          </cell>
          <cell r="F25">
            <v>1093000</v>
          </cell>
          <cell r="G25">
            <v>12500</v>
          </cell>
          <cell r="H25">
            <v>0</v>
          </cell>
          <cell r="I25">
            <v>0</v>
          </cell>
          <cell r="J25">
            <v>942500</v>
          </cell>
          <cell r="K25">
            <v>942500</v>
          </cell>
          <cell r="L25">
            <v>0</v>
          </cell>
          <cell r="M25">
            <v>0</v>
          </cell>
          <cell r="N25">
            <v>0</v>
          </cell>
          <cell r="O25">
            <v>2330000</v>
          </cell>
          <cell r="P25">
            <v>70000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3387500</v>
          </cell>
          <cell r="M27"/>
          <cell r="N27"/>
          <cell r="O27"/>
        </row>
        <row r="28">
          <cell r="C28" t="str">
            <v>ESPECES</v>
          </cell>
          <cell r="D28">
            <v>400000</v>
          </cell>
          <cell r="E28">
            <v>0</v>
          </cell>
          <cell r="F28">
            <v>0</v>
          </cell>
          <cell r="G28">
            <v>0</v>
          </cell>
          <cell r="H28">
            <v>400000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2</v>
          </cell>
          <cell r="O28"/>
        </row>
        <row r="29">
          <cell r="C29" t="str">
            <v>BANQUE</v>
          </cell>
          <cell r="D29">
            <v>2000000</v>
          </cell>
          <cell r="E29">
            <v>942500</v>
          </cell>
          <cell r="F29">
            <v>693000</v>
          </cell>
          <cell r="G29">
            <v>2330000</v>
          </cell>
          <cell r="H29">
            <v>-80500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1238500</v>
          </cell>
          <cell r="M30"/>
          <cell r="N30"/>
          <cell r="O30"/>
        </row>
        <row r="31">
          <cell r="C31" t="str">
            <v>TOTAL</v>
          </cell>
          <cell r="D31">
            <v>2600000</v>
          </cell>
          <cell r="E31">
            <v>942500</v>
          </cell>
          <cell r="F31">
            <v>693000</v>
          </cell>
          <cell r="G31">
            <v>2330000</v>
          </cell>
          <cell r="H31">
            <v>319500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145500</v>
          </cell>
          <cell r="M32"/>
          <cell r="N32">
            <v>145500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100000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100000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100000</v>
          </cell>
          <cell r="G13">
            <v>1000</v>
          </cell>
          <cell r="H13" t="str">
            <v>BANQUE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200000</v>
          </cell>
          <cell r="G15">
            <v>2500</v>
          </cell>
          <cell r="H15" t="str">
            <v>BANQUE</v>
          </cell>
          <cell r="I15">
            <v>0</v>
          </cell>
          <cell r="J15">
            <v>195500</v>
          </cell>
          <cell r="K15">
            <v>195500</v>
          </cell>
          <cell r="L15" t="str">
            <v>BANQUE</v>
          </cell>
          <cell r="M15">
            <v>0</v>
          </cell>
          <cell r="N15">
            <v>0</v>
          </cell>
          <cell r="O15">
            <v>1190000</v>
          </cell>
          <cell r="P15">
            <v>10000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130500</v>
          </cell>
          <cell r="G16">
            <v>2000</v>
          </cell>
          <cell r="H16">
            <v>0</v>
          </cell>
          <cell r="I16">
            <v>0</v>
          </cell>
          <cell r="J16">
            <v>203000</v>
          </cell>
          <cell r="K16">
            <v>203000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200000</v>
          </cell>
          <cell r="G17">
            <v>2500</v>
          </cell>
          <cell r="H17" t="str">
            <v>BANQUE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1185000</v>
          </cell>
          <cell r="P18">
            <v>15000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100000</v>
          </cell>
          <cell r="E20" t="str">
            <v>BANQUE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BANQUE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24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2400000</v>
          </cell>
          <cell r="E25">
            <v>0</v>
          </cell>
          <cell r="F25">
            <v>1130500</v>
          </cell>
          <cell r="G25">
            <v>14000</v>
          </cell>
          <cell r="H25">
            <v>0</v>
          </cell>
          <cell r="I25">
            <v>0</v>
          </cell>
          <cell r="J25">
            <v>1105500</v>
          </cell>
          <cell r="K25">
            <v>1105500</v>
          </cell>
          <cell r="L25">
            <v>0</v>
          </cell>
          <cell r="M25">
            <v>0</v>
          </cell>
          <cell r="N25">
            <v>0</v>
          </cell>
          <cell r="O25">
            <v>2375000</v>
          </cell>
          <cell r="P25">
            <v>25000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3505500</v>
          </cell>
          <cell r="M27"/>
          <cell r="N27"/>
          <cell r="O27"/>
        </row>
        <row r="28">
          <cell r="C28" t="str">
            <v>ESPECES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2</v>
          </cell>
          <cell r="O28"/>
        </row>
        <row r="29">
          <cell r="C29" t="str">
            <v>BANQUE</v>
          </cell>
          <cell r="D29">
            <v>2400000</v>
          </cell>
          <cell r="E29">
            <v>1105500</v>
          </cell>
          <cell r="F29">
            <v>900000</v>
          </cell>
          <cell r="G29">
            <v>0</v>
          </cell>
          <cell r="H29">
            <v>2605500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1356500</v>
          </cell>
          <cell r="M30"/>
          <cell r="N30"/>
          <cell r="O30"/>
        </row>
        <row r="31">
          <cell r="C31" t="str">
            <v>TOTAL</v>
          </cell>
          <cell r="D31">
            <v>2600000</v>
          </cell>
          <cell r="E31">
            <v>1105500</v>
          </cell>
          <cell r="F31">
            <v>900000</v>
          </cell>
          <cell r="G31">
            <v>0</v>
          </cell>
          <cell r="H31">
            <v>2605500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226000</v>
          </cell>
          <cell r="M32"/>
          <cell r="N32">
            <v>226000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ESPECES</v>
          </cell>
          <cell r="F7">
            <v>0</v>
          </cell>
          <cell r="G7">
            <v>0</v>
          </cell>
          <cell r="H7"/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200000</v>
          </cell>
          <cell r="G8">
            <v>7500</v>
          </cell>
          <cell r="H8" t="str">
            <v>BANQUE</v>
          </cell>
          <cell r="I8">
            <v>0</v>
          </cell>
          <cell r="J8">
            <v>207500</v>
          </cell>
          <cell r="K8">
            <v>207500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200000</v>
          </cell>
          <cell r="G9">
            <v>3000</v>
          </cell>
          <cell r="H9" t="str">
            <v>BANQUE</v>
          </cell>
          <cell r="I9">
            <v>0</v>
          </cell>
          <cell r="J9">
            <v>203000</v>
          </cell>
          <cell r="K9">
            <v>203000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102000</v>
          </cell>
          <cell r="G12">
            <v>4000</v>
          </cell>
          <cell r="H12" t="str">
            <v>BANQUE</v>
          </cell>
          <cell r="I12">
            <v>0</v>
          </cell>
          <cell r="J12">
            <v>106000</v>
          </cell>
          <cell r="K12">
            <v>106000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/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200000</v>
          </cell>
          <cell r="G14">
            <v>4500</v>
          </cell>
          <cell r="H14" t="str">
            <v>BANQUE</v>
          </cell>
          <cell r="I14">
            <v>0</v>
          </cell>
          <cell r="J14">
            <v>204500</v>
          </cell>
          <cell r="K14">
            <v>204500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200000</v>
          </cell>
          <cell r="G15">
            <v>6500</v>
          </cell>
          <cell r="H15" t="str">
            <v>BANQUE</v>
          </cell>
          <cell r="I15">
            <v>0</v>
          </cell>
          <cell r="J15">
            <v>206500</v>
          </cell>
          <cell r="K15">
            <v>206500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132500</v>
          </cell>
          <cell r="G16">
            <v>4000</v>
          </cell>
          <cell r="H16" t="str">
            <v>BANQUE</v>
          </cell>
          <cell r="I16">
            <v>0</v>
          </cell>
          <cell r="J16">
            <v>136500</v>
          </cell>
          <cell r="K16">
            <v>136500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100000</v>
          </cell>
          <cell r="G17">
            <v>3000</v>
          </cell>
          <cell r="H17" t="str">
            <v>BANQUE</v>
          </cell>
          <cell r="I17">
            <v>0</v>
          </cell>
          <cell r="J17">
            <v>103000</v>
          </cell>
          <cell r="K17">
            <v>103000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100000</v>
          </cell>
          <cell r="E20" t="str">
            <v>BANQUE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ESPECES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1190000</v>
          </cell>
          <cell r="P21">
            <v>10000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24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2400000</v>
          </cell>
          <cell r="E25">
            <v>0</v>
          </cell>
          <cell r="F25">
            <v>1134500</v>
          </cell>
          <cell r="G25">
            <v>32500</v>
          </cell>
          <cell r="H25">
            <v>0</v>
          </cell>
          <cell r="I25">
            <v>0</v>
          </cell>
          <cell r="J25">
            <v>1167000</v>
          </cell>
          <cell r="K25">
            <v>1167000</v>
          </cell>
          <cell r="L25">
            <v>0</v>
          </cell>
          <cell r="M25">
            <v>0</v>
          </cell>
          <cell r="N25">
            <v>0</v>
          </cell>
          <cell r="O25">
            <v>2380000</v>
          </cell>
          <cell r="P25">
            <v>20000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3562000</v>
          </cell>
          <cell r="M27"/>
          <cell r="N27"/>
          <cell r="O27"/>
        </row>
        <row r="28">
          <cell r="C28" t="str">
            <v>ESPECES</v>
          </cell>
          <cell r="D28">
            <v>400000</v>
          </cell>
          <cell r="E28">
            <v>0</v>
          </cell>
          <cell r="F28">
            <v>0</v>
          </cell>
          <cell r="G28">
            <v>0</v>
          </cell>
          <cell r="H28">
            <v>400000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2</v>
          </cell>
          <cell r="O28"/>
        </row>
        <row r="29">
          <cell r="C29" t="str">
            <v>BANQUE</v>
          </cell>
          <cell r="D29">
            <v>2000000</v>
          </cell>
          <cell r="E29">
            <v>1167000</v>
          </cell>
          <cell r="F29">
            <v>1134500</v>
          </cell>
          <cell r="G29">
            <v>0</v>
          </cell>
          <cell r="H29">
            <v>2032500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1413000</v>
          </cell>
          <cell r="M30"/>
          <cell r="N30"/>
          <cell r="O30"/>
        </row>
        <row r="31">
          <cell r="C31" t="str">
            <v>TOTAL</v>
          </cell>
          <cell r="D31">
            <v>2600000</v>
          </cell>
          <cell r="E31">
            <v>1167000</v>
          </cell>
          <cell r="F31">
            <v>1134500</v>
          </cell>
          <cell r="G31">
            <v>0</v>
          </cell>
          <cell r="H31">
            <v>2432500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278500</v>
          </cell>
          <cell r="M32"/>
          <cell r="N32">
            <v>278500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ESPECES</v>
          </cell>
          <cell r="F7">
            <v>200000</v>
          </cell>
          <cell r="G7">
            <v>3500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207500</v>
          </cell>
          <cell r="K8">
            <v>207500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200000</v>
          </cell>
          <cell r="G9">
            <v>6500</v>
          </cell>
          <cell r="H9">
            <v>0</v>
          </cell>
          <cell r="I9">
            <v>0</v>
          </cell>
          <cell r="J9">
            <v>203000</v>
          </cell>
          <cell r="K9">
            <v>203000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100000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106000</v>
          </cell>
          <cell r="K12">
            <v>106000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79500</v>
          </cell>
          <cell r="G13">
            <v>1500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100000</v>
          </cell>
          <cell r="G14">
            <v>4500</v>
          </cell>
          <cell r="H14" t="str">
            <v>BANQUE</v>
          </cell>
          <cell r="I14">
            <v>0</v>
          </cell>
          <cell r="J14">
            <v>204500</v>
          </cell>
          <cell r="K14">
            <v>204500</v>
          </cell>
          <cell r="L14" t="str">
            <v>BANQUE</v>
          </cell>
          <cell r="M14">
            <v>0</v>
          </cell>
          <cell r="N14">
            <v>0</v>
          </cell>
          <cell r="O14">
            <v>1140000</v>
          </cell>
          <cell r="P14">
            <v>60000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200000</v>
          </cell>
          <cell r="G15">
            <v>6000</v>
          </cell>
          <cell r="H15" t="str">
            <v>BANQUE</v>
          </cell>
          <cell r="I15">
            <v>0</v>
          </cell>
          <cell r="J15">
            <v>206500</v>
          </cell>
          <cell r="K15">
            <v>206500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136500</v>
          </cell>
          <cell r="K16">
            <v>136500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200000</v>
          </cell>
          <cell r="G17">
            <v>3500</v>
          </cell>
          <cell r="H17" t="str">
            <v>BANQUE</v>
          </cell>
          <cell r="I17">
            <v>0</v>
          </cell>
          <cell r="J17">
            <v>103000</v>
          </cell>
          <cell r="K17">
            <v>103000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1135000</v>
          </cell>
          <cell r="P19">
            <v>65000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100000</v>
          </cell>
          <cell r="E20" t="str">
            <v>BANQUE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BANQUE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24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2600000</v>
          </cell>
          <cell r="E25">
            <v>0</v>
          </cell>
          <cell r="F25">
            <v>1079500</v>
          </cell>
          <cell r="G25">
            <v>27500</v>
          </cell>
          <cell r="H25">
            <v>0</v>
          </cell>
          <cell r="I25">
            <v>0</v>
          </cell>
          <cell r="J25">
            <v>1167000</v>
          </cell>
          <cell r="K25">
            <v>1167000</v>
          </cell>
          <cell r="L25">
            <v>0</v>
          </cell>
          <cell r="M25">
            <v>0</v>
          </cell>
          <cell r="N25">
            <v>0</v>
          </cell>
          <cell r="O25">
            <v>2275000</v>
          </cell>
          <cell r="P25">
            <v>125000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5467000</v>
          </cell>
          <cell r="M27"/>
          <cell r="N27"/>
          <cell r="O27"/>
        </row>
        <row r="28">
          <cell r="C28" t="str">
            <v>ESPECES</v>
          </cell>
          <cell r="D28">
            <v>200000</v>
          </cell>
          <cell r="E28">
            <v>0</v>
          </cell>
          <cell r="F28">
            <v>0</v>
          </cell>
          <cell r="G28">
            <v>0</v>
          </cell>
          <cell r="H28">
            <v>200000</v>
          </cell>
          <cell r="I28"/>
          <cell r="K28" t="str">
            <v>LOT PRINCIPAL</v>
          </cell>
          <cell r="L28">
            <v>2400000</v>
          </cell>
          <cell r="M28">
            <v>4</v>
          </cell>
          <cell r="N28">
            <v>2</v>
          </cell>
          <cell r="O28"/>
        </row>
        <row r="29">
          <cell r="C29" t="str">
            <v>BANQUE</v>
          </cell>
          <cell r="D29">
            <v>2200000</v>
          </cell>
          <cell r="E29">
            <v>1167000</v>
          </cell>
          <cell r="F29">
            <v>779500</v>
          </cell>
          <cell r="G29">
            <v>0</v>
          </cell>
          <cell r="H29">
            <v>2587500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3318000</v>
          </cell>
          <cell r="M30"/>
          <cell r="N30"/>
          <cell r="O30"/>
        </row>
        <row r="31">
          <cell r="C31" t="str">
            <v>TOTAL</v>
          </cell>
          <cell r="D31">
            <v>4400000</v>
          </cell>
          <cell r="E31">
            <v>1167000</v>
          </cell>
          <cell r="F31">
            <v>779500</v>
          </cell>
          <cell r="G31">
            <v>0</v>
          </cell>
          <cell r="H31">
            <v>2787500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2238500</v>
          </cell>
          <cell r="M32"/>
          <cell r="N32">
            <v>2238500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ESPECES</v>
          </cell>
          <cell r="F7">
            <v>100000</v>
          </cell>
          <cell r="G7">
            <v>1500</v>
          </cell>
          <cell r="H7" t="str">
            <v>BANQUE</v>
          </cell>
          <cell r="I7">
            <v>0</v>
          </cell>
          <cell r="J7">
            <v>203500</v>
          </cell>
          <cell r="K7">
            <v>203500</v>
          </cell>
          <cell r="L7" t="str">
            <v>BANQUE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0</v>
          </cell>
          <cell r="G8">
            <v>0</v>
          </cell>
          <cell r="H8"/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100000</v>
          </cell>
          <cell r="G9">
            <v>1000</v>
          </cell>
          <cell r="H9">
            <v>0</v>
          </cell>
          <cell r="I9">
            <v>0</v>
          </cell>
          <cell r="J9">
            <v>206500</v>
          </cell>
          <cell r="K9">
            <v>206500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102000</v>
          </cell>
          <cell r="K10">
            <v>102000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232000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200000</v>
          </cell>
          <cell r="G13">
            <v>3000</v>
          </cell>
          <cell r="H13" t="str">
            <v>BANQUE</v>
          </cell>
          <cell r="I13">
            <v>0</v>
          </cell>
          <cell r="J13">
            <v>81000</v>
          </cell>
          <cell r="K13">
            <v>81000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104500</v>
          </cell>
          <cell r="K14">
            <v>104500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206000</v>
          </cell>
          <cell r="K15">
            <v>206000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100000</v>
          </cell>
          <cell r="G17">
            <v>1000</v>
          </cell>
          <cell r="H17" t="str">
            <v>BANQUE</v>
          </cell>
          <cell r="I17">
            <v>0</v>
          </cell>
          <cell r="J17">
            <v>203500</v>
          </cell>
          <cell r="K17">
            <v>203500</v>
          </cell>
          <cell r="L17" t="str">
            <v>BANQUE</v>
          </cell>
          <cell r="M17">
            <v>0</v>
          </cell>
          <cell r="N17">
            <v>0</v>
          </cell>
          <cell r="O17">
            <v>1185000</v>
          </cell>
          <cell r="P17">
            <v>15000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100000</v>
          </cell>
          <cell r="E20" t="str">
            <v>BANQUE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ESPECES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24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2400000</v>
          </cell>
          <cell r="E25">
            <v>0</v>
          </cell>
          <cell r="F25">
            <v>1132000</v>
          </cell>
          <cell r="G25">
            <v>12500</v>
          </cell>
          <cell r="H25">
            <v>0</v>
          </cell>
          <cell r="I25">
            <v>0</v>
          </cell>
          <cell r="J25">
            <v>1107000</v>
          </cell>
          <cell r="K25">
            <v>1107000</v>
          </cell>
          <cell r="L25">
            <v>0</v>
          </cell>
          <cell r="M25">
            <v>0</v>
          </cell>
          <cell r="N25">
            <v>0</v>
          </cell>
          <cell r="O25">
            <v>2375000</v>
          </cell>
          <cell r="P25">
            <v>25000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3507000</v>
          </cell>
          <cell r="M27"/>
          <cell r="N27"/>
          <cell r="O27"/>
        </row>
        <row r="28">
          <cell r="C28" t="str">
            <v>ESPECES</v>
          </cell>
          <cell r="D28">
            <v>400000</v>
          </cell>
          <cell r="E28">
            <v>0</v>
          </cell>
          <cell r="F28">
            <v>0</v>
          </cell>
          <cell r="G28">
            <v>0</v>
          </cell>
          <cell r="H28">
            <v>400000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2</v>
          </cell>
          <cell r="O28"/>
        </row>
        <row r="29">
          <cell r="C29" t="str">
            <v>BANQUE</v>
          </cell>
          <cell r="D29">
            <v>2000000</v>
          </cell>
          <cell r="E29">
            <v>1107000</v>
          </cell>
          <cell r="F29">
            <v>800000</v>
          </cell>
          <cell r="G29">
            <v>0</v>
          </cell>
          <cell r="H29">
            <v>2307000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1358000</v>
          </cell>
          <cell r="M30"/>
          <cell r="N30"/>
          <cell r="O30"/>
        </row>
        <row r="31">
          <cell r="C31" t="str">
            <v>TOTAL</v>
          </cell>
          <cell r="D31">
            <v>2600000</v>
          </cell>
          <cell r="E31">
            <v>1107000</v>
          </cell>
          <cell r="F31">
            <v>800000</v>
          </cell>
          <cell r="G31">
            <v>0</v>
          </cell>
          <cell r="H31">
            <v>2707000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226000</v>
          </cell>
          <cell r="M32"/>
          <cell r="N32">
            <v>226000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ESPECES</v>
          </cell>
          <cell r="F7">
            <v>174500</v>
          </cell>
          <cell r="G7">
            <v>2000</v>
          </cell>
          <cell r="H7" t="str">
            <v>BANQUE</v>
          </cell>
          <cell r="I7">
            <v>0</v>
          </cell>
          <cell r="J7">
            <v>101500</v>
          </cell>
          <cell r="K7">
            <v>101500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200000</v>
          </cell>
          <cell r="G8">
            <v>3500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101000</v>
          </cell>
          <cell r="K9">
            <v>101000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1185000</v>
          </cell>
          <cell r="P9">
            <v>15000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1185000</v>
          </cell>
          <cell r="P10">
            <v>15000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234000</v>
          </cell>
          <cell r="K11">
            <v>234000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100000</v>
          </cell>
          <cell r="G13">
            <v>1000</v>
          </cell>
          <cell r="H13" t="str">
            <v>BANQUE</v>
          </cell>
          <cell r="I13">
            <v>0</v>
          </cell>
          <cell r="J13">
            <v>203000</v>
          </cell>
          <cell r="K13">
            <v>203000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100000</v>
          </cell>
          <cell r="G15">
            <v>2500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200000</v>
          </cell>
          <cell r="G17">
            <v>5000</v>
          </cell>
          <cell r="H17" t="str">
            <v>BANQUE</v>
          </cell>
          <cell r="I17">
            <v>0</v>
          </cell>
          <cell r="J17">
            <v>101000</v>
          </cell>
          <cell r="K17">
            <v>101000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200000</v>
          </cell>
          <cell r="G18">
            <v>3500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0</v>
          </cell>
          <cell r="C20" t="str">
            <v>SIMO PIERRE</v>
          </cell>
          <cell r="D20">
            <v>0</v>
          </cell>
          <cell r="E20" t="str">
            <v>ECHEC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BANQUE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23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2300000</v>
          </cell>
          <cell r="E25">
            <v>0</v>
          </cell>
          <cell r="F25">
            <v>1074500</v>
          </cell>
          <cell r="G25">
            <v>18500</v>
          </cell>
          <cell r="H25">
            <v>0</v>
          </cell>
          <cell r="I25">
            <v>0</v>
          </cell>
          <cell r="J25">
            <v>1144500</v>
          </cell>
          <cell r="K25">
            <v>1144500</v>
          </cell>
          <cell r="L25">
            <v>0</v>
          </cell>
          <cell r="M25">
            <v>0</v>
          </cell>
          <cell r="N25">
            <v>0</v>
          </cell>
          <cell r="O25">
            <v>2370000</v>
          </cell>
          <cell r="P25">
            <v>30000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3449500</v>
          </cell>
          <cell r="M27"/>
          <cell r="N27"/>
          <cell r="O27"/>
        </row>
        <row r="28">
          <cell r="C28" t="str">
            <v>ESPECES</v>
          </cell>
          <cell r="D28">
            <v>200000</v>
          </cell>
          <cell r="E28">
            <v>0</v>
          </cell>
          <cell r="F28">
            <v>0</v>
          </cell>
          <cell r="G28">
            <v>0</v>
          </cell>
          <cell r="H28">
            <v>200000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2</v>
          </cell>
          <cell r="O28"/>
        </row>
        <row r="29">
          <cell r="C29" t="str">
            <v>BANQUE</v>
          </cell>
          <cell r="D29">
            <v>2100000</v>
          </cell>
          <cell r="E29">
            <v>1144500</v>
          </cell>
          <cell r="F29">
            <v>874500</v>
          </cell>
          <cell r="G29">
            <v>2370000</v>
          </cell>
          <cell r="H29">
            <v>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1300500</v>
          </cell>
          <cell r="M30"/>
          <cell r="N30"/>
          <cell r="O30"/>
        </row>
        <row r="31">
          <cell r="C31" t="str">
            <v>TOTAL</v>
          </cell>
          <cell r="D31">
            <v>2500000</v>
          </cell>
          <cell r="E31">
            <v>1144500</v>
          </cell>
          <cell r="F31">
            <v>874500</v>
          </cell>
          <cell r="G31">
            <v>2370000</v>
          </cell>
          <cell r="H31">
            <v>200000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226000</v>
          </cell>
          <cell r="M32"/>
          <cell r="N32">
            <v>226000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100000</v>
          </cell>
          <cell r="N34">
            <v>100000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ESPECES</v>
          </cell>
          <cell r="F7">
            <v>200000</v>
          </cell>
          <cell r="G7">
            <v>4000</v>
          </cell>
          <cell r="H7" t="str">
            <v>BANQUE</v>
          </cell>
          <cell r="I7">
            <v>0</v>
          </cell>
          <cell r="J7">
            <v>176500</v>
          </cell>
          <cell r="K7">
            <v>176500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159500</v>
          </cell>
          <cell r="G8">
            <v>6000</v>
          </cell>
          <cell r="H8" t="str">
            <v>BANQUE</v>
          </cell>
          <cell r="I8">
            <v>0</v>
          </cell>
          <cell r="J8">
            <v>203500</v>
          </cell>
          <cell r="K8">
            <v>203500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100000</v>
          </cell>
          <cell r="G12">
            <v>2500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ESPECES</v>
          </cell>
          <cell r="F13">
            <v>0</v>
          </cell>
          <cell r="G13">
            <v>0</v>
          </cell>
          <cell r="H13"/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200000</v>
          </cell>
          <cell r="G14">
            <v>5500</v>
          </cell>
          <cell r="H14" t="str">
            <v>BANQUE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100000</v>
          </cell>
          <cell r="G15">
            <v>2500</v>
          </cell>
          <cell r="H15" t="str">
            <v>BANQUE</v>
          </cell>
          <cell r="I15">
            <v>0</v>
          </cell>
          <cell r="J15">
            <v>102500</v>
          </cell>
          <cell r="K15">
            <v>102500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100000</v>
          </cell>
          <cell r="G17">
            <v>2500</v>
          </cell>
          <cell r="H17" t="str">
            <v>BANQUE</v>
          </cell>
          <cell r="I17">
            <v>0</v>
          </cell>
          <cell r="J17">
            <v>205000</v>
          </cell>
          <cell r="K17">
            <v>205000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200000</v>
          </cell>
          <cell r="G18">
            <v>7000</v>
          </cell>
          <cell r="H18">
            <v>0</v>
          </cell>
          <cell r="I18">
            <v>0</v>
          </cell>
          <cell r="J18">
            <v>203500</v>
          </cell>
          <cell r="K18">
            <v>203500</v>
          </cell>
          <cell r="L18">
            <v>0</v>
          </cell>
          <cell r="M18">
            <v>0</v>
          </cell>
          <cell r="N18">
            <v>0</v>
          </cell>
          <cell r="O18">
            <v>1185000</v>
          </cell>
          <cell r="P18">
            <v>15000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100000</v>
          </cell>
          <cell r="G19">
            <v>2500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0</v>
          </cell>
          <cell r="C20" t="str">
            <v>SIMO PIERRE</v>
          </cell>
          <cell r="D20">
            <v>0</v>
          </cell>
          <cell r="E20" t="str">
            <v>ESPECES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ESPECES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1185000</v>
          </cell>
          <cell r="P21">
            <v>15000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23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2300000</v>
          </cell>
          <cell r="E25">
            <v>0</v>
          </cell>
          <cell r="F25">
            <v>1159500</v>
          </cell>
          <cell r="G25">
            <v>32500</v>
          </cell>
          <cell r="H25">
            <v>0</v>
          </cell>
          <cell r="I25">
            <v>0</v>
          </cell>
          <cell r="J25">
            <v>1093000</v>
          </cell>
          <cell r="K25">
            <v>1093000</v>
          </cell>
          <cell r="L25">
            <v>0</v>
          </cell>
          <cell r="M25">
            <v>0</v>
          </cell>
          <cell r="N25">
            <v>0</v>
          </cell>
          <cell r="O25">
            <v>2370000</v>
          </cell>
          <cell r="P25">
            <v>30000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3194500</v>
          </cell>
          <cell r="M27"/>
          <cell r="N27"/>
          <cell r="O27"/>
        </row>
        <row r="28">
          <cell r="C28" t="str">
            <v>ESPECES</v>
          </cell>
          <cell r="D28">
            <v>500000</v>
          </cell>
          <cell r="E28">
            <v>0</v>
          </cell>
          <cell r="F28">
            <v>0</v>
          </cell>
          <cell r="G28">
            <v>0</v>
          </cell>
          <cell r="H28">
            <v>500000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2</v>
          </cell>
          <cell r="O28"/>
        </row>
        <row r="29">
          <cell r="C29" t="str">
            <v>BANQUE</v>
          </cell>
          <cell r="D29">
            <v>1800000</v>
          </cell>
          <cell r="E29">
            <v>889500</v>
          </cell>
          <cell r="F29">
            <v>759500</v>
          </cell>
          <cell r="G29">
            <v>0</v>
          </cell>
          <cell r="H29">
            <v>1930000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1045500</v>
          </cell>
          <cell r="M30"/>
          <cell r="N30"/>
          <cell r="O30"/>
        </row>
        <row r="31">
          <cell r="C31" t="str">
            <v>TOTAL</v>
          </cell>
          <cell r="D31">
            <v>2500000</v>
          </cell>
          <cell r="E31">
            <v>889500</v>
          </cell>
          <cell r="F31">
            <v>759500</v>
          </cell>
          <cell r="G31">
            <v>0</v>
          </cell>
          <cell r="H31">
            <v>2430000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-114000</v>
          </cell>
          <cell r="M32"/>
          <cell r="N32">
            <v>-114000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0</v>
          </cell>
          <cell r="N34">
            <v>0</v>
          </cell>
          <cell r="O34" t="str">
            <v>CUMUL</v>
          </cell>
        </row>
        <row r="35">
          <cell r="K35" t="str">
            <v>ECHEC REMBOURSEMENT MOIS</v>
          </cell>
          <cell r="L35">
            <v>203500</v>
          </cell>
          <cell r="N35">
            <v>203500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200000</v>
          </cell>
          <cell r="G7">
            <v>7000</v>
          </cell>
          <cell r="H7" t="str">
            <v>BANQUE</v>
          </cell>
          <cell r="I7">
            <v>0</v>
          </cell>
          <cell r="J7">
            <v>204000</v>
          </cell>
          <cell r="K7">
            <v>204000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BANQUE</v>
          </cell>
          <cell r="F8">
            <v>165500</v>
          </cell>
          <cell r="G8">
            <v>3000</v>
          </cell>
          <cell r="H8" t="str">
            <v>BANQUE</v>
          </cell>
          <cell r="I8">
            <v>0</v>
          </cell>
          <cell r="J8">
            <v>165500</v>
          </cell>
          <cell r="K8">
            <v>165500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100000</v>
          </cell>
          <cell r="G9">
            <v>1500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200000</v>
          </cell>
          <cell r="G10">
            <v>3000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200000</v>
          </cell>
          <cell r="G11">
            <v>3000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ESPECES</v>
          </cell>
          <cell r="F12">
            <v>207500</v>
          </cell>
          <cell r="G12">
            <v>3000</v>
          </cell>
          <cell r="H12">
            <v>0</v>
          </cell>
          <cell r="I12">
            <v>0</v>
          </cell>
          <cell r="J12">
            <v>102500</v>
          </cell>
          <cell r="K12">
            <v>102500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200000</v>
          </cell>
          <cell r="G13">
            <v>8000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BANQUE</v>
          </cell>
          <cell r="F14">
            <v>144000</v>
          </cell>
          <cell r="G14">
            <v>2000</v>
          </cell>
          <cell r="H14" t="str">
            <v>BANQUE</v>
          </cell>
          <cell r="I14">
            <v>0</v>
          </cell>
          <cell r="J14">
            <v>205500</v>
          </cell>
          <cell r="K14">
            <v>205500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200000</v>
          </cell>
          <cell r="G15">
            <v>3000</v>
          </cell>
          <cell r="H15" t="str">
            <v>BANQUE</v>
          </cell>
          <cell r="I15">
            <v>0</v>
          </cell>
          <cell r="J15">
            <v>102500</v>
          </cell>
          <cell r="K15">
            <v>102500</v>
          </cell>
          <cell r="L15" t="str">
            <v>BANQUE</v>
          </cell>
          <cell r="M15">
            <v>0</v>
          </cell>
          <cell r="N15">
            <v>0</v>
          </cell>
          <cell r="O15">
            <v>1190000</v>
          </cell>
          <cell r="P15">
            <v>10000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200000</v>
          </cell>
          <cell r="G16">
            <v>3000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200000</v>
          </cell>
          <cell r="G17">
            <v>6500</v>
          </cell>
          <cell r="H17" t="str">
            <v>BANQUE</v>
          </cell>
          <cell r="I17">
            <v>0</v>
          </cell>
          <cell r="J17">
            <v>102500</v>
          </cell>
          <cell r="K17">
            <v>102500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200000</v>
          </cell>
          <cell r="G18">
            <v>3000</v>
          </cell>
          <cell r="H18">
            <v>0</v>
          </cell>
          <cell r="I18">
            <v>0</v>
          </cell>
          <cell r="J18">
            <v>207000</v>
          </cell>
          <cell r="K18">
            <v>207000</v>
          </cell>
          <cell r="L18" t="str">
            <v>BANQUE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100000</v>
          </cell>
          <cell r="G19">
            <v>3500</v>
          </cell>
          <cell r="H19">
            <v>0</v>
          </cell>
          <cell r="I19">
            <v>0</v>
          </cell>
          <cell r="J19">
            <v>102500</v>
          </cell>
          <cell r="K19">
            <v>102500</v>
          </cell>
          <cell r="L19" t="str">
            <v>BANQUE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0</v>
          </cell>
          <cell r="C20" t="str">
            <v>SIMO PIERRE</v>
          </cell>
          <cell r="D20">
            <v>0</v>
          </cell>
          <cell r="E20" t="str">
            <v>ECHEC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ESPECES</v>
          </cell>
          <cell r="F21">
            <v>200000</v>
          </cell>
          <cell r="G21">
            <v>3000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>
            <v>0</v>
          </cell>
          <cell r="N22">
            <v>0</v>
          </cell>
          <cell r="O22">
            <v>1190000</v>
          </cell>
          <cell r="P22">
            <v>10000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23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2500000</v>
          </cell>
          <cell r="E25">
            <v>0</v>
          </cell>
          <cell r="F25">
            <v>2517000</v>
          </cell>
          <cell r="G25">
            <v>52500</v>
          </cell>
          <cell r="H25">
            <v>0</v>
          </cell>
          <cell r="I25">
            <v>0</v>
          </cell>
          <cell r="J25">
            <v>1192000</v>
          </cell>
          <cell r="K25">
            <v>1192000</v>
          </cell>
          <cell r="L25">
            <v>0</v>
          </cell>
          <cell r="M25">
            <v>0</v>
          </cell>
          <cell r="N25">
            <v>0</v>
          </cell>
          <cell r="O25">
            <v>2380000</v>
          </cell>
          <cell r="P25">
            <v>20000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3487000</v>
          </cell>
          <cell r="M27"/>
          <cell r="N27"/>
          <cell r="O27"/>
        </row>
        <row r="28">
          <cell r="C28" t="str">
            <v>ESPECES</v>
          </cell>
          <cell r="D28">
            <v>300000</v>
          </cell>
          <cell r="E28">
            <v>0</v>
          </cell>
          <cell r="F28">
            <v>0</v>
          </cell>
          <cell r="G28">
            <v>0</v>
          </cell>
          <cell r="H28">
            <v>300000</v>
          </cell>
          <cell r="I28"/>
          <cell r="K28" t="str">
            <v>LOT PRINCIPAL</v>
          </cell>
          <cell r="L28">
            <v>2400000</v>
          </cell>
          <cell r="M28">
            <v>2</v>
          </cell>
          <cell r="N28">
            <v>1</v>
          </cell>
          <cell r="O28"/>
        </row>
        <row r="29">
          <cell r="C29" t="str">
            <v>BANQUE</v>
          </cell>
          <cell r="D29">
            <v>2000000</v>
          </cell>
          <cell r="E29">
            <v>1192000</v>
          </cell>
          <cell r="F29">
            <v>1109500</v>
          </cell>
          <cell r="G29">
            <v>0</v>
          </cell>
          <cell r="H29">
            <v>2082500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1338000</v>
          </cell>
          <cell r="M30"/>
          <cell r="N30"/>
          <cell r="O30"/>
        </row>
        <row r="31">
          <cell r="C31" t="str">
            <v>TOTAL</v>
          </cell>
          <cell r="D31">
            <v>2500000</v>
          </cell>
          <cell r="E31">
            <v>1192000</v>
          </cell>
          <cell r="F31">
            <v>1109500</v>
          </cell>
          <cell r="G31">
            <v>0</v>
          </cell>
          <cell r="H31">
            <v>2382500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-1179000</v>
          </cell>
          <cell r="M32"/>
          <cell r="N32">
            <v>-1179000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100000</v>
          </cell>
          <cell r="N34">
            <v>100000</v>
          </cell>
          <cell r="O34" t="str">
            <v>CUMUL</v>
          </cell>
        </row>
        <row r="35">
          <cell r="K35" t="str">
            <v>ECHEC REMBOURSEMENT MOIS</v>
          </cell>
          <cell r="L35">
            <v>0</v>
          </cell>
          <cell r="N35">
            <v>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/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ESPECES</v>
          </cell>
          <cell r="F7">
            <v>0</v>
          </cell>
          <cell r="G7">
            <v>0</v>
          </cell>
          <cell r="H7"/>
          <cell r="I7">
            <v>0</v>
          </cell>
          <cell r="J7">
            <v>207000</v>
          </cell>
          <cell r="K7">
            <v>207000</v>
          </cell>
          <cell r="L7" t="str">
            <v>ESPECES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100000</v>
          </cell>
          <cell r="E8" t="str">
            <v>ESPECES</v>
          </cell>
          <cell r="F8">
            <v>0</v>
          </cell>
          <cell r="G8">
            <v>0</v>
          </cell>
          <cell r="H8"/>
          <cell r="I8">
            <v>0</v>
          </cell>
          <cell r="J8">
            <v>168500</v>
          </cell>
          <cell r="K8">
            <v>168500</v>
          </cell>
          <cell r="L8" t="str">
            <v>COMPTE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2</v>
          </cell>
          <cell r="C9" t="str">
            <v>DJUOMBESSY ANTOINE</v>
          </cell>
          <cell r="D9">
            <v>200000</v>
          </cell>
          <cell r="E9" t="str">
            <v>BANQUE</v>
          </cell>
          <cell r="F9">
            <v>0</v>
          </cell>
          <cell r="G9">
            <v>0</v>
          </cell>
          <cell r="H9"/>
          <cell r="I9">
            <v>0</v>
          </cell>
          <cell r="J9">
            <v>101500</v>
          </cell>
          <cell r="K9">
            <v>101500</v>
          </cell>
          <cell r="L9" t="str">
            <v>ESPECES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AS201663</v>
          </cell>
          <cell r="B10">
            <v>1</v>
          </cell>
          <cell r="C10" t="str">
            <v>FAMPOU PAUL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/>
          <cell r="I10">
            <v>0</v>
          </cell>
          <cell r="J10">
            <v>203000</v>
          </cell>
          <cell r="K10">
            <v>203000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/>
          <cell r="I11">
            <v>0</v>
          </cell>
          <cell r="J11">
            <v>203000</v>
          </cell>
          <cell r="K11">
            <v>203000</v>
          </cell>
          <cell r="L11" t="str">
            <v>ESPECES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AS201617</v>
          </cell>
          <cell r="B12">
            <v>1</v>
          </cell>
          <cell r="C12" t="str">
            <v>KOUAMOU MOISE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/>
          <cell r="I12">
            <v>0</v>
          </cell>
          <cell r="J12">
            <v>210500</v>
          </cell>
          <cell r="K12">
            <v>210500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AS201619</v>
          </cell>
          <cell r="B13">
            <v>1</v>
          </cell>
          <cell r="C13" t="str">
            <v>KOUATCHO MESSACK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/>
          <cell r="I13">
            <v>0</v>
          </cell>
          <cell r="J13">
            <v>208000</v>
          </cell>
          <cell r="K13">
            <v>208000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AS201649</v>
          </cell>
          <cell r="B14">
            <v>2</v>
          </cell>
          <cell r="C14" t="str">
            <v>MBOGNING TUGMA GUY</v>
          </cell>
          <cell r="D14">
            <v>200000</v>
          </cell>
          <cell r="E14" t="str">
            <v>ESPECES</v>
          </cell>
          <cell r="F14">
            <v>0</v>
          </cell>
          <cell r="G14">
            <v>0</v>
          </cell>
          <cell r="H14"/>
          <cell r="I14">
            <v>0</v>
          </cell>
          <cell r="J14">
            <v>146000</v>
          </cell>
          <cell r="K14">
            <v>146000</v>
          </cell>
          <cell r="L14" t="str">
            <v>ESPECES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AS201622</v>
          </cell>
          <cell r="B15">
            <v>2</v>
          </cell>
          <cell r="C15" t="str">
            <v>NDJOMO ETIENNE</v>
          </cell>
          <cell r="D15">
            <v>200000</v>
          </cell>
          <cell r="E15" t="str">
            <v>BANQUE</v>
          </cell>
          <cell r="F15">
            <v>0</v>
          </cell>
          <cell r="G15">
            <v>0</v>
          </cell>
          <cell r="H15"/>
          <cell r="I15">
            <v>0</v>
          </cell>
          <cell r="J15">
            <v>203000</v>
          </cell>
          <cell r="K15">
            <v>203000</v>
          </cell>
          <cell r="L15" t="str">
            <v>ESPECES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AS201624</v>
          </cell>
          <cell r="B16">
            <v>1</v>
          </cell>
          <cell r="C16" t="str">
            <v>NGONDIEP CLAUDE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/>
          <cell r="I16">
            <v>0</v>
          </cell>
          <cell r="J16">
            <v>203000</v>
          </cell>
          <cell r="K16">
            <v>203000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AS201626</v>
          </cell>
          <cell r="B17">
            <v>2</v>
          </cell>
          <cell r="C17" t="str">
            <v>NGUIEMEGNI MATHIEU BLAISE</v>
          </cell>
          <cell r="D17">
            <v>200000</v>
          </cell>
          <cell r="E17" t="str">
            <v>BANQUE</v>
          </cell>
          <cell r="F17">
            <v>0</v>
          </cell>
          <cell r="G17">
            <v>0</v>
          </cell>
          <cell r="H17"/>
          <cell r="I17">
            <v>0</v>
          </cell>
          <cell r="J17">
            <v>206500</v>
          </cell>
          <cell r="K17">
            <v>206500</v>
          </cell>
          <cell r="L17" t="str">
            <v>BANQUE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2</v>
          </cell>
          <cell r="C18" t="str">
            <v>SIME BRICE</v>
          </cell>
          <cell r="D18">
            <v>200000</v>
          </cell>
          <cell r="E18" t="str">
            <v>BANQUE</v>
          </cell>
          <cell r="F18">
            <v>0</v>
          </cell>
          <cell r="G18">
            <v>0</v>
          </cell>
          <cell r="H18"/>
          <cell r="I18">
            <v>0</v>
          </cell>
          <cell r="J18">
            <v>203000</v>
          </cell>
          <cell r="K18">
            <v>203000</v>
          </cell>
          <cell r="L18" t="str">
            <v>ESPECES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AS201660</v>
          </cell>
          <cell r="B19">
            <v>1</v>
          </cell>
          <cell r="C19" t="str">
            <v>TCHOUATEU AUGUSTIN</v>
          </cell>
          <cell r="D19">
            <v>100000</v>
          </cell>
          <cell r="E19" t="str">
            <v>BANQUE</v>
          </cell>
          <cell r="F19">
            <v>0</v>
          </cell>
          <cell r="G19">
            <v>0</v>
          </cell>
          <cell r="H19"/>
          <cell r="I19">
            <v>0</v>
          </cell>
          <cell r="J19">
            <v>103500</v>
          </cell>
          <cell r="K19">
            <v>103500</v>
          </cell>
          <cell r="L19" t="str">
            <v>BANQUE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0</v>
          </cell>
          <cell r="C20" t="str">
            <v>SIMO PIERRE</v>
          </cell>
          <cell r="D20">
            <v>0</v>
          </cell>
          <cell r="E20" t="str">
            <v>ECHEC</v>
          </cell>
          <cell r="F20">
            <v>0</v>
          </cell>
          <cell r="G20">
            <v>0</v>
          </cell>
          <cell r="H20"/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ECHEC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AS201659</v>
          </cell>
          <cell r="B21">
            <v>2</v>
          </cell>
          <cell r="C21" t="str">
            <v>YIALA ALAIN OSCAR</v>
          </cell>
          <cell r="D21">
            <v>200000</v>
          </cell>
          <cell r="E21" t="str">
            <v>ESPECES</v>
          </cell>
          <cell r="F21">
            <v>0</v>
          </cell>
          <cell r="G21">
            <v>0</v>
          </cell>
          <cell r="H21"/>
          <cell r="I21">
            <v>0</v>
          </cell>
          <cell r="J21">
            <v>203000</v>
          </cell>
          <cell r="K21">
            <v>203000</v>
          </cell>
          <cell r="L21" t="str">
            <v>ESPECES</v>
          </cell>
          <cell r="M21" t="str">
            <v>ECHEC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AS201647</v>
          </cell>
          <cell r="B22">
            <v>1</v>
          </cell>
          <cell r="C22" t="str">
            <v>YOUMBI EMMANUEL</v>
          </cell>
          <cell r="D22">
            <v>100000</v>
          </cell>
          <cell r="E22" t="str">
            <v>BANQUE</v>
          </cell>
          <cell r="F22">
            <v>0</v>
          </cell>
          <cell r="G22">
            <v>0</v>
          </cell>
          <cell r="H22"/>
          <cell r="I22">
            <v>0</v>
          </cell>
          <cell r="J22">
            <v>0</v>
          </cell>
          <cell r="K22">
            <v>0</v>
          </cell>
          <cell r="L22" t="str">
            <v>ECHEC</v>
          </cell>
          <cell r="M22" t="str">
            <v>ECHEC</v>
          </cell>
          <cell r="N22">
            <v>0</v>
          </cell>
          <cell r="O22">
            <v>0</v>
          </cell>
          <cell r="P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A24" t="str">
            <v>TOTAL PART</v>
          </cell>
          <cell r="B24">
            <v>23</v>
          </cell>
          <cell r="G24"/>
        </row>
        <row r="25">
          <cell r="A25" t="str">
            <v>NBRE ADHERENT</v>
          </cell>
          <cell r="B25">
            <v>17</v>
          </cell>
          <cell r="C25"/>
          <cell r="D25">
            <v>2300000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2569500</v>
          </cell>
          <cell r="K25">
            <v>2569500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L26"/>
          <cell r="M26" t="str">
            <v>NBRE PART</v>
          </cell>
          <cell r="N26" t="str">
            <v>PART VENDUE</v>
          </cell>
        </row>
        <row r="27">
          <cell r="D27" t="str">
            <v>MONTANT TONTINE</v>
          </cell>
          <cell r="E27" t="str">
            <v>REMBOURSEMENT PETIT LOT</v>
          </cell>
          <cell r="F27" t="str">
            <v>VENTE PETIT LOT</v>
          </cell>
          <cell r="G27" t="str">
            <v>VENTE LOT PRINCIPAL</v>
          </cell>
          <cell r="H27" t="str">
            <v>SOLDE EN CAISSE</v>
          </cell>
          <cell r="I27"/>
          <cell r="K27" t="str">
            <v>TONTINE + REMB + INTERET VENTE</v>
          </cell>
          <cell r="L27">
            <v>4476000</v>
          </cell>
          <cell r="M27"/>
          <cell r="N27"/>
          <cell r="O27"/>
        </row>
        <row r="28">
          <cell r="C28" t="str">
            <v>ESPECES</v>
          </cell>
          <cell r="D28">
            <v>700000</v>
          </cell>
          <cell r="E28">
            <v>1266500</v>
          </cell>
          <cell r="F28">
            <v>0</v>
          </cell>
          <cell r="G28">
            <v>0</v>
          </cell>
          <cell r="H28">
            <v>1966500</v>
          </cell>
          <cell r="I28"/>
          <cell r="K28" t="str">
            <v>LOT PRINCIPAL</v>
          </cell>
          <cell r="L28">
            <v>0</v>
          </cell>
          <cell r="M28">
            <v>3</v>
          </cell>
          <cell r="N28">
            <v>0</v>
          </cell>
          <cell r="O28"/>
        </row>
        <row r="29">
          <cell r="C29" t="str">
            <v>BANQUE</v>
          </cell>
          <cell r="D29">
            <v>1600000</v>
          </cell>
          <cell r="E29">
            <v>1134500</v>
          </cell>
          <cell r="F29">
            <v>0</v>
          </cell>
          <cell r="G29">
            <v>0</v>
          </cell>
          <cell r="H29">
            <v>2734500</v>
          </cell>
          <cell r="I29"/>
          <cell r="L29"/>
          <cell r="M29"/>
          <cell r="N29"/>
          <cell r="O29"/>
        </row>
        <row r="30">
          <cell r="D30"/>
          <cell r="E30"/>
          <cell r="F30"/>
          <cell r="G30"/>
          <cell r="I30"/>
          <cell r="K30" t="str">
            <v>PETIT LOT</v>
          </cell>
          <cell r="L30">
            <v>4727000</v>
          </cell>
          <cell r="M30"/>
          <cell r="N30"/>
          <cell r="O30"/>
        </row>
        <row r="31">
          <cell r="C31" t="str">
            <v>TOTAL</v>
          </cell>
          <cell r="D31">
            <v>2300000</v>
          </cell>
          <cell r="E31">
            <v>2401000</v>
          </cell>
          <cell r="F31">
            <v>0</v>
          </cell>
          <cell r="G31">
            <v>0</v>
          </cell>
          <cell r="H31">
            <v>4701000</v>
          </cell>
          <cell r="I31"/>
          <cell r="L31"/>
          <cell r="M31"/>
          <cell r="N31"/>
          <cell r="O31"/>
        </row>
        <row r="32">
          <cell r="D32"/>
          <cell r="E32"/>
          <cell r="F32"/>
          <cell r="G32"/>
          <cell r="H32"/>
          <cell r="I32"/>
          <cell r="K32" t="str">
            <v>RELIQUAT</v>
          </cell>
          <cell r="L32">
            <v>4727000</v>
          </cell>
          <cell r="M32"/>
          <cell r="N32">
            <v>4727000</v>
          </cell>
          <cell r="O32" t="str">
            <v>CUMUL</v>
          </cell>
        </row>
        <row r="33">
          <cell r="D33"/>
          <cell r="E33"/>
          <cell r="F33"/>
          <cell r="G33"/>
          <cell r="H33"/>
          <cell r="I33"/>
          <cell r="M33"/>
          <cell r="N33"/>
          <cell r="O33"/>
        </row>
        <row r="34">
          <cell r="K34" t="str">
            <v>ECHEC TONTINE MOIS</v>
          </cell>
          <cell r="L34">
            <v>100000</v>
          </cell>
          <cell r="N34">
            <v>100000</v>
          </cell>
          <cell r="O34" t="str">
            <v>CUMUL</v>
          </cell>
        </row>
        <row r="35">
          <cell r="K35" t="str">
            <v>ECHEC REMBOURSEMENT MOIS</v>
          </cell>
          <cell r="L35">
            <v>168500</v>
          </cell>
          <cell r="N35">
            <v>168500</v>
          </cell>
          <cell r="O35" t="str">
            <v>CUMUL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M36"/>
          <cell r="N36"/>
          <cell r="O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M37"/>
          <cell r="N37"/>
          <cell r="O37"/>
        </row>
      </sheetData>
      <sheetData sheetId="13">
        <row r="29">
          <cell r="Q29">
            <v>1244000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C15" sqref="C15"/>
    </sheetView>
  </sheetViews>
  <sheetFormatPr baseColWidth="10" defaultColWidth="11" defaultRowHeight="14.5" x14ac:dyDescent="0.35"/>
  <sheetData>
    <row r="1" spans="1:1" x14ac:dyDescent="0.35">
      <c r="A1" t="s">
        <v>8</v>
      </c>
    </row>
    <row r="2" spans="1:1" x14ac:dyDescent="0.35">
      <c r="A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5" x14ac:dyDescent="0.35"/>
  <cols>
    <col min="1" max="1" width="13.81640625" bestFit="1" customWidth="1"/>
    <col min="2" max="2" width="35.1796875" bestFit="1" customWidth="1"/>
    <col min="3" max="3" width="15.81640625" bestFit="1" customWidth="1"/>
    <col min="4" max="4" width="20" customWidth="1"/>
    <col min="5" max="5" width="17.54296875" bestFit="1" customWidth="1"/>
    <col min="6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5" customWidth="1"/>
    <col min="13" max="13" width="11.26953125" customWidth="1"/>
    <col min="14" max="14" width="15" bestFit="1" customWidth="1"/>
    <col min="15" max="15" width="11.26953125" customWidth="1"/>
    <col min="16" max="16" width="15" bestFit="1" customWidth="1"/>
    <col min="17" max="18" width="16" customWidth="1"/>
    <col min="19" max="19" width="20.453125" bestFit="1" customWidth="1"/>
    <col min="20" max="20" width="15.1796875" style="35" bestFit="1" customWidth="1"/>
    <col min="21" max="21" width="16.1796875" style="35" customWidth="1"/>
    <col min="22" max="22" width="20.453125" style="35" customWidth="1"/>
    <col min="23" max="23" width="14.453125" style="35" bestFit="1" customWidth="1"/>
    <col min="24" max="24" width="11.453125" style="35"/>
    <col min="25" max="26" width="13.81640625" style="35" customWidth="1"/>
    <col min="27" max="27" width="16.26953125" style="35" customWidth="1"/>
    <col min="28" max="28" width="13.81640625" style="35" customWidth="1"/>
    <col min="29" max="29" width="18.26953125" style="35" bestFit="1" customWidth="1"/>
    <col min="30" max="30" width="22.54296875" style="35" customWidth="1"/>
    <col min="31" max="32" width="19" style="35" customWidth="1"/>
    <col min="33" max="34" width="16.1796875" style="35" customWidth="1"/>
    <col min="35" max="35" width="11.453125" style="35"/>
    <col min="36" max="41" width="16" style="35" customWidth="1"/>
    <col min="42" max="42" width="15.26953125" style="35" customWidth="1"/>
    <col min="43" max="45" width="11.453125" style="35"/>
    <col min="46" max="46" width="12.453125" style="35" bestFit="1" customWidth="1"/>
    <col min="47" max="49" width="11.453125" style="35"/>
    <col min="50" max="52" width="15" style="35" customWidth="1"/>
    <col min="53" max="53" width="15" style="35" bestFit="1" customWidth="1"/>
    <col min="54" max="55" width="11.453125" style="35"/>
  </cols>
  <sheetData>
    <row r="1" spans="1:55" x14ac:dyDescent="0.35">
      <c r="A1" s="1" t="s">
        <v>2</v>
      </c>
      <c r="B1" s="1" t="s">
        <v>3</v>
      </c>
      <c r="C1" s="1"/>
      <c r="D1" s="1"/>
    </row>
    <row r="2" spans="1:55" x14ac:dyDescent="0.35">
      <c r="A2" s="1" t="s">
        <v>4</v>
      </c>
      <c r="B2" s="1">
        <v>2022</v>
      </c>
      <c r="C2" s="1"/>
      <c r="D2" s="1"/>
    </row>
    <row r="3" spans="1:55" x14ac:dyDescent="0.3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" thickBot="1" x14ac:dyDescent="0.7">
      <c r="B4" s="120" t="s">
        <v>113</v>
      </c>
      <c r="C4" s="120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4">
      <c r="A5" s="49" t="s">
        <v>0</v>
      </c>
      <c r="B5" s="50" t="s">
        <v>1</v>
      </c>
      <c r="C5" s="50"/>
      <c r="D5" s="122" t="s">
        <v>114</v>
      </c>
      <c r="E5" s="123"/>
      <c r="F5" s="123"/>
      <c r="G5" s="123"/>
      <c r="H5" s="123"/>
      <c r="I5" s="123"/>
      <c r="J5" s="123"/>
      <c r="K5" s="123"/>
      <c r="L5" s="123"/>
      <c r="M5" s="122" t="s">
        <v>123</v>
      </c>
      <c r="N5" s="123"/>
      <c r="O5" s="123"/>
      <c r="P5" s="124" t="s">
        <v>126</v>
      </c>
      <c r="Q5" s="125"/>
      <c r="R5" s="124" t="s">
        <v>50</v>
      </c>
      <c r="S5" s="126"/>
      <c r="T5" s="118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3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11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5" x14ac:dyDescent="0.45">
      <c r="A7" s="21" t="s">
        <v>108</v>
      </c>
      <c r="B7" s="22" t="s">
        <v>3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5" x14ac:dyDescent="0.45">
      <c r="A8" s="21" t="s">
        <v>12</v>
      </c>
      <c r="B8" s="22" t="s">
        <v>235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5" x14ac:dyDescent="0.45">
      <c r="A9" s="21" t="s">
        <v>13</v>
      </c>
      <c r="B9" s="22" t="s">
        <v>236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5" x14ac:dyDescent="0.45">
      <c r="A10" s="21" t="s">
        <v>14</v>
      </c>
      <c r="B10" s="22" t="s">
        <v>263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5" x14ac:dyDescent="0.45">
      <c r="A11" s="21" t="s">
        <v>15</v>
      </c>
      <c r="B11" s="22" t="s">
        <v>238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5" x14ac:dyDescent="0.45">
      <c r="A12" s="21" t="s">
        <v>16</v>
      </c>
      <c r="B12" s="22" t="s">
        <v>239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5" x14ac:dyDescent="0.45">
      <c r="A13" s="21" t="s">
        <v>17</v>
      </c>
      <c r="B13" s="22" t="s">
        <v>240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5" x14ac:dyDescent="0.45">
      <c r="A14" s="21" t="s">
        <v>18</v>
      </c>
      <c r="B14" s="22" t="s">
        <v>241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5" x14ac:dyDescent="0.45">
      <c r="A15" s="21" t="s">
        <v>19</v>
      </c>
      <c r="B15" s="22" t="s">
        <v>264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5" x14ac:dyDescent="0.45">
      <c r="A16" s="21" t="s">
        <v>20</v>
      </c>
      <c r="B16" s="22" t="s">
        <v>242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5" x14ac:dyDescent="0.45">
      <c r="A17" s="21" t="s">
        <v>21</v>
      </c>
      <c r="B17" s="22" t="s">
        <v>243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5" x14ac:dyDescent="0.45">
      <c r="A18" s="21" t="s">
        <v>22</v>
      </c>
      <c r="B18" s="22" t="s">
        <v>222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5" x14ac:dyDescent="0.45">
      <c r="A19" s="21" t="s">
        <v>23</v>
      </c>
      <c r="B19" s="22" t="s">
        <v>244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5" x14ac:dyDescent="0.45">
      <c r="A20" s="21" t="s">
        <v>24</v>
      </c>
      <c r="B20" s="22" t="s">
        <v>245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5" x14ac:dyDescent="0.45">
      <c r="A21" s="21" t="s">
        <v>25</v>
      </c>
      <c r="B21" s="22" t="s">
        <v>246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5" x14ac:dyDescent="0.45">
      <c r="A22" s="21" t="s">
        <v>26</v>
      </c>
      <c r="B22" s="22" t="s">
        <v>247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5" x14ac:dyDescent="0.45">
      <c r="A23" s="21" t="s">
        <v>27</v>
      </c>
      <c r="B23" s="22" t="s">
        <v>248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5" x14ac:dyDescent="0.45">
      <c r="A24" s="21" t="s">
        <v>28</v>
      </c>
      <c r="B24" s="22" t="s">
        <v>249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5" x14ac:dyDescent="0.45">
      <c r="A25" s="21" t="s">
        <v>29</v>
      </c>
      <c r="B25" s="22" t="s">
        <v>250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5" x14ac:dyDescent="0.45">
      <c r="A26" s="21" t="s">
        <v>30</v>
      </c>
      <c r="B26" s="22" t="s">
        <v>251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5" x14ac:dyDescent="0.45">
      <c r="A27" s="21" t="s">
        <v>31</v>
      </c>
      <c r="B27" s="22" t="s">
        <v>252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5" x14ac:dyDescent="0.45">
      <c r="A28" s="21" t="s">
        <v>32</v>
      </c>
      <c r="B28" s="22" t="s">
        <v>265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5" x14ac:dyDescent="0.45">
      <c r="A29" s="21" t="s">
        <v>33</v>
      </c>
      <c r="B29" s="22" t="s">
        <v>266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5" x14ac:dyDescent="0.45">
      <c r="A30" s="21" t="s">
        <v>34</v>
      </c>
      <c r="B30" s="22" t="s">
        <v>254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5" x14ac:dyDescent="0.45">
      <c r="A31" s="21" t="s">
        <v>35</v>
      </c>
      <c r="B31" s="22" t="s">
        <v>256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5" x14ac:dyDescent="0.45">
      <c r="A32" s="21" t="s">
        <v>36</v>
      </c>
      <c r="B32" s="22" t="s">
        <v>267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5" x14ac:dyDescent="0.45">
      <c r="A33" s="21" t="s">
        <v>37</v>
      </c>
      <c r="B33" s="22" t="s">
        <v>257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5" x14ac:dyDescent="0.45">
      <c r="A34" s="21" t="s">
        <v>38</v>
      </c>
      <c r="B34" s="22" t="s">
        <v>258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5" x14ac:dyDescent="0.45">
      <c r="A35" s="21" t="s">
        <v>39</v>
      </c>
      <c r="B35" s="22" t="s">
        <v>268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5" x14ac:dyDescent="0.45">
      <c r="A36" s="21" t="s">
        <v>40</v>
      </c>
      <c r="B36" s="22" t="s">
        <v>261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5" x14ac:dyDescent="0.45">
      <c r="A37" s="21" t="s">
        <v>41</v>
      </c>
      <c r="B37" s="22" t="s">
        <v>262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4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" thickBot="1" x14ac:dyDescent="0.4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4">
      <c r="AX40" s="44"/>
      <c r="AY40" s="44"/>
      <c r="AZ40" s="44"/>
      <c r="BA40" s="45"/>
    </row>
    <row r="41" spans="1:55" ht="16" x14ac:dyDescent="0.4">
      <c r="AX41" s="44"/>
      <c r="AY41" s="44"/>
      <c r="AZ41" s="44"/>
      <c r="BA41" s="45"/>
    </row>
    <row r="42" spans="1:55" ht="16" x14ac:dyDescent="0.4">
      <c r="AX42" s="44"/>
      <c r="AY42" s="44"/>
      <c r="AZ42" s="44"/>
      <c r="BA42" s="45"/>
    </row>
    <row r="43" spans="1:55" ht="16" x14ac:dyDescent="0.4">
      <c r="AX43" s="44"/>
      <c r="AY43" s="44"/>
      <c r="AZ43" s="44"/>
      <c r="BA43" s="45"/>
    </row>
    <row r="44" spans="1:55" ht="16" x14ac:dyDescent="0.4">
      <c r="AX44" s="44"/>
      <c r="AY44" s="44"/>
      <c r="AZ44" s="44"/>
      <c r="BA44" s="45"/>
    </row>
    <row r="45" spans="1:55" ht="16" x14ac:dyDescent="0.4">
      <c r="AX45" s="44"/>
      <c r="AY45" s="44"/>
      <c r="AZ45" s="44"/>
      <c r="BA45" s="45"/>
    </row>
    <row r="46" spans="1:55" ht="16" x14ac:dyDescent="0.4">
      <c r="AX46" s="44"/>
      <c r="AY46" s="44"/>
      <c r="AZ46" s="44"/>
      <c r="BA46" s="45"/>
    </row>
    <row r="47" spans="1:55" ht="16" x14ac:dyDescent="0.4">
      <c r="AX47" s="44"/>
      <c r="AY47" s="44"/>
      <c r="AZ47" s="44"/>
      <c r="BA47" s="45"/>
    </row>
    <row r="48" spans="1:55" ht="16" x14ac:dyDescent="0.4">
      <c r="AX48" s="44"/>
      <c r="AY48" s="44"/>
      <c r="AZ48" s="44"/>
      <c r="BA48" s="45"/>
    </row>
    <row r="49" spans="50:53" ht="16" x14ac:dyDescent="0.4">
      <c r="AX49" s="44"/>
      <c r="AY49" s="44"/>
      <c r="AZ49" s="44"/>
      <c r="BA49" s="45"/>
    </row>
    <row r="50" spans="50:53" ht="16" x14ac:dyDescent="0.4">
      <c r="AX50" s="44"/>
      <c r="AY50" s="44"/>
      <c r="AZ50" s="44"/>
      <c r="BA50" s="45"/>
    </row>
    <row r="51" spans="50:53" ht="16" x14ac:dyDescent="0.4">
      <c r="AX51" s="44"/>
      <c r="AY51" s="44"/>
      <c r="AZ51" s="44"/>
      <c r="BA51" s="45"/>
    </row>
    <row r="52" spans="50:53" ht="16" x14ac:dyDescent="0.4">
      <c r="AX52" s="44"/>
      <c r="AY52" s="44"/>
      <c r="AZ52" s="44"/>
      <c r="BA52" s="45"/>
    </row>
    <row r="53" spans="50:53" ht="16" x14ac:dyDescent="0.4">
      <c r="AX53" s="44"/>
      <c r="AY53" s="44"/>
      <c r="AZ53" s="44"/>
      <c r="BA53" s="45"/>
    </row>
    <row r="54" spans="50:53" ht="16" x14ac:dyDescent="0.4">
      <c r="AX54" s="44"/>
      <c r="AY54" s="44"/>
      <c r="AZ54" s="44"/>
      <c r="BA54" s="45"/>
    </row>
    <row r="55" spans="50:53" ht="16" x14ac:dyDescent="0.4">
      <c r="AX55" s="44"/>
      <c r="AY55" s="44"/>
      <c r="AZ55" s="44"/>
      <c r="BA55" s="45"/>
    </row>
    <row r="56" spans="50:53" ht="16" x14ac:dyDescent="0.4">
      <c r="AX56" s="44"/>
      <c r="AY56" s="44"/>
      <c r="AZ56" s="44"/>
      <c r="BA56" s="45"/>
    </row>
    <row r="57" spans="50:53" ht="16" x14ac:dyDescent="0.4">
      <c r="AX57" s="44"/>
      <c r="AY57" s="44"/>
      <c r="AZ57" s="44"/>
      <c r="BA57" s="45"/>
    </row>
    <row r="58" spans="50:53" ht="16" x14ac:dyDescent="0.4">
      <c r="AX58" s="44"/>
      <c r="AY58" s="44"/>
      <c r="AZ58" s="44"/>
      <c r="BA58" s="45"/>
    </row>
    <row r="59" spans="50:53" ht="16" x14ac:dyDescent="0.4">
      <c r="AX59" s="44"/>
      <c r="AY59" s="44"/>
      <c r="AZ59" s="44"/>
      <c r="BA59" s="45"/>
    </row>
    <row r="60" spans="50:53" ht="16" x14ac:dyDescent="0.4">
      <c r="AX60" s="44"/>
      <c r="AY60" s="44"/>
      <c r="AZ60" s="44"/>
      <c r="BA60" s="45"/>
    </row>
    <row r="61" spans="50:53" ht="16" x14ac:dyDescent="0.4">
      <c r="AX61" s="44"/>
      <c r="AY61" s="44"/>
      <c r="AZ61" s="44"/>
      <c r="BA61" s="45"/>
    </row>
    <row r="62" spans="50:53" ht="16" x14ac:dyDescent="0.4">
      <c r="AX62" s="44"/>
      <c r="AY62" s="44"/>
      <c r="AZ62" s="44"/>
      <c r="BA62" s="45"/>
    </row>
    <row r="63" spans="50:53" ht="16" x14ac:dyDescent="0.4">
      <c r="AX63" s="44"/>
      <c r="AY63" s="44"/>
      <c r="AZ63" s="44"/>
      <c r="BA63" s="45"/>
    </row>
    <row r="64" spans="50:53" ht="16" x14ac:dyDescent="0.4">
      <c r="AX64" s="44"/>
      <c r="AY64" s="44"/>
      <c r="AZ64" s="44"/>
      <c r="BA64" s="45"/>
    </row>
    <row r="65" spans="50:53" ht="16" x14ac:dyDescent="0.4">
      <c r="AX65" s="44"/>
      <c r="AY65" s="44"/>
      <c r="AZ65" s="44"/>
      <c r="BA65" s="45"/>
    </row>
    <row r="66" spans="50:53" ht="16" x14ac:dyDescent="0.4">
      <c r="AX66" s="44"/>
      <c r="AY66" s="44"/>
      <c r="AZ66" s="44"/>
      <c r="BA66" s="45"/>
    </row>
    <row r="67" spans="50:53" ht="16" x14ac:dyDescent="0.4">
      <c r="AX67" s="44"/>
      <c r="AY67" s="44"/>
      <c r="AZ67" s="44"/>
      <c r="BA67" s="45"/>
    </row>
    <row r="68" spans="50:53" ht="16" x14ac:dyDescent="0.4">
      <c r="AX68" s="44"/>
      <c r="AY68" s="44"/>
      <c r="AZ68" s="44"/>
      <c r="BA68" s="45"/>
    </row>
    <row r="69" spans="50:53" ht="16" x14ac:dyDescent="0.4">
      <c r="AX69" s="44"/>
      <c r="AY69" s="44"/>
      <c r="AZ69" s="44"/>
      <c r="BA69" s="45"/>
    </row>
    <row r="70" spans="50:53" ht="16" x14ac:dyDescent="0.4">
      <c r="AX70" s="44"/>
      <c r="AY70" s="44"/>
      <c r="AZ70" s="44"/>
      <c r="BA70" s="45"/>
    </row>
    <row r="71" spans="50:53" ht="16" x14ac:dyDescent="0.4">
      <c r="AX71" s="44"/>
      <c r="AY71" s="44"/>
      <c r="AZ71" s="44"/>
      <c r="BA71" s="45"/>
    </row>
    <row r="72" spans="50:53" ht="16" x14ac:dyDescent="0.4">
      <c r="AX72" s="44"/>
      <c r="AY72" s="44"/>
      <c r="AZ72" s="44"/>
      <c r="BA72" s="45"/>
    </row>
    <row r="73" spans="50:53" ht="16" x14ac:dyDescent="0.4">
      <c r="AX73" s="44"/>
      <c r="AY73" s="44"/>
      <c r="AZ73" s="44"/>
      <c r="BA73" s="45"/>
    </row>
    <row r="74" spans="50:53" ht="16" x14ac:dyDescent="0.4">
      <c r="AX74" s="44"/>
      <c r="AY74" s="44"/>
      <c r="AZ74" s="44"/>
      <c r="BA74" s="45"/>
    </row>
    <row r="75" spans="50:53" ht="16" x14ac:dyDescent="0.4">
      <c r="AX75" s="44"/>
      <c r="AY75" s="44"/>
      <c r="AZ75" s="44"/>
      <c r="BA75" s="45"/>
    </row>
    <row r="76" spans="50:53" ht="16" x14ac:dyDescent="0.4">
      <c r="AX76" s="44"/>
      <c r="AY76" s="44"/>
      <c r="AZ76" s="44"/>
      <c r="BA76" s="45"/>
    </row>
    <row r="77" spans="50:53" ht="16" x14ac:dyDescent="0.4">
      <c r="AX77" s="44"/>
      <c r="AY77" s="44"/>
      <c r="AZ77" s="44"/>
      <c r="BA77" s="45"/>
    </row>
    <row r="79" spans="50:53" x14ac:dyDescent="0.3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 xr:uid="{00000000-0002-0000-0100-000000000000}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C6" sqref="C6"/>
    </sheetView>
  </sheetViews>
  <sheetFormatPr baseColWidth="10" defaultRowHeight="14.5" x14ac:dyDescent="0.35"/>
  <cols>
    <col min="1" max="1" width="19.1796875" bestFit="1" customWidth="1"/>
    <col min="2" max="2" width="19.1796875" customWidth="1"/>
    <col min="3" max="3" width="16.54296875" bestFit="1" customWidth="1"/>
    <col min="4" max="4" width="15" bestFit="1" customWidth="1"/>
    <col min="5" max="5" width="16.81640625" bestFit="1" customWidth="1"/>
    <col min="7" max="7" width="15" bestFit="1" customWidth="1"/>
    <col min="9" max="9" width="17.54296875" customWidth="1"/>
  </cols>
  <sheetData>
    <row r="1" spans="1:10" ht="26" x14ac:dyDescent="0.6">
      <c r="C1" s="127" t="s">
        <v>88</v>
      </c>
      <c r="D1" s="121"/>
      <c r="E1" s="121"/>
      <c r="H1" s="127" t="s">
        <v>107</v>
      </c>
      <c r="I1" s="121"/>
      <c r="J1" s="121"/>
    </row>
    <row r="2" spans="1:10" ht="15.5" x14ac:dyDescent="0.35">
      <c r="A2" s="18" t="s">
        <v>4</v>
      </c>
      <c r="B2" s="18"/>
      <c r="C2" s="128">
        <v>2022</v>
      </c>
      <c r="D2" s="121"/>
      <c r="E2" s="121"/>
      <c r="H2" s="128">
        <v>2022</v>
      </c>
      <c r="I2" s="121"/>
      <c r="J2" s="121"/>
    </row>
    <row r="3" spans="1:10" ht="15.5" x14ac:dyDescent="0.35">
      <c r="A3" s="18"/>
      <c r="B3" s="18"/>
      <c r="C3" s="18"/>
      <c r="D3" s="18"/>
      <c r="E3" s="18"/>
    </row>
    <row r="4" spans="1:10" ht="15.5" x14ac:dyDescent="0.3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7.5" x14ac:dyDescent="0.35">
      <c r="A5" s="18" t="s">
        <v>92</v>
      </c>
      <c r="E5" s="19">
        <f>14283661-6017000</f>
        <v>8266661</v>
      </c>
    </row>
    <row r="6" spans="1:10" ht="17.5" x14ac:dyDescent="0.3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7.5" x14ac:dyDescent="0.3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7.5" x14ac:dyDescent="0.3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7.5" x14ac:dyDescent="0.3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7.5" x14ac:dyDescent="0.3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7.5" x14ac:dyDescent="0.3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7.5" x14ac:dyDescent="0.3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7.5" x14ac:dyDescent="0.3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7.5" x14ac:dyDescent="0.3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7.5" x14ac:dyDescent="0.3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7.5" x14ac:dyDescent="0.3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7.5" x14ac:dyDescent="0.3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3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83"/>
  <sheetViews>
    <sheetView zoomScale="96" zoomScaleNormal="96" workbookViewId="0">
      <pane xSplit="4" ySplit="5" topLeftCell="X6" activePane="bottomRight" state="frozen"/>
      <selection pane="topRight" activeCell="E1" sqref="E1"/>
      <selection pane="bottomLeft" activeCell="A6" sqref="A6"/>
      <selection pane="bottomRight" activeCell="AA6" activeCellId="1" sqref="T6:T36 AA6:AA36 AF6:AF36 AP6:AP3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8" width="16.26953125" customWidth="1"/>
    <col min="9" max="9" width="14.1796875" bestFit="1" customWidth="1"/>
    <col min="10" max="10" width="15" bestFit="1" customWidth="1"/>
    <col min="11" max="11" width="15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8" width="16" customWidth="1"/>
    <col min="19" max="19" width="20.2695312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3" width="16.1796875" customWidth="1"/>
    <col min="35" max="40" width="16" customWidth="1"/>
    <col min="41" max="41" width="15.26953125" customWidth="1"/>
    <col min="45" max="45" width="12.453125" bestFit="1" customWidth="1"/>
    <col min="46" max="46" width="17.26953125" customWidth="1"/>
    <col min="49" max="51" width="15" customWidth="1"/>
    <col min="52" max="52" width="15" bestFit="1" customWidth="1"/>
    <col min="54" max="55" width="12.453125" customWidth="1"/>
    <col min="56" max="56" width="15" bestFit="1" customWidth="1"/>
    <col min="58" max="58" width="15" bestFit="1" customWidth="1"/>
    <col min="66" max="66" width="28.7265625" bestFit="1" customWidth="1"/>
    <col min="67" max="67" width="28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2022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>
        <v>66</v>
      </c>
      <c r="BO3" s="2"/>
      <c r="BP3" s="1"/>
      <c r="BQ3" s="2"/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46</v>
      </c>
      <c r="J5" s="4" t="s">
        <v>66</v>
      </c>
      <c r="K5" s="4" t="s">
        <v>68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67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110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111</v>
      </c>
      <c r="AJ5" s="4" t="s">
        <v>53</v>
      </c>
      <c r="AK5" s="4" t="s">
        <v>54</v>
      </c>
      <c r="AL5" s="4" t="s">
        <v>112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80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60" t="s">
        <v>74</v>
      </c>
      <c r="BO5" s="60" t="s">
        <v>146</v>
      </c>
      <c r="BP5" s="1" t="s">
        <v>154</v>
      </c>
    </row>
    <row r="6" spans="1:69" ht="18.5" x14ac:dyDescent="0.45">
      <c r="A6" s="1" t="s">
        <v>108</v>
      </c>
      <c r="B6" s="1" t="s">
        <v>3</v>
      </c>
      <c r="C6" s="5">
        <f>D6+E6+F6-U6-BB6</f>
        <v>0</v>
      </c>
      <c r="D6" s="9">
        <v>100000</v>
      </c>
      <c r="E6" s="9">
        <v>0</v>
      </c>
      <c r="F6" s="9">
        <v>0</v>
      </c>
      <c r="G6" s="5">
        <f t="shared" ref="G6:G36" si="0">IF(H6="ESPECES",3000,0)</f>
        <v>0</v>
      </c>
      <c r="H6" s="10" t="str">
        <f t="shared" ref="H6:H36" si="1">IF($D6&lt;&gt;0,"BANQUE",IF($E6&lt;&gt;0,"ESPECES","ECHEC"))</f>
        <v>BANQUE</v>
      </c>
      <c r="I6" s="11"/>
      <c r="J6" s="11">
        <f t="shared" ref="J6:J36" si="2">IF($D6&lt;&gt;0,I6*30000,IF($E6&lt;&gt;0,I6*30000,0))</f>
        <v>0</v>
      </c>
      <c r="K6" s="11"/>
      <c r="L6" s="6"/>
      <c r="M6" s="11">
        <f t="shared" ref="M6:M36" si="3">IF($D6&lt;&gt;0,L6*75000,IF($E6&lt;&gt;0,L6*75000,0))</f>
        <v>0</v>
      </c>
      <c r="N6" s="6">
        <v>1</v>
      </c>
      <c r="O6" s="11">
        <f t="shared" ref="O6:O36" si="4">IF($D6&lt;&gt;0,N6*100000,IF($E6&lt;&gt;0,N6*100000,0))</f>
        <v>100000</v>
      </c>
      <c r="P6" s="20"/>
      <c r="Q6" s="2"/>
      <c r="R6" s="2">
        <v>0</v>
      </c>
      <c r="S6" s="20"/>
      <c r="T6" s="12"/>
      <c r="U6" s="17">
        <f>G6+S6++R6+P6+O6+M6+K6+J6+Q6+V6+W6</f>
        <v>100000</v>
      </c>
      <c r="V6" s="12"/>
      <c r="W6" s="12"/>
      <c r="X6" s="12"/>
      <c r="Y6" s="12"/>
      <c r="Z6" s="12"/>
      <c r="AA6" s="12"/>
      <c r="AB6" s="12"/>
      <c r="AC6" s="12"/>
      <c r="AD6" s="12"/>
      <c r="AE6" s="12">
        <v>100000</v>
      </c>
      <c r="AF6" s="12" t="s">
        <v>8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5">IF(H6="ECHEC",((J6+M6+O6)*20/100),0)</f>
        <v>0</v>
      </c>
      <c r="AR6" s="8">
        <f t="shared" ref="AR6:AR36" si="6">IF(H6="ECHEC",((J6+M6+O6)*20/100),0)</f>
        <v>0</v>
      </c>
      <c r="AS6" s="13"/>
      <c r="AV6" s="15"/>
      <c r="AW6" s="15">
        <f>IF(AC6=0,AI6,(1*23000*13)+(1000+AI6)-AC6)</f>
        <v>0</v>
      </c>
      <c r="AX6" s="15">
        <f>IF(AD6=0,AJ6,(1*75000*16)+(AJ6)-AD6)</f>
        <v>0</v>
      </c>
      <c r="AY6" s="15">
        <f>IF(AE6=0,AK6,(1*100000*13)+(AK6)-AE6)</f>
        <v>1200000</v>
      </c>
      <c r="AZ6" s="16">
        <f>SUM(AV6:AY6)-BF6+Z6-F6+BH6+BI6+BJ6+BK6</f>
        <v>1206000</v>
      </c>
      <c r="BA6" s="58"/>
      <c r="BB6" s="58"/>
      <c r="BC6" s="15"/>
      <c r="BD6" s="57">
        <f>IF(AZ6=0,(AZ6-BA6-BC6),(AZ6-BA6-BB6-BC6))</f>
        <v>1206000</v>
      </c>
      <c r="BF6" s="29">
        <f>Z6*1/100*BG6</f>
        <v>0</v>
      </c>
      <c r="BG6">
        <v>0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5" x14ac:dyDescent="0.45">
      <c r="A7" s="1" t="s">
        <v>12</v>
      </c>
      <c r="B7" s="1" t="s">
        <v>235</v>
      </c>
      <c r="C7" s="5">
        <f t="shared" ref="C7:C36" si="7">D7+E7+F7-U7-BB7</f>
        <v>0</v>
      </c>
      <c r="D7" s="9">
        <v>105000</v>
      </c>
      <c r="E7" s="9">
        <v>0</v>
      </c>
      <c r="F7" s="9">
        <v>0</v>
      </c>
      <c r="G7" s="5">
        <f t="shared" si="0"/>
        <v>0</v>
      </c>
      <c r="H7" s="10" t="str">
        <f t="shared" si="1"/>
        <v>BANQUE</v>
      </c>
      <c r="I7" s="11">
        <v>1</v>
      </c>
      <c r="J7" s="11">
        <f t="shared" si="2"/>
        <v>30000</v>
      </c>
      <c r="K7" s="11"/>
      <c r="L7" s="6">
        <v>1</v>
      </c>
      <c r="M7" s="11">
        <f t="shared" si="3"/>
        <v>75000</v>
      </c>
      <c r="N7" s="6"/>
      <c r="O7" s="11">
        <f t="shared" si="4"/>
        <v>0</v>
      </c>
      <c r="P7" s="2">
        <v>0</v>
      </c>
      <c r="R7" s="2"/>
      <c r="S7" s="20"/>
      <c r="T7" s="12"/>
      <c r="U7" s="17">
        <f t="shared" ref="U7:U36" si="8">G7+S7++R7+P7+O7+M7+K7+J7+Q7+V7+W7</f>
        <v>105000</v>
      </c>
      <c r="V7" s="12"/>
      <c r="W7" s="12"/>
      <c r="X7" s="12"/>
      <c r="Y7" s="12"/>
      <c r="Z7" s="12">
        <v>500000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5"/>
        <v>0</v>
      </c>
      <c r="AR7" s="8">
        <f t="shared" si="6"/>
        <v>0</v>
      </c>
      <c r="AS7" s="13">
        <f t="shared" ref="AS7:AS36" si="9">IF(H7="ECHEC",0,(J7+K7-23000))</f>
        <v>7000</v>
      </c>
      <c r="AT7" s="29">
        <v>20000</v>
      </c>
      <c r="AV7" s="15"/>
      <c r="AW7" s="15">
        <f t="shared" ref="AW7:AW36" si="10">IF(AC7=0,AI7,(1*23000*13)+(1000+AI7)-AC7)</f>
        <v>0</v>
      </c>
      <c r="AX7" s="15">
        <f t="shared" ref="AX7:AX36" si="11">IF(AD7=0,AJ7,(1*75000*16)+(AJ7)-AD7)</f>
        <v>0</v>
      </c>
      <c r="AY7" s="15">
        <f t="shared" ref="AY7:AY36" si="12">IF(AE7=0,AK7,(1*100000*13)+(AK7)-AE7)</f>
        <v>0</v>
      </c>
      <c r="AZ7" s="16">
        <f t="shared" ref="AZ7:AZ36" si="13">SUM(AV7:AY7)-BF7+Z7-F7+BH7+BI7+BJ7+BK7</f>
        <v>490000</v>
      </c>
      <c r="BA7" s="58"/>
      <c r="BB7" s="58"/>
      <c r="BC7" s="15"/>
      <c r="BD7" s="57">
        <f t="shared" ref="BD7:BD36" si="14">IF(AZ7=0,(AZ7-BA7-BC7),(AZ7-BA7-BB7-BC7))</f>
        <v>490000</v>
      </c>
      <c r="BF7" s="29">
        <f t="shared" ref="BF7:BF36" si="15">Z7*1/100*BG7</f>
        <v>10000</v>
      </c>
      <c r="BG7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9" ht="18.5" x14ac:dyDescent="0.45">
      <c r="A8" s="1" t="s">
        <v>13</v>
      </c>
      <c r="B8" s="1" t="s">
        <v>236</v>
      </c>
      <c r="C8" s="5">
        <f t="shared" si="7"/>
        <v>0</v>
      </c>
      <c r="D8" s="9">
        <v>1105000</v>
      </c>
      <c r="E8" s="9">
        <v>0</v>
      </c>
      <c r="F8" s="9">
        <v>0</v>
      </c>
      <c r="G8" s="5">
        <f t="shared" si="0"/>
        <v>0</v>
      </c>
      <c r="H8" s="10" t="str">
        <f t="shared" si="1"/>
        <v>BANQUE</v>
      </c>
      <c r="I8" s="11">
        <v>1</v>
      </c>
      <c r="J8" s="11">
        <f t="shared" si="2"/>
        <v>30000</v>
      </c>
      <c r="K8" s="11"/>
      <c r="L8" s="6">
        <v>1</v>
      </c>
      <c r="M8" s="11">
        <f t="shared" si="3"/>
        <v>75000</v>
      </c>
      <c r="N8" s="6"/>
      <c r="O8" s="11">
        <f t="shared" si="4"/>
        <v>0</v>
      </c>
      <c r="P8" s="2">
        <v>0</v>
      </c>
      <c r="Q8" s="2">
        <v>0</v>
      </c>
      <c r="R8" s="2"/>
      <c r="S8" s="20">
        <f>775000+130000+95000</f>
        <v>1000000</v>
      </c>
      <c r="T8" s="12" t="s">
        <v>8</v>
      </c>
      <c r="U8" s="17">
        <f t="shared" si="8"/>
        <v>1105000</v>
      </c>
      <c r="V8" s="12"/>
      <c r="W8" s="12"/>
      <c r="X8" s="12"/>
      <c r="Y8" s="12"/>
      <c r="Z8" s="12">
        <v>1000000</v>
      </c>
      <c r="AA8" s="12" t="s">
        <v>8</v>
      </c>
      <c r="AB8" s="12"/>
      <c r="AC8" s="12"/>
      <c r="AD8" s="12"/>
      <c r="AE8" s="12"/>
      <c r="AF8" s="12"/>
      <c r="AG8" s="12"/>
      <c r="AI8" s="12"/>
      <c r="AJ8" s="12"/>
      <c r="AK8" s="12"/>
      <c r="AL8" s="12"/>
      <c r="AM8" s="12"/>
      <c r="AN8" s="12"/>
      <c r="AO8" s="12"/>
      <c r="AP8" s="12"/>
      <c r="AQ8" s="8">
        <f t="shared" si="5"/>
        <v>0</v>
      </c>
      <c r="AR8" s="8">
        <f t="shared" si="6"/>
        <v>0</v>
      </c>
      <c r="AS8" s="13">
        <f t="shared" si="9"/>
        <v>7000</v>
      </c>
      <c r="AT8" s="29">
        <v>20000</v>
      </c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880000</v>
      </c>
      <c r="BA8" s="58"/>
      <c r="BB8" s="58"/>
      <c r="BC8" s="15"/>
      <c r="BD8" s="57">
        <f t="shared" si="14"/>
        <v>880000</v>
      </c>
      <c r="BF8" s="29">
        <f t="shared" si="15"/>
        <v>120000</v>
      </c>
      <c r="BG8">
        <v>12</v>
      </c>
      <c r="BH8" s="15"/>
      <c r="BI8" s="15"/>
      <c r="BJ8" s="15"/>
      <c r="BK8" s="15"/>
      <c r="BL8" s="15"/>
      <c r="BM8" s="15"/>
      <c r="BN8" t="s">
        <v>117</v>
      </c>
      <c r="BO8" t="s">
        <v>114</v>
      </c>
      <c r="BP8" s="6"/>
    </row>
    <row r="9" spans="1:69" ht="18.5" x14ac:dyDescent="0.45">
      <c r="A9" s="1" t="s">
        <v>14</v>
      </c>
      <c r="B9" s="1" t="s">
        <v>263</v>
      </c>
      <c r="C9" s="5">
        <f t="shared" si="7"/>
        <v>0</v>
      </c>
      <c r="D9" s="9">
        <v>30000</v>
      </c>
      <c r="E9" s="9">
        <v>0</v>
      </c>
      <c r="F9" s="9">
        <v>0</v>
      </c>
      <c r="G9" s="5">
        <f t="shared" si="0"/>
        <v>0</v>
      </c>
      <c r="H9" s="10" t="str">
        <f t="shared" si="1"/>
        <v>BANQUE</v>
      </c>
      <c r="I9" s="11">
        <v>1</v>
      </c>
      <c r="J9" s="11">
        <f t="shared" si="2"/>
        <v>30000</v>
      </c>
      <c r="K9" s="11"/>
      <c r="L9" s="6"/>
      <c r="M9" s="11">
        <f t="shared" si="3"/>
        <v>0</v>
      </c>
      <c r="N9" s="6"/>
      <c r="O9" s="11">
        <f t="shared" si="4"/>
        <v>0</v>
      </c>
      <c r="P9" s="2">
        <v>0</v>
      </c>
      <c r="Q9" s="2"/>
      <c r="R9" s="2"/>
      <c r="S9" s="20"/>
      <c r="T9" s="12"/>
      <c r="U9" s="17">
        <f t="shared" si="8"/>
        <v>30000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I9" s="12"/>
      <c r="AJ9" s="12"/>
      <c r="AK9" s="12"/>
      <c r="AL9" s="12"/>
      <c r="AM9" s="12"/>
      <c r="AN9" s="12"/>
      <c r="AO9" s="12"/>
      <c r="AP9" s="12"/>
      <c r="AQ9" s="8">
        <f t="shared" si="5"/>
        <v>0</v>
      </c>
      <c r="AR9" s="8">
        <f t="shared" si="6"/>
        <v>0</v>
      </c>
      <c r="AS9" s="13">
        <f t="shared" si="9"/>
        <v>7000</v>
      </c>
      <c r="AT9" s="29">
        <v>20000</v>
      </c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F9" s="29">
        <f t="shared" si="15"/>
        <v>0</v>
      </c>
      <c r="BG9">
        <v>0</v>
      </c>
      <c r="BH9" s="15"/>
      <c r="BI9" s="15"/>
      <c r="BJ9" s="15"/>
      <c r="BK9" s="15"/>
      <c r="BL9" s="15"/>
      <c r="BM9" s="15"/>
      <c r="BN9" t="s">
        <v>147</v>
      </c>
      <c r="BO9" t="s">
        <v>114</v>
      </c>
      <c r="BP9" s="6"/>
    </row>
    <row r="10" spans="1:69" ht="18.5" x14ac:dyDescent="0.45">
      <c r="A10" s="1" t="s">
        <v>15</v>
      </c>
      <c r="B10" s="1" t="s">
        <v>238</v>
      </c>
      <c r="C10" s="5">
        <f t="shared" si="7"/>
        <v>0</v>
      </c>
      <c r="D10" s="9">
        <v>1105000</v>
      </c>
      <c r="E10" s="9">
        <v>0</v>
      </c>
      <c r="F10" s="9">
        <v>0</v>
      </c>
      <c r="G10" s="5">
        <f t="shared" si="0"/>
        <v>0</v>
      </c>
      <c r="H10" s="10" t="str">
        <f t="shared" si="1"/>
        <v>BANQUE</v>
      </c>
      <c r="I10" s="11">
        <v>1</v>
      </c>
      <c r="J10" s="11">
        <f t="shared" si="2"/>
        <v>30000</v>
      </c>
      <c r="K10" s="11"/>
      <c r="L10" s="6">
        <v>1</v>
      </c>
      <c r="M10" s="11">
        <f t="shared" si="3"/>
        <v>75000</v>
      </c>
      <c r="N10" s="6"/>
      <c r="O10" s="11">
        <f t="shared" si="4"/>
        <v>0</v>
      </c>
      <c r="P10" s="2">
        <v>0</v>
      </c>
      <c r="Q10" s="2">
        <v>0</v>
      </c>
      <c r="R10" s="2"/>
      <c r="S10" s="20">
        <f>900000+100000</f>
        <v>1000000</v>
      </c>
      <c r="T10" s="12" t="s">
        <v>8</v>
      </c>
      <c r="U10" s="17">
        <f t="shared" si="8"/>
        <v>1105000</v>
      </c>
      <c r="V10" s="12"/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5"/>
        <v>0</v>
      </c>
      <c r="AR10" s="8">
        <f t="shared" si="6"/>
        <v>0</v>
      </c>
      <c r="AS10" s="13">
        <f t="shared" si="9"/>
        <v>7000</v>
      </c>
      <c r="AT10" s="29">
        <v>20000</v>
      </c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980000</v>
      </c>
      <c r="BA10" s="58"/>
      <c r="BB10" s="58"/>
      <c r="BC10" s="15"/>
      <c r="BD10" s="57">
        <f t="shared" si="14"/>
        <v>980000</v>
      </c>
      <c r="BF10" s="29">
        <f t="shared" si="15"/>
        <v>20000</v>
      </c>
      <c r="BG10">
        <v>2</v>
      </c>
      <c r="BH10" s="15"/>
      <c r="BI10" s="15"/>
      <c r="BJ10" s="15"/>
      <c r="BK10" s="15"/>
      <c r="BL10" s="15"/>
      <c r="BM10" s="15"/>
      <c r="BN10" t="s">
        <v>118</v>
      </c>
      <c r="BO10" t="s">
        <v>114</v>
      </c>
      <c r="BP10" s="6"/>
    </row>
    <row r="11" spans="1:69" ht="18.5" x14ac:dyDescent="0.45">
      <c r="A11" s="1" t="s">
        <v>16</v>
      </c>
      <c r="B11" s="1" t="s">
        <v>239</v>
      </c>
      <c r="C11" s="5">
        <f t="shared" si="7"/>
        <v>0</v>
      </c>
      <c r="D11" s="9">
        <v>215000</v>
      </c>
      <c r="E11" s="9">
        <v>0</v>
      </c>
      <c r="F11" s="9">
        <v>0</v>
      </c>
      <c r="G11" s="5">
        <f t="shared" si="0"/>
        <v>0</v>
      </c>
      <c r="H11" s="10" t="str">
        <f t="shared" si="1"/>
        <v>BANQUE</v>
      </c>
      <c r="I11" s="11">
        <v>1</v>
      </c>
      <c r="J11" s="11">
        <f t="shared" si="2"/>
        <v>30000</v>
      </c>
      <c r="K11" s="11">
        <v>1000</v>
      </c>
      <c r="L11" s="6">
        <v>1</v>
      </c>
      <c r="M11" s="11">
        <f t="shared" si="3"/>
        <v>75000</v>
      </c>
      <c r="N11" s="6">
        <v>1</v>
      </c>
      <c r="O11" s="11">
        <f t="shared" si="4"/>
        <v>100000</v>
      </c>
      <c r="P11" s="2">
        <v>0</v>
      </c>
      <c r="Q11" s="2">
        <v>0</v>
      </c>
      <c r="R11" s="2">
        <v>0</v>
      </c>
      <c r="S11" s="20"/>
      <c r="T11" s="12"/>
      <c r="U11" s="17">
        <f t="shared" si="8"/>
        <v>206000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5"/>
        <v>0</v>
      </c>
      <c r="AR11" s="8">
        <f t="shared" si="6"/>
        <v>0</v>
      </c>
      <c r="AS11" s="13">
        <f t="shared" si="9"/>
        <v>8000</v>
      </c>
      <c r="AT11" s="29">
        <v>20000</v>
      </c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3"/>
        <v>940000</v>
      </c>
      <c r="BA11" s="58"/>
      <c r="BB11" s="58">
        <v>9000</v>
      </c>
      <c r="BC11" s="15"/>
      <c r="BD11" s="57">
        <f t="shared" si="14"/>
        <v>931000</v>
      </c>
      <c r="BF11" s="29">
        <f t="shared" si="15"/>
        <v>60000</v>
      </c>
      <c r="BG11">
        <v>6</v>
      </c>
      <c r="BH11" s="15"/>
      <c r="BI11" s="15"/>
      <c r="BJ11" s="15"/>
      <c r="BK11" s="15"/>
      <c r="BL11" s="15"/>
      <c r="BM11" s="15"/>
      <c r="BN11" t="s">
        <v>119</v>
      </c>
      <c r="BO11" t="s">
        <v>114</v>
      </c>
      <c r="BP11" s="6"/>
    </row>
    <row r="12" spans="1:69" ht="18.5" x14ac:dyDescent="0.45">
      <c r="A12" s="1" t="s">
        <v>17</v>
      </c>
      <c r="B12" s="1" t="s">
        <v>240</v>
      </c>
      <c r="C12" s="5">
        <f t="shared" si="7"/>
        <v>0</v>
      </c>
      <c r="D12" s="9">
        <v>1035000</v>
      </c>
      <c r="E12" s="9">
        <v>0</v>
      </c>
      <c r="F12" s="9">
        <v>0</v>
      </c>
      <c r="G12" s="5">
        <f t="shared" si="0"/>
        <v>0</v>
      </c>
      <c r="H12" s="10" t="str">
        <f t="shared" si="1"/>
        <v>BANQUE</v>
      </c>
      <c r="I12" s="11">
        <v>1</v>
      </c>
      <c r="J12" s="11">
        <f t="shared" si="2"/>
        <v>30000</v>
      </c>
      <c r="K12" s="11">
        <v>5000</v>
      </c>
      <c r="L12" s="6"/>
      <c r="M12" s="11">
        <f t="shared" si="3"/>
        <v>0</v>
      </c>
      <c r="N12" s="6"/>
      <c r="O12" s="11">
        <f t="shared" si="4"/>
        <v>0</v>
      </c>
      <c r="P12" s="2">
        <v>0</v>
      </c>
      <c r="Q12" s="2"/>
      <c r="R12" s="2"/>
      <c r="S12" s="20">
        <v>1000000</v>
      </c>
      <c r="T12" s="12" t="s">
        <v>8</v>
      </c>
      <c r="U12" s="17">
        <f t="shared" si="8"/>
        <v>1035000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5"/>
        <v>0</v>
      </c>
      <c r="AR12" s="8">
        <f t="shared" si="6"/>
        <v>0</v>
      </c>
      <c r="AS12" s="13">
        <f t="shared" si="9"/>
        <v>12000</v>
      </c>
      <c r="AT12" s="29">
        <v>20000</v>
      </c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880000</v>
      </c>
      <c r="BA12" s="58"/>
      <c r="BB12" s="58"/>
      <c r="BC12" s="15"/>
      <c r="BD12" s="57">
        <f t="shared" si="14"/>
        <v>880000</v>
      </c>
      <c r="BF12" s="29">
        <f t="shared" si="15"/>
        <v>120000</v>
      </c>
      <c r="BG12">
        <v>12</v>
      </c>
      <c r="BH12" s="15"/>
      <c r="BI12" s="15"/>
      <c r="BJ12" s="15"/>
      <c r="BK12" s="15"/>
      <c r="BL12" s="15"/>
      <c r="BM12" s="15"/>
      <c r="BN12" t="s">
        <v>120</v>
      </c>
      <c r="BO12" t="s">
        <v>114</v>
      </c>
      <c r="BP12" s="6"/>
    </row>
    <row r="13" spans="1:69" ht="18.5" x14ac:dyDescent="0.45">
      <c r="A13" s="1" t="s">
        <v>18</v>
      </c>
      <c r="B13" s="1" t="s">
        <v>241</v>
      </c>
      <c r="C13" s="5">
        <f t="shared" si="7"/>
        <v>0</v>
      </c>
      <c r="D13" s="9">
        <v>35000</v>
      </c>
      <c r="E13" s="9">
        <v>0</v>
      </c>
      <c r="F13" s="9">
        <v>0</v>
      </c>
      <c r="G13" s="5">
        <f t="shared" si="0"/>
        <v>0</v>
      </c>
      <c r="H13" s="10" t="str">
        <f t="shared" si="1"/>
        <v>BANQUE</v>
      </c>
      <c r="I13" s="11">
        <v>1</v>
      </c>
      <c r="J13" s="11">
        <f t="shared" si="2"/>
        <v>30000</v>
      </c>
      <c r="K13" s="11">
        <v>5000</v>
      </c>
      <c r="L13" s="6"/>
      <c r="M13" s="11">
        <f t="shared" si="3"/>
        <v>0</v>
      </c>
      <c r="N13" s="6"/>
      <c r="O13" s="11">
        <f t="shared" si="4"/>
        <v>0</v>
      </c>
      <c r="P13" s="2">
        <v>0</v>
      </c>
      <c r="Q13" s="2"/>
      <c r="R13" s="2"/>
      <c r="S13" s="20"/>
      <c r="T13" s="12"/>
      <c r="U13" s="17">
        <f t="shared" si="8"/>
        <v>35000</v>
      </c>
      <c r="V13" s="12"/>
      <c r="W13" s="12"/>
      <c r="X13" s="12"/>
      <c r="Y13" s="12"/>
      <c r="Z13" s="12"/>
      <c r="AA13" s="12"/>
      <c r="AB13" s="12"/>
      <c r="AC13" s="12">
        <v>23000</v>
      </c>
      <c r="AD13" s="12"/>
      <c r="AE13" s="12"/>
      <c r="AF13" s="12" t="s">
        <v>8</v>
      </c>
      <c r="AG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5"/>
        <v>0</v>
      </c>
      <c r="AR13" s="8">
        <f t="shared" si="6"/>
        <v>0</v>
      </c>
      <c r="AS13" s="13">
        <f t="shared" si="9"/>
        <v>12000</v>
      </c>
      <c r="AT13" s="29">
        <v>20000</v>
      </c>
      <c r="AV13" s="15"/>
      <c r="AW13" s="15">
        <f t="shared" si="10"/>
        <v>277000</v>
      </c>
      <c r="AX13" s="15">
        <f t="shared" si="11"/>
        <v>0</v>
      </c>
      <c r="AY13" s="15">
        <f t="shared" si="12"/>
        <v>0</v>
      </c>
      <c r="AZ13" s="16">
        <f t="shared" si="13"/>
        <v>277000</v>
      </c>
      <c r="BA13" s="58"/>
      <c r="BB13" s="58"/>
      <c r="BC13" s="15"/>
      <c r="BD13" s="57">
        <f t="shared" si="14"/>
        <v>277000</v>
      </c>
      <c r="BF13" s="29">
        <f t="shared" si="15"/>
        <v>0</v>
      </c>
      <c r="BG13">
        <v>0</v>
      </c>
      <c r="BH13" s="15"/>
      <c r="BI13" s="15"/>
      <c r="BJ13" s="15"/>
      <c r="BK13" s="15"/>
      <c r="BL13" s="15"/>
      <c r="BM13" s="15"/>
      <c r="BN13" t="s">
        <v>145</v>
      </c>
      <c r="BO13" t="s">
        <v>114</v>
      </c>
      <c r="BP13" s="6">
        <v>6000</v>
      </c>
    </row>
    <row r="14" spans="1:69" ht="18.5" x14ac:dyDescent="0.45">
      <c r="A14" s="1" t="s">
        <v>19</v>
      </c>
      <c r="B14" s="1" t="s">
        <v>264</v>
      </c>
      <c r="C14" s="5">
        <f t="shared" si="7"/>
        <v>0</v>
      </c>
      <c r="D14" s="9">
        <v>0</v>
      </c>
      <c r="E14" s="9">
        <v>0</v>
      </c>
      <c r="F14" s="9">
        <v>0</v>
      </c>
      <c r="G14" s="5">
        <f t="shared" si="0"/>
        <v>0</v>
      </c>
      <c r="H14" s="10" t="str">
        <f t="shared" si="1"/>
        <v>ECHEC</v>
      </c>
      <c r="I14" s="11"/>
      <c r="J14" s="11">
        <f t="shared" si="2"/>
        <v>0</v>
      </c>
      <c r="K14" s="11"/>
      <c r="L14" s="6"/>
      <c r="M14" s="11">
        <f t="shared" si="3"/>
        <v>0</v>
      </c>
      <c r="N14" s="6"/>
      <c r="O14" s="11">
        <f t="shared" si="4"/>
        <v>0</v>
      </c>
      <c r="P14" s="2"/>
      <c r="Q14" s="2"/>
      <c r="R14" s="2"/>
      <c r="S14" s="20"/>
      <c r="T14" s="12"/>
      <c r="U14" s="17">
        <f t="shared" si="8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5"/>
        <v>0</v>
      </c>
      <c r="AR14" s="8">
        <f t="shared" si="6"/>
        <v>0</v>
      </c>
      <c r="AS14" s="13">
        <f t="shared" si="9"/>
        <v>0</v>
      </c>
      <c r="AT14" s="29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F14" s="29">
        <f t="shared" si="15"/>
        <v>0</v>
      </c>
      <c r="BG14">
        <v>0</v>
      </c>
      <c r="BH14" s="15"/>
      <c r="BI14" s="15"/>
      <c r="BJ14" s="15"/>
      <c r="BK14" s="15"/>
      <c r="BL14" s="15"/>
      <c r="BM14" s="15"/>
      <c r="BN14" t="s">
        <v>122</v>
      </c>
      <c r="BO14" t="s">
        <v>114</v>
      </c>
      <c r="BP14" s="6"/>
    </row>
    <row r="15" spans="1:69" ht="18.5" x14ac:dyDescent="0.45">
      <c r="A15" s="1" t="s">
        <v>20</v>
      </c>
      <c r="B15" s="1" t="s">
        <v>242</v>
      </c>
      <c r="C15" s="5">
        <f t="shared" si="7"/>
        <v>0</v>
      </c>
      <c r="D15" s="9">
        <v>105000</v>
      </c>
      <c r="E15" s="9">
        <v>0</v>
      </c>
      <c r="F15" s="9">
        <v>0</v>
      </c>
      <c r="G15" s="5">
        <f t="shared" si="0"/>
        <v>0</v>
      </c>
      <c r="H15" s="10" t="str">
        <f t="shared" si="1"/>
        <v>BANQUE</v>
      </c>
      <c r="I15" s="11">
        <v>1</v>
      </c>
      <c r="J15" s="11">
        <f t="shared" si="2"/>
        <v>30000</v>
      </c>
      <c r="K15" s="11"/>
      <c r="L15" s="6">
        <v>1</v>
      </c>
      <c r="M15" s="11">
        <f t="shared" si="3"/>
        <v>75000</v>
      </c>
      <c r="N15" s="6"/>
      <c r="O15" s="11">
        <f t="shared" si="4"/>
        <v>0</v>
      </c>
      <c r="P15" s="2">
        <v>0</v>
      </c>
      <c r="Q15" s="2">
        <v>0</v>
      </c>
      <c r="R15" s="2"/>
      <c r="S15" s="20"/>
      <c r="T15" s="12"/>
      <c r="U15" s="17">
        <f t="shared" si="8"/>
        <v>105000</v>
      </c>
      <c r="V15" s="12"/>
      <c r="W15" s="12"/>
      <c r="X15" s="12"/>
      <c r="Y15" s="12"/>
      <c r="Z15" s="12"/>
      <c r="AA15" s="12"/>
      <c r="AB15" s="12"/>
      <c r="AC15" s="12"/>
      <c r="AD15" s="12">
        <v>75000</v>
      </c>
      <c r="AE15" s="12"/>
      <c r="AF15" s="12" t="s">
        <v>8</v>
      </c>
      <c r="AG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5"/>
        <v>0</v>
      </c>
      <c r="AR15" s="8">
        <f t="shared" si="6"/>
        <v>0</v>
      </c>
      <c r="AS15" s="13">
        <f t="shared" si="9"/>
        <v>7000</v>
      </c>
      <c r="AT15" s="29">
        <v>20000</v>
      </c>
      <c r="AV15" s="15"/>
      <c r="AW15" s="15">
        <f t="shared" si="10"/>
        <v>0</v>
      </c>
      <c r="AX15" s="15">
        <f t="shared" si="11"/>
        <v>1125000</v>
      </c>
      <c r="AY15" s="15">
        <f t="shared" si="12"/>
        <v>0</v>
      </c>
      <c r="AZ15" s="16">
        <f t="shared" si="13"/>
        <v>1125000</v>
      </c>
      <c r="BA15" s="58"/>
      <c r="BB15" s="58"/>
      <c r="BC15" s="15"/>
      <c r="BD15" s="57">
        <f t="shared" si="14"/>
        <v>1125000</v>
      </c>
      <c r="BF15" s="29">
        <f t="shared" si="15"/>
        <v>0</v>
      </c>
      <c r="BG15">
        <v>0</v>
      </c>
      <c r="BH15" s="15"/>
      <c r="BI15" s="15"/>
      <c r="BJ15" s="15"/>
      <c r="BK15" s="15"/>
      <c r="BL15" s="15"/>
      <c r="BM15" s="15"/>
      <c r="BP15" s="6"/>
    </row>
    <row r="16" spans="1:69" ht="18.5" x14ac:dyDescent="0.45">
      <c r="A16" s="1" t="s">
        <v>21</v>
      </c>
      <c r="B16" s="1" t="s">
        <v>243</v>
      </c>
      <c r="C16" s="5">
        <f t="shared" si="7"/>
        <v>0</v>
      </c>
      <c r="D16" s="9">
        <v>1150000</v>
      </c>
      <c r="E16" s="9">
        <v>0</v>
      </c>
      <c r="F16" s="9">
        <v>0</v>
      </c>
      <c r="G16" s="5">
        <f t="shared" si="0"/>
        <v>0</v>
      </c>
      <c r="H16" s="10" t="str">
        <f t="shared" si="1"/>
        <v>BANQUE</v>
      </c>
      <c r="I16" s="11">
        <v>1</v>
      </c>
      <c r="J16" s="11">
        <f t="shared" si="2"/>
        <v>30000</v>
      </c>
      <c r="K16" s="11">
        <v>45000</v>
      </c>
      <c r="L16" s="6">
        <v>1</v>
      </c>
      <c r="M16" s="11">
        <f t="shared" si="3"/>
        <v>75000</v>
      </c>
      <c r="N16" s="6"/>
      <c r="O16" s="11">
        <f t="shared" si="4"/>
        <v>0</v>
      </c>
      <c r="P16" s="2">
        <v>0</v>
      </c>
      <c r="Q16" s="2">
        <v>0</v>
      </c>
      <c r="R16" s="2"/>
      <c r="S16" s="20">
        <v>1000000</v>
      </c>
      <c r="T16" s="12" t="s">
        <v>8</v>
      </c>
      <c r="U16" s="17">
        <f t="shared" si="8"/>
        <v>1150000</v>
      </c>
      <c r="V16" s="12"/>
      <c r="W16" s="12"/>
      <c r="X16" s="12"/>
      <c r="Y16" s="12"/>
      <c r="Z16" s="12">
        <v>1000000</v>
      </c>
      <c r="AA16" s="12" t="s">
        <v>8</v>
      </c>
      <c r="AB16" s="12"/>
      <c r="AC16" s="12"/>
      <c r="AD16" s="12"/>
      <c r="AE16" s="12"/>
      <c r="AF16" s="12"/>
      <c r="AG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5"/>
        <v>0</v>
      </c>
      <c r="AR16" s="8">
        <f t="shared" si="6"/>
        <v>0</v>
      </c>
      <c r="AS16" s="13">
        <f t="shared" si="9"/>
        <v>52000</v>
      </c>
      <c r="AT16" s="29">
        <v>20000</v>
      </c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880000</v>
      </c>
      <c r="BA16" s="58"/>
      <c r="BB16" s="58"/>
      <c r="BC16" s="15"/>
      <c r="BD16" s="57">
        <f t="shared" si="14"/>
        <v>880000</v>
      </c>
      <c r="BF16" s="29">
        <f t="shared" si="15"/>
        <v>120000</v>
      </c>
      <c r="BG16">
        <v>12</v>
      </c>
      <c r="BH16" s="15"/>
      <c r="BI16" s="15"/>
      <c r="BJ16" s="15"/>
      <c r="BK16" s="15"/>
      <c r="BL16" s="15"/>
      <c r="BM16" s="15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">
        <v>222</v>
      </c>
      <c r="C17" s="5">
        <f t="shared" si="7"/>
        <v>0</v>
      </c>
      <c r="D17" s="9">
        <v>1030000</v>
      </c>
      <c r="E17" s="9">
        <v>0</v>
      </c>
      <c r="F17" s="9">
        <v>0</v>
      </c>
      <c r="G17" s="5">
        <f t="shared" si="0"/>
        <v>0</v>
      </c>
      <c r="H17" s="10" t="str">
        <f t="shared" si="1"/>
        <v>BANQUE</v>
      </c>
      <c r="I17" s="11">
        <v>1</v>
      </c>
      <c r="J17" s="11">
        <f t="shared" si="2"/>
        <v>30000</v>
      </c>
      <c r="K17" s="11"/>
      <c r="L17" s="6"/>
      <c r="M17" s="11">
        <f t="shared" si="3"/>
        <v>0</v>
      </c>
      <c r="N17" s="6">
        <v>3</v>
      </c>
      <c r="O17" s="11">
        <f t="shared" si="4"/>
        <v>300000</v>
      </c>
      <c r="P17" s="2">
        <v>0</v>
      </c>
      <c r="Q17" s="2"/>
      <c r="R17" s="2">
        <v>0</v>
      </c>
      <c r="S17" s="20">
        <v>700000</v>
      </c>
      <c r="T17" s="12" t="s">
        <v>8</v>
      </c>
      <c r="U17" s="17">
        <f t="shared" si="8"/>
        <v>1030000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5"/>
        <v>0</v>
      </c>
      <c r="AR17" s="8">
        <f t="shared" si="6"/>
        <v>0</v>
      </c>
      <c r="AS17" s="13">
        <f t="shared" si="9"/>
        <v>7000</v>
      </c>
      <c r="AT17" s="29">
        <v>20000</v>
      </c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F17" s="29">
        <f t="shared" si="15"/>
        <v>0</v>
      </c>
      <c r="BG17">
        <v>0</v>
      </c>
      <c r="BH17" s="15"/>
      <c r="BI17" s="15"/>
      <c r="BJ17" s="15"/>
      <c r="BK17" s="15"/>
      <c r="BL17" s="15"/>
      <c r="BM17" s="15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7"/>
        <v>0</v>
      </c>
      <c r="D18" s="9">
        <v>1205000</v>
      </c>
      <c r="E18" s="9">
        <v>0</v>
      </c>
      <c r="F18" s="9">
        <v>0</v>
      </c>
      <c r="G18" s="5">
        <f t="shared" si="0"/>
        <v>0</v>
      </c>
      <c r="H18" s="10" t="str">
        <f t="shared" si="1"/>
        <v>BANQUE</v>
      </c>
      <c r="I18" s="11">
        <v>1</v>
      </c>
      <c r="J18" s="11">
        <f t="shared" si="2"/>
        <v>30000</v>
      </c>
      <c r="K18" s="11"/>
      <c r="L18" s="6">
        <v>1</v>
      </c>
      <c r="M18" s="11">
        <f t="shared" si="3"/>
        <v>75000</v>
      </c>
      <c r="N18" s="6">
        <v>1</v>
      </c>
      <c r="O18" s="11">
        <f t="shared" si="4"/>
        <v>100000</v>
      </c>
      <c r="P18" s="2">
        <v>0</v>
      </c>
      <c r="Q18" s="2">
        <v>0</v>
      </c>
      <c r="R18" s="2">
        <v>0</v>
      </c>
      <c r="S18" s="20">
        <v>1000000</v>
      </c>
      <c r="T18" s="12" t="s">
        <v>8</v>
      </c>
      <c r="U18" s="17">
        <f t="shared" si="8"/>
        <v>1205000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5"/>
        <v>0</v>
      </c>
      <c r="AR18" s="8">
        <f t="shared" si="6"/>
        <v>0</v>
      </c>
      <c r="AS18" s="13">
        <f t="shared" si="9"/>
        <v>7000</v>
      </c>
      <c r="AT18" s="29">
        <v>20000</v>
      </c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940000</v>
      </c>
      <c r="BA18" s="58"/>
      <c r="BB18" s="58"/>
      <c r="BC18" s="15"/>
      <c r="BD18" s="57">
        <f t="shared" si="14"/>
        <v>940000</v>
      </c>
      <c r="BF18" s="29">
        <f t="shared" si="15"/>
        <v>60000</v>
      </c>
      <c r="BG18">
        <v>6</v>
      </c>
      <c r="BH18" s="15"/>
      <c r="BI18" s="15"/>
      <c r="BJ18" s="15"/>
      <c r="BK18" s="15"/>
      <c r="BL18" s="15"/>
      <c r="BM18" s="15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7"/>
        <v>0</v>
      </c>
      <c r="D19" s="9">
        <v>1030000</v>
      </c>
      <c r="E19" s="9">
        <v>0</v>
      </c>
      <c r="F19" s="9">
        <v>0</v>
      </c>
      <c r="G19" s="5">
        <f t="shared" si="0"/>
        <v>0</v>
      </c>
      <c r="H19" s="10" t="str">
        <f t="shared" si="1"/>
        <v>BANQUE</v>
      </c>
      <c r="I19" s="11">
        <v>1</v>
      </c>
      <c r="J19" s="11">
        <f t="shared" si="2"/>
        <v>30000</v>
      </c>
      <c r="K19" s="11"/>
      <c r="L19" s="6"/>
      <c r="M19" s="11">
        <f t="shared" si="3"/>
        <v>0</v>
      </c>
      <c r="N19" s="6"/>
      <c r="O19" s="11">
        <f t="shared" si="4"/>
        <v>0</v>
      </c>
      <c r="P19" s="2">
        <v>0</v>
      </c>
      <c r="Q19" s="2"/>
      <c r="R19" s="2"/>
      <c r="S19" s="20">
        <v>1000000</v>
      </c>
      <c r="T19" s="12" t="s">
        <v>8</v>
      </c>
      <c r="U19" s="17">
        <f t="shared" si="8"/>
        <v>1030000</v>
      </c>
      <c r="V19" s="12"/>
      <c r="W19" s="12"/>
      <c r="X19" s="12"/>
      <c r="Y19" s="12"/>
      <c r="Z19" s="12">
        <v>1000000</v>
      </c>
      <c r="AA19" s="12" t="s">
        <v>8</v>
      </c>
      <c r="AB19" s="12"/>
      <c r="AC19" s="12"/>
      <c r="AD19" s="12"/>
      <c r="AE19" s="12"/>
      <c r="AF19" s="12"/>
      <c r="AG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5"/>
        <v>0</v>
      </c>
      <c r="AR19" s="8">
        <f t="shared" si="6"/>
        <v>0</v>
      </c>
      <c r="AS19" s="13">
        <f t="shared" si="9"/>
        <v>7000</v>
      </c>
      <c r="AT19" s="29">
        <v>20000</v>
      </c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960000</v>
      </c>
      <c r="BA19" s="58"/>
      <c r="BB19" s="58"/>
      <c r="BC19" s="15"/>
      <c r="BD19" s="57">
        <f t="shared" si="14"/>
        <v>960000</v>
      </c>
      <c r="BF19" s="29">
        <f t="shared" si="15"/>
        <v>40000</v>
      </c>
      <c r="BG19">
        <v>4</v>
      </c>
      <c r="BH19" s="15"/>
      <c r="BI19" s="15"/>
      <c r="BJ19" s="15"/>
      <c r="BK19" s="15"/>
      <c r="BL19" s="15"/>
      <c r="BM19" s="15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7"/>
        <v>0</v>
      </c>
      <c r="D20" s="9">
        <v>1627500</v>
      </c>
      <c r="E20" s="9">
        <v>0</v>
      </c>
      <c r="F20" s="9">
        <v>0</v>
      </c>
      <c r="G20" s="5">
        <f t="shared" si="0"/>
        <v>0</v>
      </c>
      <c r="H20" s="10" t="str">
        <f t="shared" si="1"/>
        <v>BANQUE</v>
      </c>
      <c r="I20" s="11">
        <v>1</v>
      </c>
      <c r="J20" s="11">
        <f t="shared" si="2"/>
        <v>30000</v>
      </c>
      <c r="K20" s="11"/>
      <c r="L20" s="6">
        <v>3</v>
      </c>
      <c r="M20" s="11">
        <f t="shared" si="3"/>
        <v>225000</v>
      </c>
      <c r="N20" s="6">
        <v>2</v>
      </c>
      <c r="O20" s="11">
        <f t="shared" si="4"/>
        <v>200000</v>
      </c>
      <c r="P20" s="2">
        <v>0</v>
      </c>
      <c r="Q20" s="2">
        <v>0</v>
      </c>
      <c r="R20" s="2">
        <v>172500</v>
      </c>
      <c r="S20" s="20">
        <v>1000000</v>
      </c>
      <c r="T20" s="12" t="s">
        <v>8</v>
      </c>
      <c r="U20" s="17">
        <f t="shared" si="8"/>
        <v>1627500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5"/>
        <v>0</v>
      </c>
      <c r="AR20" s="8">
        <f t="shared" si="6"/>
        <v>0</v>
      </c>
      <c r="AS20" s="13">
        <f t="shared" si="9"/>
        <v>7000</v>
      </c>
      <c r="AT20" s="29">
        <v>20000</v>
      </c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3"/>
        <v>940000</v>
      </c>
      <c r="BA20" s="58"/>
      <c r="BB20" s="58"/>
      <c r="BC20" s="15"/>
      <c r="BD20" s="57">
        <f t="shared" si="14"/>
        <v>940000</v>
      </c>
      <c r="BF20" s="29">
        <f t="shared" si="15"/>
        <v>60000</v>
      </c>
      <c r="BG20">
        <v>6</v>
      </c>
      <c r="BH20" s="15"/>
      <c r="BI20" s="15"/>
      <c r="BJ20" s="15"/>
      <c r="BK20" s="15"/>
      <c r="BL20" s="15"/>
      <c r="BM20" s="15"/>
      <c r="BP20" s="6"/>
    </row>
    <row r="21" spans="1:68" ht="18.5" x14ac:dyDescent="0.45">
      <c r="A21" s="1" t="s">
        <v>26</v>
      </c>
      <c r="B21" s="1" t="s">
        <v>247</v>
      </c>
      <c r="C21" s="5">
        <f t="shared" si="7"/>
        <v>0</v>
      </c>
      <c r="D21" s="9">
        <v>30000</v>
      </c>
      <c r="E21" s="9">
        <v>0</v>
      </c>
      <c r="F21" s="9">
        <v>0</v>
      </c>
      <c r="G21" s="5">
        <f t="shared" si="0"/>
        <v>0</v>
      </c>
      <c r="H21" s="10" t="str">
        <f t="shared" si="1"/>
        <v>BANQUE</v>
      </c>
      <c r="I21" s="11">
        <v>1</v>
      </c>
      <c r="J21" s="11">
        <f t="shared" si="2"/>
        <v>30000</v>
      </c>
      <c r="K21" s="11"/>
      <c r="L21" s="6"/>
      <c r="M21" s="11">
        <f t="shared" si="3"/>
        <v>0</v>
      </c>
      <c r="N21" s="6"/>
      <c r="O21" s="11">
        <f t="shared" si="4"/>
        <v>0</v>
      </c>
      <c r="P21" s="2">
        <v>0</v>
      </c>
      <c r="Q21" s="2"/>
      <c r="R21" s="2"/>
      <c r="S21" s="20"/>
      <c r="T21" s="12"/>
      <c r="U21" s="17">
        <f t="shared" si="8"/>
        <v>30000</v>
      </c>
      <c r="V21" s="12"/>
      <c r="W21" s="12"/>
      <c r="X21" s="12"/>
      <c r="Y21" s="12"/>
      <c r="Z21" s="12">
        <v>500000</v>
      </c>
      <c r="AA21" s="12" t="s">
        <v>8</v>
      </c>
      <c r="AB21" s="12"/>
      <c r="AC21" s="12"/>
      <c r="AD21" s="12"/>
      <c r="AE21" s="12"/>
      <c r="AF21" s="12"/>
      <c r="AG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5"/>
        <v>0</v>
      </c>
      <c r="AR21" s="8">
        <f t="shared" si="6"/>
        <v>0</v>
      </c>
      <c r="AS21" s="13">
        <f t="shared" si="9"/>
        <v>7000</v>
      </c>
      <c r="AT21" s="29">
        <v>20000</v>
      </c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510000</v>
      </c>
      <c r="BA21" s="58"/>
      <c r="BB21" s="58"/>
      <c r="BC21" s="15"/>
      <c r="BD21" s="57">
        <f t="shared" si="14"/>
        <v>510000</v>
      </c>
      <c r="BF21" s="29">
        <f t="shared" si="15"/>
        <v>60000</v>
      </c>
      <c r="BG21">
        <v>12</v>
      </c>
      <c r="BH21" s="15"/>
      <c r="BI21" s="15"/>
      <c r="BJ21" s="15"/>
      <c r="BK21" s="15">
        <v>70000</v>
      </c>
      <c r="BL21" s="15"/>
      <c r="BM21" s="15"/>
      <c r="BP21" s="6"/>
    </row>
    <row r="22" spans="1:68" ht="18.5" x14ac:dyDescent="0.45">
      <c r="A22" s="1" t="s">
        <v>27</v>
      </c>
      <c r="B22" s="1" t="s">
        <v>248</v>
      </c>
      <c r="C22" s="5">
        <f t="shared" si="7"/>
        <v>0</v>
      </c>
      <c r="D22" s="9">
        <v>1105000</v>
      </c>
      <c r="E22" s="9">
        <v>0</v>
      </c>
      <c r="F22" s="9">
        <v>0</v>
      </c>
      <c r="G22" s="5">
        <f t="shared" si="0"/>
        <v>0</v>
      </c>
      <c r="H22" s="10" t="str">
        <f t="shared" si="1"/>
        <v>BANQUE</v>
      </c>
      <c r="I22" s="11">
        <v>1</v>
      </c>
      <c r="J22" s="11">
        <f t="shared" si="2"/>
        <v>30000</v>
      </c>
      <c r="K22" s="11"/>
      <c r="L22" s="6">
        <v>1</v>
      </c>
      <c r="M22" s="11">
        <f t="shared" si="3"/>
        <v>75000</v>
      </c>
      <c r="N22" s="6"/>
      <c r="O22" s="11">
        <f t="shared" si="4"/>
        <v>0</v>
      </c>
      <c r="P22" s="2">
        <v>0</v>
      </c>
      <c r="Q22" s="2">
        <v>0</v>
      </c>
      <c r="R22" s="2"/>
      <c r="S22" s="20">
        <v>1000000</v>
      </c>
      <c r="T22" s="12" t="s">
        <v>8</v>
      </c>
      <c r="U22" s="17">
        <f t="shared" si="8"/>
        <v>1105000</v>
      </c>
      <c r="V22" s="12"/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5"/>
        <v>0</v>
      </c>
      <c r="AR22" s="8">
        <f t="shared" si="6"/>
        <v>0</v>
      </c>
      <c r="AS22" s="13">
        <f t="shared" si="9"/>
        <v>7000</v>
      </c>
      <c r="AT22" s="29">
        <v>20000</v>
      </c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>SUM(AV22:AY22)-BF22+Z22-F22+BH22+BI22+BJ22+BK22</f>
        <v>880000</v>
      </c>
      <c r="BA22" s="58"/>
      <c r="BB22" s="58"/>
      <c r="BC22" s="15"/>
      <c r="BD22" s="57">
        <f>IF(AZ22=0,(AZ22-BA22-BC22),(AZ22-BA22-BB22-BC22))+71000</f>
        <v>951000</v>
      </c>
      <c r="BF22" s="29">
        <f t="shared" si="15"/>
        <v>120000</v>
      </c>
      <c r="BG22">
        <v>12</v>
      </c>
      <c r="BH22" s="15"/>
      <c r="BI22" s="15"/>
      <c r="BJ22" s="15"/>
      <c r="BK22" s="15"/>
      <c r="BL22" s="15"/>
      <c r="BM22" s="15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7"/>
        <v>0</v>
      </c>
      <c r="D23" s="9">
        <v>680000</v>
      </c>
      <c r="E23" s="9">
        <v>101000</v>
      </c>
      <c r="F23" s="9">
        <v>0</v>
      </c>
      <c r="G23" s="5">
        <f t="shared" si="0"/>
        <v>0</v>
      </c>
      <c r="H23" s="10" t="str">
        <f t="shared" si="1"/>
        <v>BANQUE</v>
      </c>
      <c r="I23" s="11">
        <v>1</v>
      </c>
      <c r="J23" s="11">
        <f t="shared" si="2"/>
        <v>30000</v>
      </c>
      <c r="K23" s="11">
        <v>20000</v>
      </c>
      <c r="L23" s="6"/>
      <c r="M23" s="11">
        <f t="shared" si="3"/>
        <v>0</v>
      </c>
      <c r="N23" s="6">
        <v>1</v>
      </c>
      <c r="O23" s="11">
        <f t="shared" si="4"/>
        <v>100000</v>
      </c>
      <c r="P23" s="2">
        <v>0</v>
      </c>
      <c r="Q23" s="2"/>
      <c r="R23" s="2">
        <v>101000</v>
      </c>
      <c r="S23" s="20">
        <f>449000+81000</f>
        <v>530000</v>
      </c>
      <c r="T23" s="12" t="s">
        <v>8</v>
      </c>
      <c r="U23" s="17">
        <f t="shared" si="8"/>
        <v>781000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/>
      <c r="AF23" s="12"/>
      <c r="AG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5"/>
        <v>0</v>
      </c>
      <c r="AR23" s="8">
        <f t="shared" si="6"/>
        <v>0</v>
      </c>
      <c r="AS23" s="13">
        <f t="shared" si="9"/>
        <v>27000</v>
      </c>
      <c r="AT23" s="29">
        <v>20000</v>
      </c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552000</v>
      </c>
      <c r="BA23" s="58"/>
      <c r="BB23" s="58"/>
      <c r="BC23" s="15"/>
      <c r="BD23" s="57">
        <f t="shared" si="14"/>
        <v>552000</v>
      </c>
      <c r="BF23" s="29">
        <f t="shared" si="15"/>
        <v>48000</v>
      </c>
      <c r="BG23">
        <v>8</v>
      </c>
      <c r="BH23" s="15"/>
      <c r="BI23" s="15"/>
      <c r="BJ23" s="15"/>
      <c r="BK23" s="15"/>
      <c r="BL23" s="15"/>
      <c r="BM23" s="15"/>
    </row>
    <row r="24" spans="1:68" ht="18.5" x14ac:dyDescent="0.45">
      <c r="A24" s="1" t="s">
        <v>29</v>
      </c>
      <c r="B24" s="1" t="s">
        <v>250</v>
      </c>
      <c r="C24" s="5">
        <f t="shared" si="7"/>
        <v>0</v>
      </c>
      <c r="D24" s="9">
        <v>1240000</v>
      </c>
      <c r="E24" s="9">
        <v>0</v>
      </c>
      <c r="F24" s="9">
        <v>0</v>
      </c>
      <c r="G24" s="5">
        <f t="shared" si="0"/>
        <v>0</v>
      </c>
      <c r="H24" s="10" t="str">
        <f t="shared" si="1"/>
        <v>BANQUE</v>
      </c>
      <c r="I24" s="11">
        <v>1</v>
      </c>
      <c r="J24" s="11">
        <f t="shared" si="2"/>
        <v>30000</v>
      </c>
      <c r="K24" s="11">
        <v>35000</v>
      </c>
      <c r="L24" s="6">
        <v>1</v>
      </c>
      <c r="M24" s="11">
        <f t="shared" si="3"/>
        <v>75000</v>
      </c>
      <c r="N24" s="6">
        <v>1</v>
      </c>
      <c r="O24" s="11">
        <f t="shared" si="4"/>
        <v>100000</v>
      </c>
      <c r="P24" s="2">
        <v>0</v>
      </c>
      <c r="Q24" s="2">
        <v>0</v>
      </c>
      <c r="R24" s="2">
        <v>0</v>
      </c>
      <c r="S24" s="20">
        <v>1000000</v>
      </c>
      <c r="T24" s="12" t="s">
        <v>8</v>
      </c>
      <c r="U24" s="17">
        <f t="shared" si="8"/>
        <v>1240000</v>
      </c>
      <c r="V24" s="12"/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5"/>
        <v>0</v>
      </c>
      <c r="AR24" s="8">
        <f t="shared" si="6"/>
        <v>0</v>
      </c>
      <c r="AS24" s="13">
        <f t="shared" si="9"/>
        <v>42000</v>
      </c>
      <c r="AT24" s="29">
        <v>20000</v>
      </c>
      <c r="AV24" s="15"/>
      <c r="AW24" s="15">
        <f t="shared" si="10"/>
        <v>0</v>
      </c>
      <c r="AX24" s="15">
        <f t="shared" si="11"/>
        <v>0</v>
      </c>
      <c r="AY24" s="15">
        <f t="shared" si="12"/>
        <v>0</v>
      </c>
      <c r="AZ24" s="16">
        <f t="shared" si="13"/>
        <v>880000</v>
      </c>
      <c r="BA24" s="58"/>
      <c r="BB24" s="58"/>
      <c r="BC24" s="15"/>
      <c r="BD24" s="57">
        <f t="shared" si="14"/>
        <v>880000</v>
      </c>
      <c r="BF24" s="29">
        <f t="shared" si="15"/>
        <v>120000</v>
      </c>
      <c r="BG24">
        <v>12</v>
      </c>
      <c r="BH24" s="15"/>
      <c r="BI24" s="15"/>
      <c r="BJ24" s="15"/>
      <c r="BK24" s="15"/>
      <c r="BL24" s="15"/>
      <c r="BM24" s="15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">
        <v>251</v>
      </c>
      <c r="C25" s="5">
        <f t="shared" si="7"/>
        <v>0</v>
      </c>
      <c r="D25" s="9">
        <v>1280000</v>
      </c>
      <c r="E25" s="9">
        <v>0</v>
      </c>
      <c r="F25" s="9">
        <v>0</v>
      </c>
      <c r="G25" s="5">
        <f t="shared" si="0"/>
        <v>0</v>
      </c>
      <c r="H25" s="10" t="str">
        <f t="shared" si="1"/>
        <v>BANQUE</v>
      </c>
      <c r="I25" s="11">
        <v>1</v>
      </c>
      <c r="J25" s="11">
        <f t="shared" si="2"/>
        <v>30000</v>
      </c>
      <c r="K25" s="11"/>
      <c r="L25" s="6">
        <v>2</v>
      </c>
      <c r="M25" s="11">
        <f t="shared" si="3"/>
        <v>150000</v>
      </c>
      <c r="N25" s="6">
        <v>1</v>
      </c>
      <c r="O25" s="11">
        <f t="shared" si="4"/>
        <v>100000</v>
      </c>
      <c r="P25" s="2">
        <v>0</v>
      </c>
      <c r="Q25" s="2">
        <v>0</v>
      </c>
      <c r="R25" s="2">
        <v>0</v>
      </c>
      <c r="S25" s="20">
        <v>1000000</v>
      </c>
      <c r="T25" s="12" t="s">
        <v>8</v>
      </c>
      <c r="U25" s="17">
        <f t="shared" si="8"/>
        <v>1280000</v>
      </c>
      <c r="V25" s="12"/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5"/>
        <v>0</v>
      </c>
      <c r="AR25" s="8">
        <f t="shared" si="6"/>
        <v>0</v>
      </c>
      <c r="AS25" s="13">
        <f t="shared" si="9"/>
        <v>7000</v>
      </c>
      <c r="AT25" s="29">
        <v>20000</v>
      </c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880000</v>
      </c>
      <c r="BA25" s="58"/>
      <c r="BB25" s="58"/>
      <c r="BC25" s="15"/>
      <c r="BD25" s="57">
        <f t="shared" si="14"/>
        <v>880000</v>
      </c>
      <c r="BF25" s="29">
        <f t="shared" si="15"/>
        <v>120000</v>
      </c>
      <c r="BG25">
        <v>12</v>
      </c>
      <c r="BH25" s="15"/>
      <c r="BI25" s="15"/>
      <c r="BJ25" s="15"/>
      <c r="BK25" s="15"/>
      <c r="BL25" s="15"/>
      <c r="BM25" s="15"/>
      <c r="BN25" t="s">
        <v>125</v>
      </c>
      <c r="BO25" t="s">
        <v>143</v>
      </c>
    </row>
    <row r="26" spans="1:68" ht="18.5" x14ac:dyDescent="0.45">
      <c r="A26" s="1" t="s">
        <v>31</v>
      </c>
      <c r="B26" s="1" t="s">
        <v>252</v>
      </c>
      <c r="C26" s="5">
        <f t="shared" si="7"/>
        <v>0</v>
      </c>
      <c r="D26" s="9">
        <v>1105000</v>
      </c>
      <c r="E26" s="9">
        <v>79500</v>
      </c>
      <c r="F26" s="9">
        <v>0</v>
      </c>
      <c r="G26" s="5">
        <f t="shared" si="0"/>
        <v>0</v>
      </c>
      <c r="H26" s="10" t="str">
        <f t="shared" si="1"/>
        <v>BANQUE</v>
      </c>
      <c r="I26" s="11">
        <v>1</v>
      </c>
      <c r="J26" s="11">
        <f t="shared" si="2"/>
        <v>30000</v>
      </c>
      <c r="K26" s="11"/>
      <c r="L26" s="6">
        <v>1</v>
      </c>
      <c r="M26" s="11">
        <f t="shared" si="3"/>
        <v>75000</v>
      </c>
      <c r="N26" s="6"/>
      <c r="O26" s="11">
        <f t="shared" si="4"/>
        <v>0</v>
      </c>
      <c r="P26" s="2">
        <v>41000</v>
      </c>
      <c r="Q26" s="2">
        <v>38500</v>
      </c>
      <c r="R26" s="2"/>
      <c r="S26" s="20">
        <v>1000000</v>
      </c>
      <c r="T26" s="12" t="s">
        <v>8</v>
      </c>
      <c r="U26" s="17">
        <f t="shared" si="8"/>
        <v>1184500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5"/>
        <v>0</v>
      </c>
      <c r="AR26" s="8">
        <f t="shared" si="6"/>
        <v>0</v>
      </c>
      <c r="AS26" s="13">
        <f t="shared" si="9"/>
        <v>7000</v>
      </c>
      <c r="AT26" s="29">
        <v>20000</v>
      </c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980000</v>
      </c>
      <c r="BA26" s="58"/>
      <c r="BB26" s="58"/>
      <c r="BC26" s="15"/>
      <c r="BD26" s="57">
        <f t="shared" si="14"/>
        <v>980000</v>
      </c>
      <c r="BF26" s="29">
        <f t="shared" si="15"/>
        <v>20000</v>
      </c>
      <c r="BG26">
        <v>2</v>
      </c>
      <c r="BH26" s="15"/>
      <c r="BI26" s="15"/>
      <c r="BJ26" s="15"/>
      <c r="BK26" s="15"/>
      <c r="BL26" s="15"/>
      <c r="BM26" s="15"/>
      <c r="BN26" t="s">
        <v>144</v>
      </c>
      <c r="BO26" t="s">
        <v>143</v>
      </c>
      <c r="BP26" s="62"/>
    </row>
    <row r="27" spans="1:68" ht="18.5" x14ac:dyDescent="0.45">
      <c r="A27" s="1" t="s">
        <v>32</v>
      </c>
      <c r="B27" s="1" t="s">
        <v>265</v>
      </c>
      <c r="C27" s="5">
        <f t="shared" si="7"/>
        <v>520000</v>
      </c>
      <c r="D27" s="9">
        <v>520000</v>
      </c>
      <c r="E27" s="9">
        <v>0</v>
      </c>
      <c r="F27" s="9">
        <v>0</v>
      </c>
      <c r="G27" s="5">
        <f t="shared" si="0"/>
        <v>0</v>
      </c>
      <c r="H27" s="10" t="str">
        <f t="shared" si="1"/>
        <v>BANQUE</v>
      </c>
      <c r="I27" s="11">
        <v>0</v>
      </c>
      <c r="J27" s="11">
        <f t="shared" si="2"/>
        <v>0</v>
      </c>
      <c r="K27" s="11"/>
      <c r="L27" s="6"/>
      <c r="M27" s="11">
        <f t="shared" si="3"/>
        <v>0</v>
      </c>
      <c r="N27" s="6">
        <v>0</v>
      </c>
      <c r="O27" s="11">
        <f t="shared" si="4"/>
        <v>0</v>
      </c>
      <c r="P27" s="2"/>
      <c r="Q27" s="2"/>
      <c r="R27" s="2"/>
      <c r="S27" s="20"/>
      <c r="T27" s="12"/>
      <c r="U27" s="17">
        <f t="shared" si="8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5"/>
        <v>0</v>
      </c>
      <c r="AR27" s="8">
        <f t="shared" si="6"/>
        <v>0</v>
      </c>
      <c r="AS27" s="13">
        <f>IF(H27="ECHEC",0,(J27+K27))</f>
        <v>0</v>
      </c>
      <c r="AT27" s="29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F27" s="29">
        <f t="shared" si="15"/>
        <v>0</v>
      </c>
      <c r="BG27">
        <v>0</v>
      </c>
      <c r="BH27" s="15"/>
      <c r="BI27" s="15"/>
      <c r="BJ27" s="15"/>
      <c r="BK27" s="15"/>
      <c r="BL27" s="15"/>
      <c r="BM27" s="15"/>
      <c r="BP27" s="6"/>
    </row>
    <row r="28" spans="1:68" ht="18.5" x14ac:dyDescent="0.45">
      <c r="A28" s="1" t="s">
        <v>33</v>
      </c>
      <c r="B28" s="1" t="s">
        <v>266</v>
      </c>
      <c r="C28" s="5">
        <f t="shared" si="7"/>
        <v>0</v>
      </c>
      <c r="D28" s="9">
        <v>1130000</v>
      </c>
      <c r="E28" s="9">
        <v>0</v>
      </c>
      <c r="F28" s="9">
        <v>0</v>
      </c>
      <c r="G28" s="5">
        <f t="shared" si="0"/>
        <v>0</v>
      </c>
      <c r="H28" s="10" t="str">
        <f t="shared" si="1"/>
        <v>BANQUE</v>
      </c>
      <c r="I28" s="11">
        <v>1</v>
      </c>
      <c r="J28" s="11">
        <f t="shared" si="2"/>
        <v>30000</v>
      </c>
      <c r="K28" s="11"/>
      <c r="L28" s="6"/>
      <c r="M28" s="11">
        <f t="shared" si="3"/>
        <v>0</v>
      </c>
      <c r="N28" s="6">
        <v>1</v>
      </c>
      <c r="O28" s="11">
        <f t="shared" si="4"/>
        <v>100000</v>
      </c>
      <c r="P28" s="2">
        <v>0</v>
      </c>
      <c r="Q28" s="2"/>
      <c r="R28" s="2">
        <v>0</v>
      </c>
      <c r="S28" s="20">
        <f>600000+400000</f>
        <v>1000000</v>
      </c>
      <c r="T28" s="12" t="s">
        <v>8</v>
      </c>
      <c r="U28" s="17">
        <f t="shared" si="8"/>
        <v>1130000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5"/>
        <v>0</v>
      </c>
      <c r="AR28" s="8">
        <f t="shared" si="6"/>
        <v>0</v>
      </c>
      <c r="AS28" s="13">
        <f t="shared" si="9"/>
        <v>7000</v>
      </c>
      <c r="AT28" s="29">
        <v>20000</v>
      </c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F28" s="29">
        <f t="shared" si="15"/>
        <v>0</v>
      </c>
      <c r="BG28">
        <v>0</v>
      </c>
      <c r="BH28" s="15"/>
      <c r="BI28" s="15"/>
      <c r="BJ28" s="15"/>
      <c r="BK28" s="15"/>
      <c r="BL28" s="15"/>
      <c r="BM28" s="15"/>
      <c r="BN28" s="62" t="s">
        <v>142</v>
      </c>
      <c r="BP28" s="62">
        <f>SUM(BP24:BP26)</f>
        <v>0</v>
      </c>
    </row>
    <row r="29" spans="1:68" ht="18.5" x14ac:dyDescent="0.45">
      <c r="A29" s="1" t="s">
        <v>34</v>
      </c>
      <c r="B29" s="1" t="s">
        <v>254</v>
      </c>
      <c r="C29" s="5">
        <f t="shared" si="7"/>
        <v>0</v>
      </c>
      <c r="D29" s="9">
        <v>105000</v>
      </c>
      <c r="E29" s="9">
        <v>0</v>
      </c>
      <c r="F29" s="9">
        <v>0</v>
      </c>
      <c r="G29" s="5">
        <f t="shared" si="0"/>
        <v>0</v>
      </c>
      <c r="H29" s="10" t="str">
        <f t="shared" si="1"/>
        <v>BANQUE</v>
      </c>
      <c r="I29" s="11">
        <v>1</v>
      </c>
      <c r="J29" s="11">
        <f t="shared" si="2"/>
        <v>30000</v>
      </c>
      <c r="K29" s="11"/>
      <c r="L29" s="6">
        <v>1</v>
      </c>
      <c r="M29" s="11">
        <f t="shared" si="3"/>
        <v>75000</v>
      </c>
      <c r="N29" s="6"/>
      <c r="O29" s="11">
        <f t="shared" si="4"/>
        <v>0</v>
      </c>
      <c r="P29" s="2">
        <v>0</v>
      </c>
      <c r="Q29" s="2">
        <v>0</v>
      </c>
      <c r="R29" s="2"/>
      <c r="S29" s="20"/>
      <c r="T29" s="12"/>
      <c r="U29" s="17">
        <f t="shared" si="8"/>
        <v>105000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5"/>
        <v>0</v>
      </c>
      <c r="AR29" s="8">
        <f t="shared" si="6"/>
        <v>0</v>
      </c>
      <c r="AS29" s="13">
        <f t="shared" si="9"/>
        <v>7000</v>
      </c>
      <c r="AT29" s="29">
        <v>20000</v>
      </c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F29" s="29">
        <f t="shared" si="15"/>
        <v>0</v>
      </c>
      <c r="BG29">
        <v>0</v>
      </c>
      <c r="BH29" s="15"/>
      <c r="BI29" s="15"/>
      <c r="BJ29" s="15"/>
      <c r="BK29" s="15"/>
      <c r="BL29" s="15"/>
      <c r="BM29" s="15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7"/>
        <v>-100000</v>
      </c>
      <c r="D30" s="9">
        <v>105000</v>
      </c>
      <c r="E30" s="9">
        <v>0</v>
      </c>
      <c r="F30" s="9">
        <v>0</v>
      </c>
      <c r="G30" s="5">
        <f t="shared" si="0"/>
        <v>0</v>
      </c>
      <c r="H30" s="10" t="str">
        <f t="shared" si="1"/>
        <v>BANQUE</v>
      </c>
      <c r="I30" s="11">
        <v>1</v>
      </c>
      <c r="J30" s="11">
        <f t="shared" si="2"/>
        <v>30000</v>
      </c>
      <c r="K30" s="11"/>
      <c r="L30" s="6">
        <v>1</v>
      </c>
      <c r="M30" s="11">
        <f t="shared" si="3"/>
        <v>75000</v>
      </c>
      <c r="N30" s="6"/>
      <c r="O30" s="11">
        <f t="shared" si="4"/>
        <v>0</v>
      </c>
      <c r="P30" s="2">
        <v>0</v>
      </c>
      <c r="Q30" s="2">
        <v>0</v>
      </c>
      <c r="R30" s="2"/>
      <c r="S30" s="20"/>
      <c r="T30" s="12"/>
      <c r="U30" s="17">
        <f t="shared" si="8"/>
        <v>105000</v>
      </c>
      <c r="V30" s="12"/>
      <c r="W30" s="12"/>
      <c r="X30" s="12"/>
      <c r="Y30" s="12"/>
      <c r="Z30" s="12"/>
      <c r="AA30" s="12"/>
      <c r="AB30" s="12"/>
      <c r="AC30" s="12">
        <v>23000</v>
      </c>
      <c r="AD30" s="12"/>
      <c r="AE30" s="12"/>
      <c r="AF30" s="12" t="s">
        <v>8</v>
      </c>
      <c r="AG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5"/>
        <v>0</v>
      </c>
      <c r="AR30" s="8">
        <f t="shared" si="6"/>
        <v>0</v>
      </c>
      <c r="AS30" s="13">
        <f t="shared" si="9"/>
        <v>7000</v>
      </c>
      <c r="AT30" s="29">
        <v>20000</v>
      </c>
      <c r="AV30" s="15"/>
      <c r="AW30" s="15">
        <f t="shared" si="10"/>
        <v>277000</v>
      </c>
      <c r="AX30" s="15">
        <f t="shared" si="11"/>
        <v>0</v>
      </c>
      <c r="AY30" s="15">
        <f t="shared" si="12"/>
        <v>0</v>
      </c>
      <c r="AZ30" s="16">
        <f t="shared" si="13"/>
        <v>277000</v>
      </c>
      <c r="BA30" s="58"/>
      <c r="BB30" s="58">
        <v>100000</v>
      </c>
      <c r="BC30" s="15"/>
      <c r="BD30" s="57">
        <f t="shared" si="14"/>
        <v>177000</v>
      </c>
      <c r="BF30" s="29">
        <f t="shared" si="15"/>
        <v>0</v>
      </c>
      <c r="BG30">
        <v>0</v>
      </c>
      <c r="BH30" s="15"/>
      <c r="BI30" s="15"/>
      <c r="BJ30" s="15"/>
      <c r="BK30" s="15"/>
      <c r="BL30" s="15"/>
      <c r="BM30" s="15"/>
      <c r="BN30" t="s">
        <v>128</v>
      </c>
      <c r="BO30" t="s">
        <v>50</v>
      </c>
      <c r="BP30" s="6"/>
    </row>
    <row r="31" spans="1:68" ht="18.5" x14ac:dyDescent="0.45">
      <c r="A31" s="1" t="s">
        <v>36</v>
      </c>
      <c r="B31" s="1" t="s">
        <v>267</v>
      </c>
      <c r="C31" s="5">
        <f t="shared" si="7"/>
        <v>0</v>
      </c>
      <c r="D31" s="9">
        <v>0</v>
      </c>
      <c r="E31" s="9">
        <v>0</v>
      </c>
      <c r="F31" s="9">
        <v>0</v>
      </c>
      <c r="G31" s="5">
        <f t="shared" si="0"/>
        <v>0</v>
      </c>
      <c r="H31" s="10" t="str">
        <f t="shared" si="1"/>
        <v>ECHEC</v>
      </c>
      <c r="I31" s="11"/>
      <c r="J31" s="11">
        <f t="shared" si="2"/>
        <v>0</v>
      </c>
      <c r="K31" s="11"/>
      <c r="L31" s="6"/>
      <c r="M31" s="11">
        <f t="shared" si="3"/>
        <v>0</v>
      </c>
      <c r="N31" s="6"/>
      <c r="O31" s="11">
        <f t="shared" si="4"/>
        <v>0</v>
      </c>
      <c r="P31" s="2"/>
      <c r="Q31" s="2"/>
      <c r="R31" s="2"/>
      <c r="S31" s="20"/>
      <c r="T31" s="12"/>
      <c r="U31" s="17">
        <f t="shared" si="8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5"/>
        <v>0</v>
      </c>
      <c r="AR31" s="8">
        <f t="shared" si="6"/>
        <v>0</v>
      </c>
      <c r="AS31" s="13">
        <f t="shared" si="9"/>
        <v>0</v>
      </c>
      <c r="AT31" s="29">
        <v>20000</v>
      </c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F31" s="29">
        <f t="shared" si="15"/>
        <v>0</v>
      </c>
      <c r="BG31">
        <v>0</v>
      </c>
      <c r="BH31" s="15"/>
      <c r="BI31" s="15"/>
      <c r="BJ31" s="15"/>
      <c r="BK31" s="15"/>
      <c r="BL31" s="15"/>
      <c r="BM31" s="15"/>
      <c r="BN31" t="s">
        <v>129</v>
      </c>
      <c r="BO31" t="s">
        <v>50</v>
      </c>
      <c r="BP31" s="6"/>
    </row>
    <row r="32" spans="1:68" ht="18.5" x14ac:dyDescent="0.45">
      <c r="A32" s="1" t="s">
        <v>37</v>
      </c>
      <c r="B32" s="1" t="s">
        <v>257</v>
      </c>
      <c r="C32" s="5">
        <f t="shared" si="7"/>
        <v>0</v>
      </c>
      <c r="D32" s="9">
        <v>905000</v>
      </c>
      <c r="E32" s="9">
        <v>0</v>
      </c>
      <c r="F32" s="9">
        <v>0</v>
      </c>
      <c r="G32" s="5">
        <f t="shared" si="0"/>
        <v>0</v>
      </c>
      <c r="H32" s="10" t="str">
        <f t="shared" si="1"/>
        <v>BANQUE</v>
      </c>
      <c r="I32" s="11">
        <v>1</v>
      </c>
      <c r="J32" s="11">
        <f t="shared" si="2"/>
        <v>30000</v>
      </c>
      <c r="K32" s="11"/>
      <c r="L32" s="6">
        <v>1</v>
      </c>
      <c r="M32" s="11">
        <f t="shared" si="3"/>
        <v>75000</v>
      </c>
      <c r="N32" s="6"/>
      <c r="O32" s="11">
        <f t="shared" si="4"/>
        <v>0</v>
      </c>
      <c r="P32" s="2">
        <v>0</v>
      </c>
      <c r="Q32" s="2">
        <v>0</v>
      </c>
      <c r="R32" s="2"/>
      <c r="S32" s="20">
        <f>395000+378000+27000</f>
        <v>800000</v>
      </c>
      <c r="T32" s="12" t="s">
        <v>8</v>
      </c>
      <c r="U32" s="17">
        <f t="shared" si="8"/>
        <v>905000</v>
      </c>
      <c r="V32" s="12"/>
      <c r="W32" s="12"/>
      <c r="X32" s="12"/>
      <c r="Y32" s="12"/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5"/>
        <v>0</v>
      </c>
      <c r="AR32" s="8">
        <f t="shared" si="6"/>
        <v>0</v>
      </c>
      <c r="AS32" s="13">
        <f t="shared" si="9"/>
        <v>7000</v>
      </c>
      <c r="AT32" s="29">
        <v>20000</v>
      </c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880000</v>
      </c>
      <c r="BA32" s="58"/>
      <c r="BB32" s="58"/>
      <c r="BC32" s="15"/>
      <c r="BD32" s="57">
        <f t="shared" si="14"/>
        <v>880000</v>
      </c>
      <c r="BF32" s="29">
        <f t="shared" si="15"/>
        <v>120000</v>
      </c>
      <c r="BG32">
        <v>12</v>
      </c>
      <c r="BH32" s="15"/>
      <c r="BI32" s="15"/>
      <c r="BJ32" s="15"/>
      <c r="BK32" s="15"/>
      <c r="BL32" s="15"/>
      <c r="BM32" s="15"/>
    </row>
    <row r="33" spans="1:68" ht="18.5" x14ac:dyDescent="0.45">
      <c r="A33" s="1" t="s">
        <v>38</v>
      </c>
      <c r="B33" s="1" t="s">
        <v>258</v>
      </c>
      <c r="C33" s="5">
        <f t="shared" si="7"/>
        <v>0</v>
      </c>
      <c r="D33" s="9">
        <v>1030000</v>
      </c>
      <c r="E33" s="9">
        <v>0</v>
      </c>
      <c r="F33" s="9">
        <v>0</v>
      </c>
      <c r="G33" s="5">
        <f t="shared" si="0"/>
        <v>0</v>
      </c>
      <c r="H33" s="10" t="str">
        <f t="shared" si="1"/>
        <v>BANQUE</v>
      </c>
      <c r="I33" s="11">
        <v>1</v>
      </c>
      <c r="J33" s="11">
        <f t="shared" si="2"/>
        <v>30000</v>
      </c>
      <c r="K33" s="11"/>
      <c r="L33" s="6"/>
      <c r="M33" s="11">
        <f t="shared" si="3"/>
        <v>0</v>
      </c>
      <c r="N33" s="6"/>
      <c r="O33" s="11">
        <f t="shared" si="4"/>
        <v>0</v>
      </c>
      <c r="P33" s="2">
        <v>0</v>
      </c>
      <c r="Q33" s="2"/>
      <c r="R33" s="2"/>
      <c r="S33" s="20">
        <v>1000000</v>
      </c>
      <c r="T33" s="12" t="s">
        <v>8</v>
      </c>
      <c r="U33" s="17">
        <f t="shared" si="8"/>
        <v>1030000</v>
      </c>
      <c r="V33" s="12"/>
      <c r="W33" s="12"/>
      <c r="X33" s="12"/>
      <c r="Y33" s="12"/>
      <c r="Z33" s="12">
        <v>1000000</v>
      </c>
      <c r="AA33" s="12" t="s">
        <v>8</v>
      </c>
      <c r="AB33" s="12"/>
      <c r="AC33" s="12"/>
      <c r="AD33" s="12"/>
      <c r="AE33" s="12"/>
      <c r="AF33" s="12"/>
      <c r="AG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5"/>
        <v>0</v>
      </c>
      <c r="AR33" s="8">
        <f t="shared" si="6"/>
        <v>0</v>
      </c>
      <c r="AS33" s="13">
        <f t="shared" si="9"/>
        <v>7000</v>
      </c>
      <c r="AT33" s="29">
        <v>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970000</v>
      </c>
      <c r="BA33" s="58"/>
      <c r="BB33" s="58"/>
      <c r="BC33" s="15"/>
      <c r="BD33" s="57">
        <f t="shared" si="14"/>
        <v>970000</v>
      </c>
      <c r="BF33" s="29">
        <f t="shared" si="15"/>
        <v>30000</v>
      </c>
      <c r="BG33">
        <v>3</v>
      </c>
      <c r="BH33" s="15"/>
      <c r="BI33" s="15"/>
      <c r="BJ33" s="15"/>
      <c r="BK33" s="15"/>
      <c r="BL33" s="15"/>
      <c r="BM33" s="15"/>
      <c r="BN33" s="62" t="s">
        <v>142</v>
      </c>
      <c r="BP33" s="62">
        <f>SUM(BP30:BP32)</f>
        <v>0</v>
      </c>
    </row>
    <row r="34" spans="1:68" ht="18.5" x14ac:dyDescent="0.45">
      <c r="A34" s="1" t="s">
        <v>39</v>
      </c>
      <c r="B34" s="1" t="s">
        <v>268</v>
      </c>
      <c r="C34" s="5">
        <f t="shared" si="7"/>
        <v>0</v>
      </c>
      <c r="D34" s="9">
        <v>0</v>
      </c>
      <c r="E34" s="9">
        <v>0</v>
      </c>
      <c r="F34" s="9">
        <v>0</v>
      </c>
      <c r="G34" s="5">
        <f t="shared" si="0"/>
        <v>0</v>
      </c>
      <c r="H34" s="10" t="str">
        <f t="shared" si="1"/>
        <v>ECHEC</v>
      </c>
      <c r="I34" s="11">
        <v>0</v>
      </c>
      <c r="J34" s="11">
        <f t="shared" si="2"/>
        <v>0</v>
      </c>
      <c r="K34" s="11"/>
      <c r="L34" s="6"/>
      <c r="M34" s="11">
        <f t="shared" si="3"/>
        <v>0</v>
      </c>
      <c r="N34" s="6">
        <v>0</v>
      </c>
      <c r="O34" s="11">
        <f t="shared" si="4"/>
        <v>0</v>
      </c>
      <c r="P34" s="2"/>
      <c r="Q34" s="2"/>
      <c r="R34" s="2"/>
      <c r="S34" s="20"/>
      <c r="T34" s="12"/>
      <c r="U34" s="17">
        <f t="shared" si="8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5"/>
        <v>0</v>
      </c>
      <c r="AR34" s="8">
        <f t="shared" si="6"/>
        <v>0</v>
      </c>
      <c r="AS34" s="13">
        <f>IF(H34="ECHEC",0,(J34+K34))</f>
        <v>0</v>
      </c>
      <c r="AT34" s="29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F34" s="29">
        <f t="shared" si="15"/>
        <v>0</v>
      </c>
      <c r="BG34">
        <v>0</v>
      </c>
      <c r="BH34" s="15"/>
      <c r="BI34" s="15"/>
      <c r="BJ34" s="15"/>
      <c r="BK34" s="15"/>
      <c r="BL34" s="15"/>
      <c r="BM34" s="15"/>
    </row>
    <row r="35" spans="1:68" ht="18.5" x14ac:dyDescent="0.45">
      <c r="A35" s="1" t="s">
        <v>40</v>
      </c>
      <c r="B35" s="1" t="s">
        <v>261</v>
      </c>
      <c r="C35" s="5">
        <f t="shared" si="7"/>
        <v>0</v>
      </c>
      <c r="D35" s="9">
        <v>1041250</v>
      </c>
      <c r="E35" s="9">
        <v>0</v>
      </c>
      <c r="F35" s="9">
        <v>0</v>
      </c>
      <c r="G35" s="5">
        <f t="shared" si="0"/>
        <v>0</v>
      </c>
      <c r="H35" s="10" t="str">
        <f t="shared" si="1"/>
        <v>BANQUE</v>
      </c>
      <c r="I35" s="11">
        <v>1</v>
      </c>
      <c r="J35" s="11">
        <f t="shared" si="2"/>
        <v>30000</v>
      </c>
      <c r="K35" s="11"/>
      <c r="L35" s="6"/>
      <c r="M35" s="11">
        <f t="shared" si="3"/>
        <v>0</v>
      </c>
      <c r="N35" s="6"/>
      <c r="O35" s="11">
        <f t="shared" si="4"/>
        <v>0</v>
      </c>
      <c r="P35" s="2">
        <v>0</v>
      </c>
      <c r="Q35" s="2"/>
      <c r="R35" s="2"/>
      <c r="S35" s="20">
        <v>1011250</v>
      </c>
      <c r="T35" s="12" t="s">
        <v>8</v>
      </c>
      <c r="U35" s="17">
        <f t="shared" si="8"/>
        <v>1041250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5"/>
        <v>0</v>
      </c>
      <c r="AR35" s="8">
        <f t="shared" si="6"/>
        <v>0</v>
      </c>
      <c r="AS35" s="13">
        <f t="shared" si="9"/>
        <v>7000</v>
      </c>
      <c r="AT35" s="29">
        <v>20000</v>
      </c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F35" s="29">
        <f t="shared" si="15"/>
        <v>0</v>
      </c>
      <c r="BG35">
        <v>0</v>
      </c>
      <c r="BH35" s="15"/>
      <c r="BI35" s="15"/>
      <c r="BJ35" s="15"/>
      <c r="BK35" s="15"/>
      <c r="BL35" s="15"/>
      <c r="BM35" s="15"/>
      <c r="BN35" t="s">
        <v>126</v>
      </c>
      <c r="BO35" t="s">
        <v>126</v>
      </c>
      <c r="BP35" s="6"/>
    </row>
    <row r="36" spans="1:68" ht="18.5" x14ac:dyDescent="0.45">
      <c r="A36" s="1" t="s">
        <v>41</v>
      </c>
      <c r="B36" s="1" t="s">
        <v>262</v>
      </c>
      <c r="C36" s="5">
        <f t="shared" si="7"/>
        <v>0</v>
      </c>
      <c r="D36" s="9">
        <v>280000</v>
      </c>
      <c r="E36" s="9">
        <v>0</v>
      </c>
      <c r="F36" s="9">
        <v>0</v>
      </c>
      <c r="G36" s="5">
        <f t="shared" si="0"/>
        <v>0</v>
      </c>
      <c r="H36" s="10" t="str">
        <f t="shared" si="1"/>
        <v>BANQUE</v>
      </c>
      <c r="I36" s="11">
        <v>1</v>
      </c>
      <c r="J36" s="11">
        <f t="shared" si="2"/>
        <v>30000</v>
      </c>
      <c r="K36" s="11"/>
      <c r="L36" s="6">
        <v>2</v>
      </c>
      <c r="M36" s="11">
        <f t="shared" si="3"/>
        <v>150000</v>
      </c>
      <c r="N36" s="6">
        <v>1</v>
      </c>
      <c r="O36" s="11">
        <f t="shared" si="4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8"/>
        <v>280000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5"/>
        <v>0</v>
      </c>
      <c r="AR36" s="8">
        <f t="shared" si="6"/>
        <v>0</v>
      </c>
      <c r="AS36" s="13">
        <f t="shared" si="9"/>
        <v>7000</v>
      </c>
      <c r="AT36" s="29">
        <v>20000</v>
      </c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F36" s="29">
        <f t="shared" si="15"/>
        <v>0</v>
      </c>
      <c r="BG36">
        <v>0</v>
      </c>
      <c r="BH36" s="15"/>
      <c r="BI36" s="15"/>
      <c r="BJ36" s="15"/>
      <c r="BK36" s="15"/>
      <c r="BL36" s="15"/>
      <c r="BM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AH38" si="16">SUM(C6:C37)</f>
        <v>420000</v>
      </c>
      <c r="D38" s="5">
        <f t="shared" si="16"/>
        <v>20433750</v>
      </c>
      <c r="E38" s="5">
        <f t="shared" si="16"/>
        <v>180500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26</v>
      </c>
      <c r="J38" s="5">
        <f t="shared" si="16"/>
        <v>780000</v>
      </c>
      <c r="K38" s="5">
        <f t="shared" si="16"/>
        <v>111000</v>
      </c>
      <c r="L38" s="5">
        <f t="shared" si="16"/>
        <v>20</v>
      </c>
      <c r="M38" s="5">
        <f t="shared" si="16"/>
        <v>1500000</v>
      </c>
      <c r="N38" s="5">
        <f t="shared" si="16"/>
        <v>13</v>
      </c>
      <c r="O38" s="5">
        <f t="shared" si="16"/>
        <v>1300000</v>
      </c>
      <c r="P38" s="5">
        <f t="shared" si="16"/>
        <v>41000</v>
      </c>
      <c r="Q38" s="5">
        <f t="shared" si="16"/>
        <v>38500</v>
      </c>
      <c r="R38" s="5">
        <f t="shared" si="16"/>
        <v>273500</v>
      </c>
      <c r="S38" s="5">
        <f t="shared" si="16"/>
        <v>16041250</v>
      </c>
      <c r="T38" s="5">
        <f t="shared" si="16"/>
        <v>0</v>
      </c>
      <c r="U38" s="5">
        <f t="shared" si="16"/>
        <v>20085250</v>
      </c>
      <c r="V38" s="5">
        <f t="shared" si="16"/>
        <v>0</v>
      </c>
      <c r="W38" s="5">
        <f t="shared" si="16"/>
        <v>0</v>
      </c>
      <c r="X38" s="5">
        <f t="shared" si="16"/>
        <v>0</v>
      </c>
      <c r="Y38" s="5">
        <f t="shared" si="16"/>
        <v>0</v>
      </c>
      <c r="Z38" s="5">
        <f t="shared" si="16"/>
        <v>15600000</v>
      </c>
      <c r="AA38" s="5">
        <f t="shared" si="16"/>
        <v>0</v>
      </c>
      <c r="AB38" s="5">
        <f t="shared" si="16"/>
        <v>0</v>
      </c>
      <c r="AC38" s="5">
        <f t="shared" si="16"/>
        <v>46000</v>
      </c>
      <c r="AD38" s="5">
        <f t="shared" si="16"/>
        <v>75000</v>
      </c>
      <c r="AE38" s="5">
        <f t="shared" si="16"/>
        <v>100000</v>
      </c>
      <c r="AF38" s="5">
        <f t="shared" si="16"/>
        <v>0</v>
      </c>
      <c r="AG38" s="5">
        <f t="shared" si="16"/>
        <v>0</v>
      </c>
      <c r="AH38" s="5">
        <f t="shared" si="16"/>
        <v>0</v>
      </c>
      <c r="AI38" s="5">
        <f t="shared" ref="AI38:BD38" si="17">SUM(AI6:AI37)</f>
        <v>0</v>
      </c>
      <c r="AJ38" s="5">
        <f t="shared" si="17"/>
        <v>0</v>
      </c>
      <c r="AK38" s="5">
        <f t="shared" si="17"/>
        <v>0</v>
      </c>
      <c r="AL38" s="5">
        <f t="shared" si="17"/>
        <v>0</v>
      </c>
      <c r="AM38" s="5">
        <f t="shared" si="17"/>
        <v>0</v>
      </c>
      <c r="AN38" s="5">
        <f t="shared" si="17"/>
        <v>0</v>
      </c>
      <c r="AO38" s="5">
        <f t="shared" si="17"/>
        <v>0</v>
      </c>
      <c r="AP38" s="5">
        <f t="shared" si="17"/>
        <v>0</v>
      </c>
      <c r="AQ38" s="5">
        <f t="shared" si="17"/>
        <v>0</v>
      </c>
      <c r="AR38" s="5">
        <f t="shared" si="17"/>
        <v>0</v>
      </c>
      <c r="AS38" s="5">
        <f t="shared" si="17"/>
        <v>293000</v>
      </c>
      <c r="AT38" s="5">
        <f t="shared" si="17"/>
        <v>540000</v>
      </c>
      <c r="AU38" s="5">
        <f t="shared" si="17"/>
        <v>0</v>
      </c>
      <c r="AV38" s="5">
        <f t="shared" si="17"/>
        <v>0</v>
      </c>
      <c r="AW38" s="5">
        <f t="shared" si="17"/>
        <v>554000</v>
      </c>
      <c r="AX38" s="5">
        <f t="shared" si="17"/>
        <v>1125000</v>
      </c>
      <c r="AY38" s="5">
        <f t="shared" si="17"/>
        <v>1200000</v>
      </c>
      <c r="AZ38" s="5">
        <f t="shared" si="17"/>
        <v>17307000</v>
      </c>
      <c r="BA38" s="5">
        <f t="shared" si="17"/>
        <v>0</v>
      </c>
      <c r="BB38" s="5">
        <f t="shared" si="17"/>
        <v>109000</v>
      </c>
      <c r="BC38" s="5">
        <f t="shared" si="17"/>
        <v>0</v>
      </c>
      <c r="BD38" s="5">
        <f t="shared" si="17"/>
        <v>17269000</v>
      </c>
      <c r="BF38" s="5">
        <f t="shared" ref="BF38:BM38" si="18">SUM(BF6:BF37)</f>
        <v>1248000</v>
      </c>
      <c r="BH38" s="5">
        <f t="shared" si="18"/>
        <v>6000</v>
      </c>
      <c r="BI38" s="5">
        <f t="shared" si="18"/>
        <v>0</v>
      </c>
      <c r="BJ38" s="5">
        <f t="shared" si="18"/>
        <v>0</v>
      </c>
      <c r="BK38" s="5">
        <f t="shared" si="18"/>
        <v>70000</v>
      </c>
      <c r="BL38" s="5">
        <f t="shared" si="18"/>
        <v>0</v>
      </c>
      <c r="BM38" s="5">
        <f t="shared" si="18"/>
        <v>0</v>
      </c>
      <c r="BN38" s="62" t="s">
        <v>142</v>
      </c>
      <c r="BP38" s="62">
        <f>SUM(BP35:BP37)</f>
        <v>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AW40" s="15"/>
      <c r="AX40" s="15"/>
      <c r="AY40" s="15"/>
      <c r="AZ40" s="16"/>
    </row>
    <row r="41" spans="1:68" ht="18.5" x14ac:dyDescent="0.45">
      <c r="B41" s="1"/>
      <c r="H41" s="1"/>
      <c r="AW41" s="15"/>
      <c r="AX41" s="15"/>
      <c r="AY41" s="15"/>
      <c r="AZ41" s="16"/>
    </row>
    <row r="42" spans="1:68" ht="18.5" x14ac:dyDescent="0.45">
      <c r="C42" s="3" t="s">
        <v>8</v>
      </c>
      <c r="D42" s="68"/>
      <c r="E42" s="68"/>
      <c r="F42" s="3" t="s">
        <v>9</v>
      </c>
      <c r="G42" s="68"/>
      <c r="H42" s="68"/>
      <c r="AI42" s="5"/>
      <c r="AV42" s="3"/>
      <c r="AW42" s="68"/>
      <c r="AX42" s="15"/>
      <c r="AY42" s="15"/>
      <c r="AZ42" s="16"/>
    </row>
    <row r="43" spans="1:68" ht="18.5" x14ac:dyDescent="0.45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AI43" s="5"/>
      <c r="AW43" s="15"/>
      <c r="AX43" s="15"/>
      <c r="AY43" s="15"/>
      <c r="AZ43" s="16"/>
    </row>
    <row r="44" spans="1:68" ht="18.5" x14ac:dyDescent="0.45">
      <c r="B44" s="1" t="s">
        <v>78</v>
      </c>
      <c r="AW44" s="15"/>
      <c r="AX44" s="15"/>
      <c r="AY44" s="15"/>
      <c r="AZ44" s="16"/>
    </row>
    <row r="45" spans="1:68" ht="18.5" x14ac:dyDescent="0.45">
      <c r="B45" s="1" t="s">
        <v>79</v>
      </c>
      <c r="C45" s="14">
        <f>AZ38</f>
        <v>17307000</v>
      </c>
      <c r="D45" s="9">
        <f>SUMIFS(D7:D38,H7:H38,"BANQUE")</f>
        <v>20333750</v>
      </c>
      <c r="F45" s="9">
        <f>E38</f>
        <v>180500</v>
      </c>
      <c r="G45" s="14"/>
      <c r="I45" s="5"/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3" spans="49:52" ht="17.5" x14ac:dyDescent="0.35">
      <c r="AW83" s="5"/>
      <c r="AX83" s="5"/>
      <c r="AY83" s="5"/>
      <c r="AZ83" s="5">
        <f>SUM(AZ7:AZ82)</f>
        <v>33408000</v>
      </c>
    </row>
  </sheetData>
  <autoFilter ref="A5:AF36" xr:uid="{00000000-0009-0000-0000-000003000000}"/>
  <mergeCells count="1">
    <mergeCell ref="B4:M4"/>
  </mergeCells>
  <dataValidations count="1">
    <dataValidation type="list" allowBlank="1" showInputMessage="1" showErrorMessage="1" sqref="T6:T36 AA6:AA36 AF6:AF36 AP6:AP36" xr:uid="{00000000-0002-0000-0300-000000000000}">
      <formula1>MODEVERSEMENT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17EF-DE98-46E7-8503-51CCE586EE79}">
  <dimension ref="A1:BS89"/>
  <sheetViews>
    <sheetView zoomScaleNormal="100" workbookViewId="0">
      <pane xSplit="4" ySplit="5" topLeftCell="BO21" activePane="bottomRight" state="frozen"/>
      <selection pane="topRight" activeCell="E1" sqref="E1"/>
      <selection pane="bottomLeft" activeCell="A6" sqref="A6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3.0898437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0" max="60" width="13.0898437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  <col min="71" max="71" width="13.08984375" bestFit="1" customWidth="1"/>
  </cols>
  <sheetData>
    <row r="1" spans="1:71" x14ac:dyDescent="0.35">
      <c r="A1" s="1" t="s">
        <v>2</v>
      </c>
      <c r="B1" s="1" t="s">
        <v>3</v>
      </c>
      <c r="C1" s="1"/>
    </row>
    <row r="2" spans="1:71" x14ac:dyDescent="0.35">
      <c r="A2" s="1" t="s">
        <v>4</v>
      </c>
      <c r="B2" s="1">
        <v>2024</v>
      </c>
      <c r="C2" s="1"/>
    </row>
    <row r="3" spans="1:71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71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71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  <c r="BR5" s="4" t="s">
        <v>216</v>
      </c>
      <c r="BS5" s="4" t="s">
        <v>215</v>
      </c>
    </row>
    <row r="6" spans="1:71" ht="18.5" x14ac:dyDescent="0.45">
      <c r="A6" s="1" t="s">
        <v>108</v>
      </c>
      <c r="B6" s="1" t="str">
        <f>VLOOKUP(A6,[5]LISTADHERENT!A$5:H$50,3,0)</f>
        <v>ASELBY</v>
      </c>
      <c r="C6" s="5">
        <f>D6+E6+F6-U6-BB6</f>
        <v>-61000</v>
      </c>
      <c r="D6" s="9">
        <v>175000</v>
      </c>
      <c r="E6" s="9">
        <v>0</v>
      </c>
      <c r="F6" s="9">
        <v>0</v>
      </c>
      <c r="G6" s="5">
        <v>0</v>
      </c>
      <c r="H6" s="10" t="str">
        <f t="shared" ref="H6:H42" si="0">IF($D6&lt;&gt;0,"BANQUE",IF($E6&lt;&gt;0,"ESPECES","ECHEC"))</f>
        <v>BANQUE</v>
      </c>
      <c r="I6" s="10">
        <v>61000</v>
      </c>
      <c r="J6" s="11"/>
      <c r="K6" s="11">
        <f>IF($D6&lt;&gt;0,J6*50000,IF($E6&lt;&gt;0,J6*50000,0))</f>
        <v>0</v>
      </c>
      <c r="L6" s="6">
        <v>1</v>
      </c>
      <c r="M6" s="11">
        <f t="shared" ref="M6:M42" si="1">IF($D6&lt;&gt;0,L6*75000,IF($E6&lt;&gt;0,L6*75000,0))</f>
        <v>75000</v>
      </c>
      <c r="N6" s="6">
        <v>1</v>
      </c>
      <c r="O6" s="11">
        <f t="shared" ref="O6:O42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236000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IF(H6="ECHEC",((K6+M6+O6)*20/100),0)</f>
        <v>0</v>
      </c>
      <c r="AR6" s="8">
        <f t="shared" ref="AR6:AR42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SUM(AV6:AY6)-BF6+Z6-F6+BH6+BI6+BJ6+BK6+BL6+BM6-2082500</f>
        <v>4031000</v>
      </c>
      <c r="BA6" s="58">
        <v>31000</v>
      </c>
      <c r="BB6" s="58"/>
      <c r="BC6" s="15"/>
      <c r="BD6" s="57">
        <f>IF(AZ6=0,(AZ6-BA6-BC6),(AZ6-BA6-BB6-BC6))+BN6</f>
        <v>5026618</v>
      </c>
      <c r="BE6" s="82"/>
      <c r="BF6" s="29">
        <f t="shared" ref="BF6:BF42" si="5">Z6*1/100*BG6</f>
        <v>0</v>
      </c>
      <c r="BG6" s="29">
        <v>12</v>
      </c>
      <c r="BH6" s="15">
        <f>BQ17</f>
        <v>4031000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1026618</v>
      </c>
      <c r="BO6" t="s">
        <v>115</v>
      </c>
      <c r="BP6" t="s">
        <v>114</v>
      </c>
      <c r="BQ6" s="6"/>
      <c r="BR6" s="9">
        <v>-175000</v>
      </c>
      <c r="BS6" s="9">
        <f>IF(BR6&gt;0,BR6,0)</f>
        <v>0</v>
      </c>
    </row>
    <row r="7" spans="1:71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6">D7+E7+F7-U7-BB7</f>
        <v>0</v>
      </c>
      <c r="D7" s="9">
        <v>0</v>
      </c>
      <c r="E7" s="9">
        <v>50000</v>
      </c>
      <c r="F7" s="9">
        <v>0</v>
      </c>
      <c r="G7" s="5">
        <v>0</v>
      </c>
      <c r="H7" s="10" t="str">
        <f t="shared" si="0"/>
        <v>ESPECES</v>
      </c>
      <c r="I7" s="10"/>
      <c r="J7" s="11">
        <v>1</v>
      </c>
      <c r="K7" s="11">
        <f t="shared" ref="K7:K42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42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42" si="9">IF(H7="ECHEC",0,(K7+I7-25000))</f>
        <v>25000</v>
      </c>
      <c r="AT7" s="15"/>
      <c r="AV7" s="15"/>
      <c r="AW7" s="15">
        <f t="shared" ref="AW7:AW42" si="10">IF(AC7=0,AI7,(1*25000*12)+AI7-AC7)</f>
        <v>0</v>
      </c>
      <c r="AX7" s="15">
        <f t="shared" ref="AX7:AX42" si="11">IF(AD7=0,AJ7,(1*75000*12)+(AJ7)-AD7)</f>
        <v>0</v>
      </c>
      <c r="AY7" s="15">
        <f t="shared" ref="AY7:AY42" si="12">IF(AE7=0,AK7,(1*100000*12)+(AK7)-AE7)</f>
        <v>0</v>
      </c>
      <c r="AZ7" s="16">
        <f>SUM(AV7:AY7)-BF7+Z7-F7+BH7+BI7+BJ7+BK7+BL7+BM7+93000</f>
        <v>93000</v>
      </c>
      <c r="BA7" s="58"/>
      <c r="BB7" s="58"/>
      <c r="BC7" s="15"/>
      <c r="BD7" s="57">
        <f t="shared" ref="BD7:BD42" si="13">IF(AZ7=0,(AZ7-BA7-BC7),(AZ7-BA7-BB7-BC7))</f>
        <v>93000</v>
      </c>
      <c r="BE7" s="82"/>
      <c r="BF7" s="29">
        <f>Z7*1/100*BG7+93000-93000</f>
        <v>0</v>
      </c>
      <c r="BG7" s="29">
        <v>12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  <c r="BR7" s="9">
        <v>0</v>
      </c>
      <c r="BS7" s="9">
        <f t="shared" ref="BS7:BS42" si="14">IF(BR7&gt;0,BR7,0)</f>
        <v>0</v>
      </c>
    </row>
    <row r="8" spans="1:71" ht="18.5" x14ac:dyDescent="0.45">
      <c r="A8" s="1" t="s">
        <v>12</v>
      </c>
      <c r="B8" s="1" t="str">
        <f>VLOOKUP(A8,[5]LISTADHERENT!A$5:H$50,3,0)</f>
        <v>BOUTCHOUANG WILLIAM</v>
      </c>
      <c r="C8" s="5">
        <f t="shared" si="6"/>
        <v>0</v>
      </c>
      <c r="D8" s="9">
        <v>125000</v>
      </c>
      <c r="E8" s="9">
        <v>500000</v>
      </c>
      <c r="F8" s="9">
        <v>0</v>
      </c>
      <c r="G8" s="5"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>
        <v>500000</v>
      </c>
      <c r="T8" s="12"/>
      <c r="U8" s="17">
        <f t="shared" si="8"/>
        <v>625000</v>
      </c>
      <c r="V8" s="12"/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42" si="15">SUM(AV8:AY8)-BF8+Z8-F8+BH8+BI8+BJ8+BK8+BL8+BM8</f>
        <v>485000</v>
      </c>
      <c r="BA8" s="58">
        <v>440000</v>
      </c>
      <c r="BB8" s="58"/>
      <c r="BC8" s="15"/>
      <c r="BD8" s="57">
        <f t="shared" si="13"/>
        <v>45000</v>
      </c>
      <c r="BE8" s="82"/>
      <c r="BF8" s="29">
        <f t="shared" si="5"/>
        <v>15000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25000</v>
      </c>
      <c r="BR8" s="9">
        <v>0</v>
      </c>
      <c r="BS8" s="9">
        <f t="shared" si="14"/>
        <v>0</v>
      </c>
    </row>
    <row r="9" spans="1:71" ht="18.5" x14ac:dyDescent="0.45">
      <c r="A9" s="1" t="s">
        <v>13</v>
      </c>
      <c r="B9" s="1" t="str">
        <f>VLOOKUP(A9,[5]LISTADHERENT!A$5:H$50,3,0)</f>
        <v xml:space="preserve">DJOMO JEAN PAUL </v>
      </c>
      <c r="C9" s="5">
        <f>D9+E9+F9-U9-BB9+1000</f>
        <v>500000</v>
      </c>
      <c r="D9" s="9">
        <v>250000</v>
      </c>
      <c r="E9" s="9">
        <v>1600000</v>
      </c>
      <c r="F9" s="9">
        <v>0</v>
      </c>
      <c r="G9" s="5"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101000</v>
      </c>
      <c r="S9" s="20">
        <v>1000000</v>
      </c>
      <c r="T9" s="12"/>
      <c r="U9" s="17">
        <f t="shared" si="8"/>
        <v>1351000</v>
      </c>
      <c r="V9" s="12"/>
      <c r="W9" s="12"/>
      <c r="X9" s="12"/>
      <c r="Y9" s="12"/>
      <c r="Z9" s="12">
        <v>1000000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5"/>
        <v>880000</v>
      </c>
      <c r="BA9" s="58">
        <v>880000</v>
      </c>
      <c r="BB9" s="58"/>
      <c r="BC9" s="15"/>
      <c r="BD9" s="57">
        <f t="shared" si="13"/>
        <v>0</v>
      </c>
      <c r="BE9" s="82"/>
      <c r="BF9" s="29">
        <f t="shared" si="5"/>
        <v>120000</v>
      </c>
      <c r="BG9" s="29">
        <v>12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  <c r="BR9" s="9">
        <v>0</v>
      </c>
      <c r="BS9" s="9">
        <f t="shared" si="14"/>
        <v>0</v>
      </c>
    </row>
    <row r="10" spans="1:71" ht="18.5" x14ac:dyDescent="0.45">
      <c r="A10" s="1" t="s">
        <v>14</v>
      </c>
      <c r="B10" s="1" t="str">
        <f>VLOOKUP(A10,[5]LISTADHERENT!A$5:H$50,3,0)</f>
        <v>DJOMOU TCHAPDA</v>
      </c>
      <c r="C10" s="5">
        <f t="shared" si="6"/>
        <v>-11000</v>
      </c>
      <c r="D10" s="9">
        <v>0</v>
      </c>
      <c r="E10" s="9">
        <v>1307000</v>
      </c>
      <c r="F10" s="9">
        <v>0</v>
      </c>
      <c r="G10" s="5">
        <v>0</v>
      </c>
      <c r="H10" s="10" t="str">
        <f t="shared" si="0"/>
        <v>ESPECES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61000</v>
      </c>
      <c r="Q10" s="2">
        <v>132000</v>
      </c>
      <c r="R10" s="2">
        <v>0</v>
      </c>
      <c r="S10" s="20">
        <v>1000000</v>
      </c>
      <c r="T10" s="12"/>
      <c r="U10" s="17">
        <f t="shared" si="8"/>
        <v>1318000</v>
      </c>
      <c r="V10" s="12"/>
      <c r="W10" s="12"/>
      <c r="X10" s="12"/>
      <c r="Y10" s="12"/>
      <c r="Z10" s="12">
        <v>1000000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5"/>
        <v>880000</v>
      </c>
      <c r="BA10" s="58"/>
      <c r="BB10" s="58"/>
      <c r="BC10" s="15"/>
      <c r="BD10" s="57">
        <f t="shared" si="13"/>
        <v>880000</v>
      </c>
      <c r="BE10" s="82" t="s">
        <v>186</v>
      </c>
      <c r="BF10" s="29">
        <f t="shared" si="5"/>
        <v>120000</v>
      </c>
      <c r="BG10" s="29">
        <v>12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  <c r="BR10" s="9">
        <v>0</v>
      </c>
      <c r="BS10" s="9">
        <f t="shared" si="14"/>
        <v>0</v>
      </c>
    </row>
    <row r="11" spans="1:71" ht="17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6"/>
        <v>0</v>
      </c>
      <c r="D11" s="9">
        <v>0</v>
      </c>
      <c r="E11" s="9">
        <v>228000</v>
      </c>
      <c r="F11" s="9">
        <v>0</v>
      </c>
      <c r="G11" s="5">
        <v>0</v>
      </c>
      <c r="H11" s="10" t="str">
        <f t="shared" si="0"/>
        <v>ESPECES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103000</v>
      </c>
      <c r="R11" s="2">
        <v>0</v>
      </c>
      <c r="S11" s="20"/>
      <c r="T11" s="12"/>
      <c r="U11" s="17">
        <f t="shared" si="8"/>
        <v>228000</v>
      </c>
      <c r="V11" s="12"/>
      <c r="W11" s="12"/>
      <c r="X11" s="12"/>
      <c r="Y11" s="12"/>
      <c r="Z11" s="12">
        <v>1135000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5"/>
        <v>1135000</v>
      </c>
      <c r="BA11" s="58"/>
      <c r="BB11" s="58"/>
      <c r="BC11" s="15"/>
      <c r="BD11" s="57">
        <f t="shared" si="13"/>
        <v>1135000</v>
      </c>
      <c r="BE11" s="82"/>
      <c r="BF11" s="29">
        <f t="shared" si="5"/>
        <v>0</v>
      </c>
      <c r="BG11" s="29">
        <v>0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  <c r="BR11" s="9">
        <v>0</v>
      </c>
      <c r="BS11" s="9">
        <f t="shared" si="14"/>
        <v>0</v>
      </c>
    </row>
    <row r="12" spans="1:71" ht="18.5" x14ac:dyDescent="0.45">
      <c r="A12" s="1" t="s">
        <v>16</v>
      </c>
      <c r="B12" s="1" t="str">
        <f>VLOOKUP(A12,[5]LISTADHERENT!A$5:H$50,3,0)</f>
        <v>DJUOMBESSY ANTOINE</v>
      </c>
      <c r="C12" s="5">
        <f t="shared" si="6"/>
        <v>0</v>
      </c>
      <c r="D12" s="9">
        <v>400000</v>
      </c>
      <c r="E12" s="9">
        <v>637500</v>
      </c>
      <c r="F12" s="9">
        <v>0</v>
      </c>
      <c r="G12" s="5"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61000</v>
      </c>
      <c r="Q12" s="2">
        <v>101500</v>
      </c>
      <c r="R12" s="2">
        <v>505000</v>
      </c>
      <c r="S12" s="20">
        <v>40000</v>
      </c>
      <c r="T12" s="12"/>
      <c r="U12" s="17">
        <f t="shared" si="8"/>
        <v>1037500</v>
      </c>
      <c r="V12" s="12"/>
      <c r="W12" s="12"/>
      <c r="X12" s="12"/>
      <c r="Y12" s="12"/>
      <c r="Z12" s="12">
        <v>1000000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5"/>
        <v>940000</v>
      </c>
      <c r="BA12" s="58">
        <v>940000</v>
      </c>
      <c r="BB12" s="58"/>
      <c r="BC12" s="15"/>
      <c r="BD12" s="57">
        <f t="shared" si="13"/>
        <v>0</v>
      </c>
      <c r="BE12" s="82"/>
      <c r="BF12" s="29">
        <f t="shared" si="5"/>
        <v>60000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  <c r="BR12" s="9">
        <v>0</v>
      </c>
      <c r="BS12" s="9">
        <f t="shared" si="14"/>
        <v>0</v>
      </c>
    </row>
    <row r="13" spans="1:71" ht="18.5" x14ac:dyDescent="0.45">
      <c r="A13" s="1" t="s">
        <v>17</v>
      </c>
      <c r="B13" s="1" t="str">
        <f>VLOOKUP(A13,[5]LISTADHERENT!A$5:H$50,3,0)</f>
        <v>DOMOU FABIEN</v>
      </c>
      <c r="C13" s="5">
        <f t="shared" si="6"/>
        <v>0</v>
      </c>
      <c r="D13" s="9">
        <v>1050000</v>
      </c>
      <c r="E13" s="9">
        <v>0</v>
      </c>
      <c r="F13" s="9">
        <v>0</v>
      </c>
      <c r="G13" s="5"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>
        <v>1000000</v>
      </c>
      <c r="T13" s="12"/>
      <c r="U13" s="17">
        <f t="shared" si="8"/>
        <v>1050000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5"/>
        <v>0</v>
      </c>
      <c r="BA13" s="58"/>
      <c r="BB13" s="58"/>
      <c r="BC13" s="15"/>
      <c r="BD13" s="57">
        <f t="shared" si="13"/>
        <v>0</v>
      </c>
      <c r="BE13" s="82"/>
      <c r="BF13" s="29">
        <f t="shared" si="5"/>
        <v>0</v>
      </c>
      <c r="BG13" s="29">
        <v>12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  <c r="BR13" s="9">
        <v>1000000</v>
      </c>
      <c r="BS13" s="9">
        <f t="shared" si="14"/>
        <v>1000000</v>
      </c>
    </row>
    <row r="14" spans="1:71" ht="18.5" x14ac:dyDescent="0.45">
      <c r="A14" s="1" t="s">
        <v>18</v>
      </c>
      <c r="B14" s="1" t="str">
        <f>VLOOKUP(A14,[5]LISTADHERENT!A$5:H$50,3,0)</f>
        <v>DONHOU DAVID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5"/>
        <v>0</v>
      </c>
      <c r="BA14" s="58"/>
      <c r="BB14" s="58"/>
      <c r="BC14" s="15"/>
      <c r="BD14" s="57">
        <f t="shared" si="13"/>
        <v>0</v>
      </c>
      <c r="BE14" s="82"/>
      <c r="BF14" s="29">
        <f t="shared" si="5"/>
        <v>0</v>
      </c>
      <c r="BG14" s="29">
        <v>12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>
        <v>4000000</v>
      </c>
      <c r="BR14" s="9">
        <v>0</v>
      </c>
      <c r="BS14" s="9">
        <f t="shared" si="14"/>
        <v>0</v>
      </c>
    </row>
    <row r="15" spans="1:71" ht="18.5" x14ac:dyDescent="0.45">
      <c r="A15" s="1" t="s">
        <v>269</v>
      </c>
      <c r="B15" s="1" t="str">
        <f>VLOOKUP(A15,[5]LISTADHERENT!A$5:H$50,3,0)</f>
        <v>FAMPOU PAUL</v>
      </c>
      <c r="C15" s="5"/>
      <c r="D15" s="9"/>
      <c r="E15" s="9"/>
      <c r="F15" s="9"/>
      <c r="G15" s="5"/>
      <c r="H15" s="10"/>
      <c r="I15" s="10"/>
      <c r="J15" s="11"/>
      <c r="K15" s="11"/>
      <c r="L15" s="6"/>
      <c r="M15" s="11"/>
      <c r="N15" s="6"/>
      <c r="O15" s="11"/>
      <c r="P15" s="2"/>
      <c r="Q15" s="2"/>
      <c r="R15" s="2"/>
      <c r="S15" s="20"/>
      <c r="T15" s="12"/>
      <c r="U15" s="17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/>
      <c r="AR15" s="8"/>
      <c r="AS15" s="13"/>
      <c r="AT15" s="15"/>
      <c r="AV15" s="15"/>
      <c r="AW15" s="15"/>
      <c r="AX15" s="15"/>
      <c r="AY15" s="15"/>
      <c r="AZ15" s="16"/>
      <c r="BA15" s="58"/>
      <c r="BB15" s="58"/>
      <c r="BC15" s="15"/>
      <c r="BD15" s="57"/>
      <c r="BE15" s="82"/>
      <c r="BF15" s="29">
        <f t="shared" si="5"/>
        <v>0</v>
      </c>
      <c r="BG15" s="29"/>
      <c r="BH15" s="15"/>
      <c r="BI15" s="15"/>
      <c r="BJ15" s="15"/>
      <c r="BK15" s="15"/>
      <c r="BL15" s="61"/>
      <c r="BQ15" s="6"/>
      <c r="BR15" s="9"/>
      <c r="BS15" s="9"/>
    </row>
    <row r="16" spans="1:71" ht="18.5" x14ac:dyDescent="0.45">
      <c r="A16" s="1" t="s">
        <v>20</v>
      </c>
      <c r="B16" s="1" t="str">
        <f>VLOOKUP(A16,[5]LISTADHERENT!A$5:H$50,3,0)</f>
        <v>HENGUE PAUL OMER</v>
      </c>
      <c r="C16" s="5">
        <f t="shared" si="6"/>
        <v>0</v>
      </c>
      <c r="D16" s="9">
        <v>0</v>
      </c>
      <c r="E16" s="9">
        <v>125000</v>
      </c>
      <c r="F16" s="9">
        <v>0</v>
      </c>
      <c r="G16" s="5">
        <v>0</v>
      </c>
      <c r="H16" s="10" t="str">
        <f t="shared" si="0"/>
        <v>ESPECES</v>
      </c>
      <c r="I16" s="10"/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v>0</v>
      </c>
      <c r="Q16" s="2">
        <v>0</v>
      </c>
      <c r="R16" s="2">
        <v>0</v>
      </c>
      <c r="S16" s="20"/>
      <c r="T16" s="12"/>
      <c r="U16" s="17">
        <f t="shared" si="8"/>
        <v>125000</v>
      </c>
      <c r="V16" s="12"/>
      <c r="W16" s="12"/>
      <c r="X16" s="12"/>
      <c r="Y16" s="12"/>
      <c r="Z16" s="12">
        <v>1050000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9"/>
        <v>25000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5"/>
        <v>1050000</v>
      </c>
      <c r="BA16" s="58"/>
      <c r="BB16" s="58"/>
      <c r="BC16" s="15"/>
      <c r="BD16" s="57">
        <f t="shared" si="13"/>
        <v>1050000</v>
      </c>
      <c r="BE16" s="82"/>
      <c r="BF16" s="29">
        <f t="shared" si="5"/>
        <v>0</v>
      </c>
      <c r="BG16" s="29">
        <v>0</v>
      </c>
      <c r="BH16" s="15"/>
      <c r="BI16" s="15"/>
      <c r="BJ16" s="15"/>
      <c r="BK16" s="15"/>
      <c r="BL16" s="61"/>
      <c r="BQ16" s="6"/>
      <c r="BR16" s="9">
        <v>0</v>
      </c>
      <c r="BS16" s="9">
        <f t="shared" si="14"/>
        <v>0</v>
      </c>
    </row>
    <row r="17" spans="1:71" ht="18.5" x14ac:dyDescent="0.45">
      <c r="A17" s="1" t="s">
        <v>21</v>
      </c>
      <c r="B17" s="1" t="str">
        <f>VLOOKUP(A17,[5]LISTADHERENT!A$5:H$50,3,0)</f>
        <v>HOTCHO BENJAMIN</v>
      </c>
      <c r="C17" s="5">
        <f t="shared" si="6"/>
        <v>-530000</v>
      </c>
      <c r="D17" s="9">
        <v>952000</v>
      </c>
      <c r="E17" s="9">
        <v>202000</v>
      </c>
      <c r="F17" s="9">
        <v>0</v>
      </c>
      <c r="G17" s="5">
        <v>0</v>
      </c>
      <c r="H17" s="10" t="str">
        <f t="shared" si="0"/>
        <v>BANQUE</v>
      </c>
      <c r="I17" s="10">
        <f>15000+40000</f>
        <v>55000</v>
      </c>
      <c r="J17" s="11">
        <v>1</v>
      </c>
      <c r="K17" s="11">
        <f t="shared" si="7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v>0</v>
      </c>
      <c r="Q17" s="2">
        <v>202000</v>
      </c>
      <c r="R17" s="2">
        <v>202000</v>
      </c>
      <c r="S17" s="20">
        <v>1000000</v>
      </c>
      <c r="T17" s="12"/>
      <c r="U17" s="17">
        <f t="shared" si="8"/>
        <v>1684000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9"/>
        <v>80000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5"/>
        <v>0</v>
      </c>
      <c r="BA17" s="58"/>
      <c r="BB17" s="58"/>
      <c r="BC17" s="15"/>
      <c r="BD17" s="57">
        <f t="shared" si="13"/>
        <v>0</v>
      </c>
      <c r="BE17" s="82"/>
      <c r="BF17" s="29">
        <f t="shared" si="5"/>
        <v>0</v>
      </c>
      <c r="BG17" s="29">
        <v>12</v>
      </c>
      <c r="BH17" s="15"/>
      <c r="BI17" s="15"/>
      <c r="BJ17" s="15"/>
      <c r="BK17" s="15"/>
      <c r="BL17" s="61"/>
      <c r="BO17" s="62" t="s">
        <v>142</v>
      </c>
      <c r="BQ17" s="62">
        <f>SUM(BQ6:BQ16)</f>
        <v>4031000</v>
      </c>
      <c r="BR17" s="9">
        <v>0</v>
      </c>
      <c r="BS17" s="9">
        <f t="shared" si="14"/>
        <v>0</v>
      </c>
    </row>
    <row r="18" spans="1:71" ht="18.5" x14ac:dyDescent="0.45">
      <c r="A18" s="1" t="s">
        <v>22</v>
      </c>
      <c r="B18" s="1" t="str">
        <f>VLOOKUP(A18,[5]LISTADHERENT!A$5:H$50,3,0)</f>
        <v>KOUAMOU MOISE</v>
      </c>
      <c r="C18" s="5">
        <f t="shared" si="6"/>
        <v>-170000</v>
      </c>
      <c r="D18" s="9">
        <v>260000</v>
      </c>
      <c r="E18" s="9">
        <v>0</v>
      </c>
      <c r="F18" s="9">
        <v>0</v>
      </c>
      <c r="G18" s="5">
        <v>0</v>
      </c>
      <c r="H18" s="10" t="str">
        <f t="shared" si="0"/>
        <v>BANQUE</v>
      </c>
      <c r="I18" s="10">
        <v>5500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104500</v>
      </c>
      <c r="S18" s="20">
        <v>170000</v>
      </c>
      <c r="T18" s="12"/>
      <c r="U18" s="17">
        <f t="shared" si="8"/>
        <v>430000</v>
      </c>
      <c r="V18" s="12"/>
      <c r="W18" s="12"/>
      <c r="X18" s="12"/>
      <c r="Y18" s="12"/>
      <c r="Z18" s="12">
        <v>346500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30500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5"/>
        <v>346500</v>
      </c>
      <c r="BA18" s="58"/>
      <c r="BB18" s="58"/>
      <c r="BC18" s="15"/>
      <c r="BD18" s="57">
        <f t="shared" si="13"/>
        <v>346500</v>
      </c>
      <c r="BE18" s="82"/>
      <c r="BF18" s="29">
        <f t="shared" si="5"/>
        <v>0</v>
      </c>
      <c r="BG18" s="29">
        <v>0</v>
      </c>
      <c r="BH18" s="15"/>
      <c r="BI18" s="15"/>
      <c r="BJ18" s="15"/>
      <c r="BK18" s="15"/>
      <c r="BL18" s="61"/>
      <c r="BO18" s="62"/>
      <c r="BQ18" s="6"/>
      <c r="BR18" s="9">
        <v>110000</v>
      </c>
      <c r="BS18" s="9">
        <f t="shared" si="14"/>
        <v>110000</v>
      </c>
    </row>
    <row r="19" spans="1:71" ht="18.5" x14ac:dyDescent="0.45">
      <c r="A19" s="1" t="s">
        <v>23</v>
      </c>
      <c r="B19" s="1" t="str">
        <f>VLOOKUP(A19,[5]LISTADHERENT!A$5:H$50,3,0)</f>
        <v>KOUATCHO MESSACK</v>
      </c>
      <c r="C19" s="5">
        <f t="shared" si="6"/>
        <v>0</v>
      </c>
      <c r="D19" s="9">
        <v>611000</v>
      </c>
      <c r="E19" s="9">
        <v>0</v>
      </c>
      <c r="F19" s="9">
        <v>0</v>
      </c>
      <c r="G19" s="5">
        <v>0</v>
      </c>
      <c r="H19" s="10" t="str">
        <f t="shared" si="0"/>
        <v>BANQUE</v>
      </c>
      <c r="I19" s="10">
        <v>10000</v>
      </c>
      <c r="J19" s="11">
        <v>1</v>
      </c>
      <c r="K19" s="11">
        <f t="shared" si="7"/>
        <v>50000</v>
      </c>
      <c r="L19" s="6"/>
      <c r="M19" s="11">
        <f t="shared" si="1"/>
        <v>0</v>
      </c>
      <c r="N19" s="6">
        <v>1</v>
      </c>
      <c r="O19" s="11">
        <f t="shared" si="2"/>
        <v>100000</v>
      </c>
      <c r="P19" s="2">
        <v>0</v>
      </c>
      <c r="Q19" s="2">
        <v>0</v>
      </c>
      <c r="R19" s="2">
        <v>101000</v>
      </c>
      <c r="S19" s="20">
        <v>350000</v>
      </c>
      <c r="T19" s="12"/>
      <c r="U19" s="17">
        <f t="shared" si="8"/>
        <v>611000</v>
      </c>
      <c r="V19" s="12"/>
      <c r="W19" s="12"/>
      <c r="X19" s="12"/>
      <c r="Y19" s="12"/>
      <c r="Z19" s="12">
        <v>1000000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35000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5"/>
        <v>880000</v>
      </c>
      <c r="BA19" s="58"/>
      <c r="BB19" s="58"/>
      <c r="BC19" s="15"/>
      <c r="BD19" s="57">
        <f t="shared" si="13"/>
        <v>880000</v>
      </c>
      <c r="BE19" s="82" t="s">
        <v>186</v>
      </c>
      <c r="BF19" s="29">
        <f t="shared" si="5"/>
        <v>120000</v>
      </c>
      <c r="BG19" s="29">
        <v>12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>
        <v>1026618</v>
      </c>
      <c r="BR19" s="9">
        <v>461000</v>
      </c>
      <c r="BS19" s="9">
        <f t="shared" si="14"/>
        <v>461000</v>
      </c>
    </row>
    <row r="20" spans="1:71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"/>
      <c r="F20" s="9"/>
      <c r="G20" s="5"/>
      <c r="H20" s="10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  <c r="BR20" s="9"/>
      <c r="BS20" s="9"/>
    </row>
    <row r="21" spans="1:71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6"/>
        <v>-487500</v>
      </c>
      <c r="D21" s="9">
        <v>50000</v>
      </c>
      <c r="E21" s="9">
        <v>0</v>
      </c>
      <c r="F21" s="9">
        <v>0</v>
      </c>
      <c r="G21" s="5">
        <v>0</v>
      </c>
      <c r="H21" s="10" t="str">
        <f t="shared" si="0"/>
        <v>BANQUE</v>
      </c>
      <c r="I21" s="10">
        <v>297500</v>
      </c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/>
      <c r="T21" s="12"/>
      <c r="U21" s="17">
        <f>G21+S21++R21+P21+O21+M21+I21+K21+Q21+V21+W21</f>
        <v>347500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322500</v>
      </c>
      <c r="AT21" s="15"/>
      <c r="AV21" s="15"/>
      <c r="AW21" s="15">
        <f t="shared" si="10"/>
        <v>297500</v>
      </c>
      <c r="AX21" s="15">
        <f t="shared" si="11"/>
        <v>0</v>
      </c>
      <c r="AY21" s="15">
        <f t="shared" si="12"/>
        <v>0</v>
      </c>
      <c r="AZ21" s="16">
        <f t="shared" si="15"/>
        <v>297500</v>
      </c>
      <c r="BA21" s="58">
        <v>297500</v>
      </c>
      <c r="BB21" s="58">
        <v>190000</v>
      </c>
      <c r="BC21" s="15"/>
      <c r="BD21" s="57"/>
      <c r="BE21" s="82"/>
      <c r="BF21" s="29">
        <f t="shared" si="5"/>
        <v>0</v>
      </c>
      <c r="BG21" s="29">
        <v>12</v>
      </c>
      <c r="BH21" s="15"/>
      <c r="BI21" s="15"/>
      <c r="BJ21" s="15"/>
      <c r="BK21" s="15"/>
      <c r="BL21" s="61"/>
      <c r="BQ21" s="6"/>
      <c r="BR21" s="9">
        <v>0</v>
      </c>
      <c r="BS21" s="9">
        <f t="shared" si="14"/>
        <v>0</v>
      </c>
    </row>
    <row r="22" spans="1:71" ht="18.5" x14ac:dyDescent="0.45">
      <c r="A22" s="1" t="s">
        <v>25</v>
      </c>
      <c r="B22" s="1" t="str">
        <f>VLOOKUP(A22,[5]LISTADHERENT!A$5:H$50,3,0)</f>
        <v>MBOGNING TUGMA GUY</v>
      </c>
      <c r="C22" s="5">
        <f t="shared" si="6"/>
        <v>-66700</v>
      </c>
      <c r="D22" s="9">
        <v>225000</v>
      </c>
      <c r="E22" s="9">
        <v>1536000</v>
      </c>
      <c r="F22" s="9">
        <v>0</v>
      </c>
      <c r="G22" s="5"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>
        <v>1</v>
      </c>
      <c r="O22" s="11">
        <f t="shared" si="2"/>
        <v>100000</v>
      </c>
      <c r="P22" s="2">
        <v>132000</v>
      </c>
      <c r="Q22" s="2">
        <v>202000</v>
      </c>
      <c r="R22" s="2">
        <v>202000</v>
      </c>
      <c r="S22" s="20">
        <v>1000000</v>
      </c>
      <c r="T22" s="12"/>
      <c r="U22" s="17">
        <f t="shared" si="8"/>
        <v>1761000</v>
      </c>
      <c r="V22" s="12"/>
      <c r="W22" s="12"/>
      <c r="X22" s="12"/>
      <c r="Y22" s="12"/>
      <c r="Z22" s="12">
        <v>1000000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5"/>
        <v>970000</v>
      </c>
      <c r="BA22" s="58">
        <v>970000</v>
      </c>
      <c r="BB22" s="58">
        <v>66700</v>
      </c>
      <c r="BC22" s="15"/>
      <c r="BD22" s="57"/>
      <c r="BE22" s="82"/>
      <c r="BF22" s="29">
        <f t="shared" si="5"/>
        <v>30000</v>
      </c>
      <c r="BG22" s="29">
        <v>3</v>
      </c>
      <c r="BH22" s="15"/>
      <c r="BI22" s="15"/>
      <c r="BJ22" s="15"/>
      <c r="BK22" s="15"/>
      <c r="BL22" s="61"/>
      <c r="BQ22" s="6"/>
      <c r="BR22" s="9">
        <v>0</v>
      </c>
      <c r="BS22" s="9">
        <f t="shared" si="14"/>
        <v>0</v>
      </c>
    </row>
    <row r="23" spans="1:71" ht="18.5" x14ac:dyDescent="0.45">
      <c r="A23" s="1" t="s">
        <v>26</v>
      </c>
      <c r="B23" s="1" t="str">
        <f>VLOOKUP(A23,[5]LISTADHERENT!A$5:H$50,3,0)</f>
        <v>NANGUEN MARTIN</v>
      </c>
      <c r="C23" s="5">
        <f t="shared" si="6"/>
        <v>-283500</v>
      </c>
      <c r="D23" s="9">
        <v>0</v>
      </c>
      <c r="E23" s="9">
        <v>66500</v>
      </c>
      <c r="F23" s="9">
        <v>0</v>
      </c>
      <c r="G23" s="5">
        <v>0</v>
      </c>
      <c r="H23" s="10" t="str">
        <f t="shared" si="0"/>
        <v>ESPECES</v>
      </c>
      <c r="I23" s="10"/>
      <c r="J23" s="11">
        <v>1</v>
      </c>
      <c r="K23" s="11">
        <f t="shared" si="7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v>0</v>
      </c>
      <c r="Q23" s="2">
        <v>0</v>
      </c>
      <c r="R23" s="2">
        <v>0</v>
      </c>
      <c r="S23" s="20">
        <f>296500+3500</f>
        <v>300000</v>
      </c>
      <c r="T23" s="12"/>
      <c r="U23" s="17">
        <f t="shared" si="8"/>
        <v>350000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>SUM(AV23:AY23)-BF23+Z23-F23+BH23+BI23+BJ23+BK23+BL23+BM23+46500</f>
        <v>46500</v>
      </c>
      <c r="BA23" s="58"/>
      <c r="BB23" s="58"/>
      <c r="BC23" s="15"/>
      <c r="BD23" s="57">
        <f t="shared" si="13"/>
        <v>46500</v>
      </c>
      <c r="BE23" s="82"/>
      <c r="BF23" s="29">
        <f>Z23*1/100*BG23+46500-46500</f>
        <v>0</v>
      </c>
      <c r="BG23" s="29">
        <v>12</v>
      </c>
      <c r="BH23" s="15"/>
      <c r="BI23" s="15"/>
      <c r="BJ23" s="15"/>
      <c r="BK23" s="15"/>
      <c r="BL23" s="61"/>
      <c r="BQ23" s="6"/>
      <c r="BR23" s="9">
        <v>0</v>
      </c>
      <c r="BS23" s="9">
        <f t="shared" si="14"/>
        <v>0</v>
      </c>
    </row>
    <row r="24" spans="1:71" ht="18.5" x14ac:dyDescent="0.45">
      <c r="A24" s="1" t="s">
        <v>27</v>
      </c>
      <c r="B24" s="1" t="str">
        <f>VLOOKUP(A24,[5]LISTADHERENT!A$5:H$50,3,0)</f>
        <v>NANKAM APPOLINAIRE</v>
      </c>
      <c r="C24" s="5">
        <f t="shared" si="6"/>
        <v>-107500</v>
      </c>
      <c r="D24" s="9">
        <v>125000</v>
      </c>
      <c r="E24" s="9">
        <v>0</v>
      </c>
      <c r="F24" s="9">
        <v>0</v>
      </c>
      <c r="G24" s="5">
        <v>0</v>
      </c>
      <c r="H24" s="10" t="str">
        <f t="shared" si="0"/>
        <v>BANQUE</v>
      </c>
      <c r="I24" s="10"/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v>0</v>
      </c>
      <c r="Q24" s="2">
        <v>0</v>
      </c>
      <c r="R24" s="2">
        <v>0</v>
      </c>
      <c r="S24" s="20">
        <v>107500</v>
      </c>
      <c r="T24" s="12"/>
      <c r="U24" s="17">
        <f t="shared" si="8"/>
        <v>232500</v>
      </c>
      <c r="V24" s="12"/>
      <c r="W24" s="12"/>
      <c r="X24" s="12"/>
      <c r="Y24" s="12"/>
      <c r="Z24" s="12">
        <v>900000</v>
      </c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 t="shared" si="12"/>
        <v>0</v>
      </c>
      <c r="AZ24" s="16">
        <f t="shared" si="15"/>
        <v>792000</v>
      </c>
      <c r="BA24" s="58"/>
      <c r="BB24" s="58"/>
      <c r="BC24" s="15"/>
      <c r="BD24" s="57">
        <f t="shared" si="13"/>
        <v>792000</v>
      </c>
      <c r="BE24" s="82" t="s">
        <v>186</v>
      </c>
      <c r="BF24" s="29">
        <f t="shared" si="5"/>
        <v>108000</v>
      </c>
      <c r="BG24" s="29">
        <v>12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1026618</v>
      </c>
      <c r="BR24" s="9">
        <v>0</v>
      </c>
      <c r="BS24" s="9">
        <f t="shared" si="14"/>
        <v>0</v>
      </c>
    </row>
    <row r="25" spans="1:71" ht="18.5" x14ac:dyDescent="0.45">
      <c r="A25" s="1" t="s">
        <v>28</v>
      </c>
      <c r="B25" s="1" t="str">
        <f>VLOOKUP(A25,[5]LISTADHERENT!A$5:H$50,3,0)</f>
        <v>NDJOMO ETIENNE</v>
      </c>
      <c r="C25" s="5">
        <f t="shared" si="6"/>
        <v>0</v>
      </c>
      <c r="D25" s="9">
        <v>1164000</v>
      </c>
      <c r="E25" s="9">
        <v>0</v>
      </c>
      <c r="F25" s="9">
        <v>0</v>
      </c>
      <c r="G25" s="5">
        <v>0</v>
      </c>
      <c r="H25" s="10" t="str">
        <f t="shared" si="0"/>
        <v>BANQUE</v>
      </c>
      <c r="I25" s="10">
        <v>10000</v>
      </c>
      <c r="J25" s="11">
        <v>1</v>
      </c>
      <c r="K25" s="11">
        <f t="shared" si="7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v>0</v>
      </c>
      <c r="Q25" s="2">
        <v>0</v>
      </c>
      <c r="R25" s="2">
        <v>404000</v>
      </c>
      <c r="S25" s="20">
        <v>500000</v>
      </c>
      <c r="T25" s="12"/>
      <c r="U25" s="17">
        <f t="shared" si="8"/>
        <v>1164000</v>
      </c>
      <c r="V25" s="12"/>
      <c r="W25" s="12"/>
      <c r="X25" s="12"/>
      <c r="Y25" s="12"/>
      <c r="Z25" s="12">
        <v>500000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9"/>
        <v>35000</v>
      </c>
      <c r="AT25" s="15"/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5"/>
        <v>470000</v>
      </c>
      <c r="BA25" s="58"/>
      <c r="BB25" s="58"/>
      <c r="BC25" s="15"/>
      <c r="BD25" s="57">
        <f t="shared" si="13"/>
        <v>470000</v>
      </c>
      <c r="BE25" s="82" t="s">
        <v>186</v>
      </c>
      <c r="BF25" s="29">
        <f t="shared" si="5"/>
        <v>30000</v>
      </c>
      <c r="BG25" s="29">
        <v>6</v>
      </c>
      <c r="BH25" s="15"/>
      <c r="BI25" s="15"/>
      <c r="BJ25" s="15"/>
      <c r="BK25" s="15"/>
      <c r="BL25" s="61"/>
      <c r="BR25" s="9">
        <v>904000</v>
      </c>
      <c r="BS25" s="9">
        <f t="shared" si="14"/>
        <v>904000</v>
      </c>
    </row>
    <row r="26" spans="1:71" ht="18.5" x14ac:dyDescent="0.45">
      <c r="A26" s="1" t="s">
        <v>29</v>
      </c>
      <c r="B26" s="1" t="str">
        <f>VLOOKUP(A26,[5]LISTADHERENT!A$5:H$50,3,0)</f>
        <v>NGONDIEP CLAUDE</v>
      </c>
      <c r="C26" s="5">
        <f t="shared" si="6"/>
        <v>0</v>
      </c>
      <c r="D26" s="9">
        <v>442000</v>
      </c>
      <c r="E26" s="9">
        <v>500000</v>
      </c>
      <c r="F26" s="9">
        <v>0</v>
      </c>
      <c r="G26" s="5">
        <v>0</v>
      </c>
      <c r="H26" s="10" t="str">
        <f t="shared" si="0"/>
        <v>BANQUE</v>
      </c>
      <c r="I26" s="10">
        <v>13000</v>
      </c>
      <c r="J26" s="11">
        <v>1</v>
      </c>
      <c r="K26" s="11">
        <f t="shared" si="7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v>0</v>
      </c>
      <c r="Q26" s="2">
        <v>0</v>
      </c>
      <c r="R26" s="2">
        <v>204000</v>
      </c>
      <c r="S26" s="20">
        <v>500000</v>
      </c>
      <c r="T26" s="12"/>
      <c r="U26" s="17">
        <f t="shared" si="8"/>
        <v>942000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38000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>IF(AE26=0,AK26,(1*100000*12)+(AK26)-AE26)</f>
        <v>0</v>
      </c>
      <c r="AZ26" s="16">
        <f t="shared" si="15"/>
        <v>0</v>
      </c>
      <c r="BA26" s="58"/>
      <c r="BB26" s="58"/>
      <c r="BC26" s="15"/>
      <c r="BD26" s="57">
        <f t="shared" si="13"/>
        <v>0</v>
      </c>
      <c r="BE26" s="82"/>
      <c r="BF26" s="29">
        <f t="shared" si="5"/>
        <v>0</v>
      </c>
      <c r="BG26" s="29">
        <v>12</v>
      </c>
      <c r="BH26" s="15"/>
      <c r="BI26" s="15"/>
      <c r="BJ26" s="15"/>
      <c r="BK26" s="15"/>
      <c r="BL26" s="61"/>
      <c r="BO26" t="s">
        <v>148</v>
      </c>
      <c r="BP26" t="s">
        <v>143</v>
      </c>
      <c r="BQ26" s="6"/>
      <c r="BR26" s="9">
        <v>0</v>
      </c>
      <c r="BS26" s="9">
        <f t="shared" si="14"/>
        <v>0</v>
      </c>
    </row>
    <row r="27" spans="1:71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6"/>
        <v>-1000000</v>
      </c>
      <c r="D27" s="9">
        <v>375000</v>
      </c>
      <c r="E27" s="9">
        <v>0</v>
      </c>
      <c r="F27" s="9">
        <v>0</v>
      </c>
      <c r="G27" s="5"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>
        <v>3</v>
      </c>
      <c r="M27" s="11">
        <f t="shared" si="1"/>
        <v>225000</v>
      </c>
      <c r="N27" s="6">
        <v>1</v>
      </c>
      <c r="O27" s="11">
        <f t="shared" si="2"/>
        <v>100000</v>
      </c>
      <c r="P27" s="2">
        <v>0</v>
      </c>
      <c r="Q27" s="2">
        <v>0</v>
      </c>
      <c r="R27" s="2">
        <v>0</v>
      </c>
      <c r="S27" s="20">
        <v>1000000</v>
      </c>
      <c r="T27" s="12"/>
      <c r="U27" s="17">
        <f t="shared" si="8"/>
        <v>1375000</v>
      </c>
      <c r="V27" s="12"/>
      <c r="W27" s="12"/>
      <c r="X27" s="12"/>
      <c r="Y27" s="12"/>
      <c r="Z27" s="12">
        <v>1000000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5"/>
        <v>880000</v>
      </c>
      <c r="BA27" s="58"/>
      <c r="BB27" s="58"/>
      <c r="BC27" s="15"/>
      <c r="BD27" s="57">
        <f t="shared" si="13"/>
        <v>880000</v>
      </c>
      <c r="BE27" s="82" t="s">
        <v>186</v>
      </c>
      <c r="BF27" s="29">
        <f t="shared" si="5"/>
        <v>120000</v>
      </c>
      <c r="BG27" s="29">
        <v>12</v>
      </c>
      <c r="BH27" s="15"/>
      <c r="BI27" s="15"/>
      <c r="BJ27" s="15"/>
      <c r="BK27" s="15"/>
      <c r="BL27" s="61"/>
      <c r="BO27" t="s">
        <v>125</v>
      </c>
      <c r="BP27" t="s">
        <v>143</v>
      </c>
      <c r="BR27" s="9">
        <v>0</v>
      </c>
      <c r="BS27" s="9">
        <f t="shared" si="14"/>
        <v>0</v>
      </c>
    </row>
    <row r="28" spans="1:71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6"/>
        <v>0</v>
      </c>
      <c r="D28" s="9">
        <v>0</v>
      </c>
      <c r="E28" s="9">
        <v>1050000</v>
      </c>
      <c r="F28" s="9">
        <v>0</v>
      </c>
      <c r="G28" s="5">
        <v>0</v>
      </c>
      <c r="H28" s="10" t="str">
        <f t="shared" si="0"/>
        <v>ESPECES</v>
      </c>
      <c r="I28" s="10"/>
      <c r="J28" s="11">
        <v>1</v>
      </c>
      <c r="K28" s="11">
        <f t="shared" si="7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>
        <v>1000000</v>
      </c>
      <c r="T28" s="12"/>
      <c r="U28" s="17">
        <f t="shared" si="8"/>
        <v>1050000</v>
      </c>
      <c r="V28" s="12"/>
      <c r="W28" s="12"/>
      <c r="X28" s="12"/>
      <c r="Y28" s="12"/>
      <c r="Z28" s="12">
        <v>1000000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5"/>
        <v>970000</v>
      </c>
      <c r="BA28" s="58">
        <v>144500</v>
      </c>
      <c r="BB28" s="58"/>
      <c r="BC28" s="15"/>
      <c r="BD28" s="57">
        <f t="shared" si="13"/>
        <v>825500</v>
      </c>
      <c r="BE28" s="82" t="s">
        <v>186</v>
      </c>
      <c r="BF28" s="29">
        <f t="shared" si="5"/>
        <v>30000</v>
      </c>
      <c r="BG28" s="29">
        <v>3</v>
      </c>
      <c r="BH28" s="15"/>
      <c r="BI28" s="15"/>
      <c r="BJ28" s="15"/>
      <c r="BK28" s="15"/>
      <c r="BL28" s="61"/>
      <c r="BO28" t="s">
        <v>144</v>
      </c>
      <c r="BP28" t="s">
        <v>143</v>
      </c>
      <c r="BQ28" s="62"/>
      <c r="BR28" s="9">
        <v>0</v>
      </c>
      <c r="BS28" s="9">
        <f t="shared" si="14"/>
        <v>0</v>
      </c>
    </row>
    <row r="29" spans="1:71" ht="18.5" x14ac:dyDescent="0.45">
      <c r="A29" s="1" t="s">
        <v>158</v>
      </c>
      <c r="B29" s="1" t="str">
        <f>VLOOKUP(A29,[5]LISTADHERENT!A$5:H$50,3,0)</f>
        <v>NOUBE ETIENNE</v>
      </c>
      <c r="C29" s="5">
        <f t="shared" si="6"/>
        <v>-50000</v>
      </c>
      <c r="D29" s="9">
        <v>50000</v>
      </c>
      <c r="E29" s="9">
        <v>0</v>
      </c>
      <c r="F29" s="9">
        <v>0</v>
      </c>
      <c r="G29" s="5">
        <v>0</v>
      </c>
      <c r="H29" s="10" t="str">
        <f t="shared" si="0"/>
        <v>BANQUE</v>
      </c>
      <c r="I29" s="10"/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0</v>
      </c>
      <c r="Q29" s="2">
        <v>0</v>
      </c>
      <c r="R29" s="2">
        <v>0</v>
      </c>
      <c r="S29" s="20">
        <v>50000</v>
      </c>
      <c r="T29" s="12"/>
      <c r="U29" s="17">
        <f t="shared" si="8"/>
        <v>100000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>SUM(AV29:AY29)-BF29+Z29-F29+BH29+BI29+BJ29+BK29+BL29+BM29+7750</f>
        <v>7750</v>
      </c>
      <c r="BA29" s="58"/>
      <c r="BB29" s="58"/>
      <c r="BC29" s="15"/>
      <c r="BD29" s="57">
        <f t="shared" si="13"/>
        <v>7750</v>
      </c>
      <c r="BE29" s="82"/>
      <c r="BF29" s="29">
        <f>Z29*1/100*BG29+7750-7750</f>
        <v>0</v>
      </c>
      <c r="BG29" s="29">
        <v>3</v>
      </c>
      <c r="BH29" s="15"/>
      <c r="BI29" s="15"/>
      <c r="BJ29" s="15"/>
      <c r="BK29" s="15"/>
      <c r="BL29" s="61"/>
      <c r="BQ29" s="6"/>
      <c r="BR29" s="9">
        <v>0</v>
      </c>
      <c r="BS29" s="9">
        <f t="shared" si="14"/>
        <v>0</v>
      </c>
    </row>
    <row r="30" spans="1:71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6"/>
        <v>-27000</v>
      </c>
      <c r="D30" s="9">
        <v>125000</v>
      </c>
      <c r="E30" s="9">
        <v>0</v>
      </c>
      <c r="F30" s="9">
        <v>0</v>
      </c>
      <c r="G30" s="5">
        <v>0</v>
      </c>
      <c r="H30" s="10" t="str">
        <f t="shared" si="0"/>
        <v>BANQUE</v>
      </c>
      <c r="I30" s="10">
        <v>27000</v>
      </c>
      <c r="J30" s="11">
        <v>1</v>
      </c>
      <c r="K30" s="11">
        <f t="shared" si="7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v>0</v>
      </c>
      <c r="Q30" s="2">
        <v>0</v>
      </c>
      <c r="R30" s="2">
        <v>0</v>
      </c>
      <c r="S30" s="20"/>
      <c r="T30" s="12"/>
      <c r="U30" s="17">
        <f t="shared" si="8"/>
        <v>152000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52000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5"/>
        <v>0</v>
      </c>
      <c r="BA30" s="58"/>
      <c r="BB30" s="58"/>
      <c r="BC30" s="15"/>
      <c r="BD30" s="57">
        <f t="shared" si="13"/>
        <v>0</v>
      </c>
      <c r="BE30" s="82"/>
      <c r="BF30" s="29">
        <f t="shared" si="5"/>
        <v>0</v>
      </c>
      <c r="BG30" s="29">
        <v>12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  <c r="BR30" s="9">
        <v>0</v>
      </c>
      <c r="BS30" s="9">
        <f t="shared" si="14"/>
        <v>0</v>
      </c>
    </row>
    <row r="31" spans="1:71" ht="18.5" x14ac:dyDescent="0.45">
      <c r="A31" s="1" t="s">
        <v>159</v>
      </c>
      <c r="B31" s="1" t="str">
        <f>VLOOKUP(A31,[5]LISTADHERENT!A$5:H$50,3,0)</f>
        <v>SEUMO POLYCARPE</v>
      </c>
      <c r="C31" s="5">
        <f t="shared" si="6"/>
        <v>-115000</v>
      </c>
      <c r="D31" s="9">
        <v>110000</v>
      </c>
      <c r="E31" s="9">
        <v>0</v>
      </c>
      <c r="F31" s="9">
        <v>0</v>
      </c>
      <c r="G31" s="5">
        <v>0</v>
      </c>
      <c r="H31" s="10" t="str">
        <f t="shared" si="0"/>
        <v>BANQUE</v>
      </c>
      <c r="I31" s="10">
        <v>-1000</v>
      </c>
      <c r="J31" s="11">
        <v>1</v>
      </c>
      <c r="K31" s="11">
        <f t="shared" si="7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v>61000</v>
      </c>
      <c r="Q31" s="2">
        <v>0</v>
      </c>
      <c r="R31" s="2">
        <v>0</v>
      </c>
      <c r="S31" s="20"/>
      <c r="T31" s="12"/>
      <c r="U31" s="17">
        <f t="shared" si="8"/>
        <v>110000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24000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5"/>
        <v>980000</v>
      </c>
      <c r="BA31" s="58">
        <v>980000</v>
      </c>
      <c r="BB31" s="58">
        <v>115000</v>
      </c>
      <c r="BC31" s="15"/>
      <c r="BD31" s="57"/>
      <c r="BE31" s="82"/>
      <c r="BF31" s="29">
        <f t="shared" si="5"/>
        <v>120000</v>
      </c>
      <c r="BG31" s="29">
        <v>12</v>
      </c>
      <c r="BH31" s="15"/>
      <c r="BI31" s="15"/>
      <c r="BJ31" s="15"/>
      <c r="BK31" s="15">
        <v>100000</v>
      </c>
      <c r="BL31" s="61"/>
      <c r="BO31" s="62"/>
      <c r="BQ31" s="6"/>
      <c r="BR31" s="9">
        <v>60000</v>
      </c>
      <c r="BS31" s="9">
        <f t="shared" si="14"/>
        <v>60000</v>
      </c>
    </row>
    <row r="32" spans="1:71" ht="18.5" x14ac:dyDescent="0.45">
      <c r="A32" s="1" t="s">
        <v>35</v>
      </c>
      <c r="B32" s="1" t="str">
        <f>VLOOKUP(A32,[5]LISTADHERENT!A$5:H$50,3,0)</f>
        <v>SIME BRICE</v>
      </c>
      <c r="C32" s="5">
        <f t="shared" si="6"/>
        <v>0</v>
      </c>
      <c r="D32" s="9">
        <v>452000</v>
      </c>
      <c r="E32" s="9">
        <v>1000000</v>
      </c>
      <c r="F32" s="9">
        <v>0</v>
      </c>
      <c r="G32" s="5"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v>0</v>
      </c>
      <c r="Q32" s="2">
        <v>0</v>
      </c>
      <c r="R32" s="2">
        <v>202000</v>
      </c>
      <c r="S32" s="20">
        <v>1000000</v>
      </c>
      <c r="T32" s="12"/>
      <c r="U32" s="17">
        <f t="shared" si="8"/>
        <v>1452000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5"/>
        <v>970000</v>
      </c>
      <c r="BA32" s="58">
        <v>880000</v>
      </c>
      <c r="BB32" s="58"/>
      <c r="BC32" s="15"/>
      <c r="BD32" s="57">
        <f t="shared" si="13"/>
        <v>90000</v>
      </c>
      <c r="BE32" s="82"/>
      <c r="BF32" s="29">
        <f t="shared" si="5"/>
        <v>30000</v>
      </c>
      <c r="BG32" s="29">
        <v>3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  <c r="BR32" s="9">
        <v>0</v>
      </c>
      <c r="BS32" s="9">
        <f t="shared" si="14"/>
        <v>0</v>
      </c>
    </row>
    <row r="33" spans="1:71" ht="18.5" x14ac:dyDescent="0.45">
      <c r="A33" s="21" t="s">
        <v>33</v>
      </c>
      <c r="B33" s="1" t="str">
        <f>VLOOKUP(A33,[5]LISTADHERENT!A$5:H$50,3,0)</f>
        <v>SIMO FONGANG ERIC</v>
      </c>
      <c r="C33" s="5"/>
      <c r="D33" s="9"/>
      <c r="E33" s="9"/>
      <c r="F33" s="9"/>
      <c r="G33" s="5"/>
      <c r="H33" s="10"/>
      <c r="I33" s="10"/>
      <c r="J33" s="11"/>
      <c r="K33" s="11"/>
      <c r="L33" s="6"/>
      <c r="M33" s="11"/>
      <c r="N33" s="6"/>
      <c r="O33" s="11"/>
      <c r="P33" s="2"/>
      <c r="Q33" s="2"/>
      <c r="R33" s="2"/>
      <c r="S33" s="20"/>
      <c r="T33" s="12"/>
      <c r="U33" s="17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/>
      <c r="AR33" s="8"/>
      <c r="AS33" s="13"/>
      <c r="AT33" s="15"/>
      <c r="AV33" s="15"/>
      <c r="AW33" s="15"/>
      <c r="AX33" s="15"/>
      <c r="AY33" s="15"/>
      <c r="AZ33" s="16"/>
      <c r="BA33" s="58"/>
      <c r="BB33" s="58"/>
      <c r="BC33" s="15"/>
      <c r="BD33" s="57"/>
      <c r="BE33" s="82"/>
      <c r="BF33" s="29"/>
      <c r="BG33" s="29"/>
      <c r="BH33" s="15"/>
      <c r="BI33" s="15"/>
      <c r="BJ33" s="15"/>
      <c r="BK33" s="15"/>
      <c r="BL33" s="61"/>
      <c r="BQ33" s="6"/>
      <c r="BR33" s="9"/>
      <c r="BS33" s="9"/>
    </row>
    <row r="34" spans="1:71" ht="18.5" x14ac:dyDescent="0.45">
      <c r="A34" s="1" t="s">
        <v>37</v>
      </c>
      <c r="B34" s="1" t="str">
        <f>VLOOKUP(A34,[5]LISTADHERENT!A$5:H$50,3,0)</f>
        <v>SIMO PIERRE</v>
      </c>
      <c r="C34" s="5">
        <f t="shared" si="6"/>
        <v>0</v>
      </c>
      <c r="D34" s="9">
        <v>1150000</v>
      </c>
      <c r="E34" s="9">
        <v>0</v>
      </c>
      <c r="F34" s="9">
        <v>0</v>
      </c>
      <c r="G34" s="5">
        <v>0</v>
      </c>
      <c r="H34" s="10" t="str">
        <f t="shared" si="0"/>
        <v>BANQUE</v>
      </c>
      <c r="I34" s="10"/>
      <c r="J34" s="11">
        <v>1</v>
      </c>
      <c r="K34" s="11">
        <f t="shared" si="7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v>0</v>
      </c>
      <c r="Q34" s="2">
        <v>0</v>
      </c>
      <c r="R34" s="2">
        <v>0</v>
      </c>
      <c r="S34" s="20">
        <v>1000000</v>
      </c>
      <c r="T34" s="12"/>
      <c r="U34" s="17">
        <f t="shared" si="8"/>
        <v>1150000</v>
      </c>
      <c r="V34" s="12"/>
      <c r="W34" s="12"/>
      <c r="X34" s="12"/>
      <c r="Y34" s="12"/>
      <c r="Z34" s="12">
        <v>1000000</v>
      </c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25000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5"/>
        <v>880000</v>
      </c>
      <c r="BA34" s="58"/>
      <c r="BB34" s="58"/>
      <c r="BC34" s="15"/>
      <c r="BD34" s="57">
        <f t="shared" si="13"/>
        <v>880000</v>
      </c>
      <c r="BE34" s="82" t="s">
        <v>186</v>
      </c>
      <c r="BF34" s="29">
        <f t="shared" si="5"/>
        <v>120000</v>
      </c>
      <c r="BG34" s="29">
        <v>12</v>
      </c>
      <c r="BH34" s="15"/>
      <c r="BI34" s="15"/>
      <c r="BJ34" s="15"/>
      <c r="BK34" s="15"/>
      <c r="BL34" s="61"/>
      <c r="BO34" t="s">
        <v>129</v>
      </c>
      <c r="BP34" t="s">
        <v>50</v>
      </c>
      <c r="BQ34" s="6"/>
      <c r="BR34" s="9">
        <v>1000000</v>
      </c>
      <c r="BS34" s="9">
        <f t="shared" si="14"/>
        <v>1000000</v>
      </c>
    </row>
    <row r="35" spans="1:71" ht="18.5" x14ac:dyDescent="0.45">
      <c r="A35" s="1" t="s">
        <v>38</v>
      </c>
      <c r="B35" s="1" t="str">
        <f>VLOOKUP(A35,[5]LISTADHERENT!A$5:H$50,3,0)</f>
        <v>TCHOUAMOU MATHIEU</v>
      </c>
      <c r="C35" s="5">
        <f t="shared" si="6"/>
        <v>0</v>
      </c>
      <c r="D35" s="9">
        <v>327000</v>
      </c>
      <c r="E35" s="9">
        <v>0</v>
      </c>
      <c r="F35" s="9">
        <v>0</v>
      </c>
      <c r="G35" s="5">
        <v>0</v>
      </c>
      <c r="H35" s="10" t="str">
        <f t="shared" si="0"/>
        <v>BANQUE</v>
      </c>
      <c r="I35" s="10"/>
      <c r="J35" s="11">
        <v>1</v>
      </c>
      <c r="K35" s="11">
        <f t="shared" si="7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v>0</v>
      </c>
      <c r="Q35" s="2">
        <v>202000</v>
      </c>
      <c r="R35" s="2">
        <v>0</v>
      </c>
      <c r="S35" s="20"/>
      <c r="T35" s="12"/>
      <c r="U35" s="17">
        <f t="shared" si="8"/>
        <v>327000</v>
      </c>
      <c r="V35" s="12"/>
      <c r="W35" s="12"/>
      <c r="X35" s="12"/>
      <c r="Y35" s="12"/>
      <c r="Z35" s="12">
        <v>1000000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25000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5"/>
        <v>880000</v>
      </c>
      <c r="BA35" s="58"/>
      <c r="BB35" s="58"/>
      <c r="BC35" s="15"/>
      <c r="BD35" s="57">
        <f t="shared" si="13"/>
        <v>880000</v>
      </c>
      <c r="BE35" s="82" t="s">
        <v>186</v>
      </c>
      <c r="BF35" s="29">
        <f t="shared" si="5"/>
        <v>120000</v>
      </c>
      <c r="BG35" s="29">
        <v>12</v>
      </c>
      <c r="BH35" s="15"/>
      <c r="BI35" s="15"/>
      <c r="BJ35" s="15"/>
      <c r="BK35" s="15"/>
      <c r="BL35" s="61"/>
      <c r="BO35" t="s">
        <v>203</v>
      </c>
      <c r="BR35" s="9">
        <v>0</v>
      </c>
      <c r="BS35" s="9">
        <f t="shared" si="14"/>
        <v>0</v>
      </c>
    </row>
    <row r="36" spans="1:71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6"/>
        <v>0</v>
      </c>
      <c r="D36" s="9">
        <v>160000</v>
      </c>
      <c r="E36" s="9">
        <v>0</v>
      </c>
      <c r="F36" s="9">
        <v>0</v>
      </c>
      <c r="G36" s="5">
        <v>0</v>
      </c>
      <c r="H36" s="10" t="str">
        <f t="shared" si="0"/>
        <v>BANQUE</v>
      </c>
      <c r="I36" s="10">
        <v>10000</v>
      </c>
      <c r="J36" s="11">
        <v>1</v>
      </c>
      <c r="K36" s="11">
        <f t="shared" si="7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v>0</v>
      </c>
      <c r="Q36" s="2">
        <v>0</v>
      </c>
      <c r="R36" s="2">
        <v>0</v>
      </c>
      <c r="S36" s="20"/>
      <c r="T36" s="12"/>
      <c r="U36" s="17">
        <f t="shared" si="8"/>
        <v>160000</v>
      </c>
      <c r="V36" s="12"/>
      <c r="W36" s="12"/>
      <c r="X36" s="12"/>
      <c r="Y36" s="12"/>
      <c r="Z36" s="12">
        <v>1000000</v>
      </c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35000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5"/>
        <v>880000</v>
      </c>
      <c r="BA36" s="58">
        <v>880000</v>
      </c>
      <c r="BB36" s="58"/>
      <c r="BC36" s="15"/>
      <c r="BD36" s="57">
        <f t="shared" si="13"/>
        <v>0</v>
      </c>
      <c r="BE36" s="82"/>
      <c r="BF36" s="29">
        <f t="shared" si="5"/>
        <v>120000</v>
      </c>
      <c r="BG36" s="29">
        <v>12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  <c r="BR36" s="9">
        <v>10000</v>
      </c>
      <c r="BS36" s="9">
        <f t="shared" si="14"/>
        <v>10000</v>
      </c>
    </row>
    <row r="37" spans="1:71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6"/>
        <v>-297500</v>
      </c>
      <c r="D37" s="9">
        <v>0</v>
      </c>
      <c r="E37" s="9">
        <v>50000</v>
      </c>
      <c r="F37" s="9">
        <v>0</v>
      </c>
      <c r="G37" s="5">
        <v>0</v>
      </c>
      <c r="H37" s="10" t="str">
        <f t="shared" si="0"/>
        <v>ESPECES</v>
      </c>
      <c r="I37" s="10">
        <v>297500</v>
      </c>
      <c r="J37" s="11">
        <v>1</v>
      </c>
      <c r="K37" s="11">
        <f t="shared" si="7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v>0</v>
      </c>
      <c r="Q37" s="2">
        <v>0</v>
      </c>
      <c r="R37" s="2">
        <v>0</v>
      </c>
      <c r="S37" s="20"/>
      <c r="T37" s="12"/>
      <c r="U37" s="17">
        <f t="shared" si="8"/>
        <v>347500</v>
      </c>
      <c r="V37" s="12"/>
      <c r="W37" s="12"/>
      <c r="X37" s="12"/>
      <c r="Y37" s="12"/>
      <c r="Z37" s="12"/>
      <c r="AA37" s="12"/>
      <c r="AB37" s="12"/>
      <c r="AC37" s="12">
        <v>2500</v>
      </c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9"/>
        <v>322500</v>
      </c>
      <c r="AT37" s="15"/>
      <c r="AV37" s="15"/>
      <c r="AW37" s="15">
        <f t="shared" si="10"/>
        <v>297500</v>
      </c>
      <c r="AX37" s="15">
        <f t="shared" si="11"/>
        <v>0</v>
      </c>
      <c r="AY37" s="15">
        <f t="shared" si="12"/>
        <v>0</v>
      </c>
      <c r="AZ37" s="16">
        <f t="shared" si="15"/>
        <v>297500</v>
      </c>
      <c r="BA37" s="58">
        <v>297500</v>
      </c>
      <c r="BB37" s="58"/>
      <c r="BC37" s="15"/>
      <c r="BD37" s="57">
        <f t="shared" si="13"/>
        <v>0</v>
      </c>
      <c r="BE37" s="82"/>
      <c r="BF37" s="29">
        <f t="shared" si="5"/>
        <v>0</v>
      </c>
      <c r="BG37" s="29">
        <v>12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  <c r="BR37" s="9">
        <v>0</v>
      </c>
      <c r="BS37" s="9">
        <f t="shared" si="14"/>
        <v>0</v>
      </c>
    </row>
    <row r="38" spans="1:71" ht="18.5" x14ac:dyDescent="0.45">
      <c r="A38" s="1" t="s">
        <v>218</v>
      </c>
      <c r="B38" s="1" t="str">
        <f>VLOOKUP(A38,[5]LISTADHERENT!A$5:H$50,3,0)</f>
        <v>TIEYAM ERNEST</v>
      </c>
      <c r="C38" s="5"/>
      <c r="D38" s="9"/>
      <c r="E38" s="9"/>
      <c r="F38" s="9"/>
      <c r="G38" s="5"/>
      <c r="H38" s="10"/>
      <c r="I38" s="10"/>
      <c r="J38" s="11"/>
      <c r="K38" s="11"/>
      <c r="L38" s="6"/>
      <c r="M38" s="11"/>
      <c r="N38" s="6"/>
      <c r="O38" s="11"/>
      <c r="P38" s="2"/>
      <c r="Q38" s="2"/>
      <c r="R38" s="2"/>
      <c r="S38" s="20"/>
      <c r="T38" s="12"/>
      <c r="U38" s="17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/>
      <c r="AR38" s="8"/>
      <c r="AS38" s="13"/>
      <c r="AT38" s="15"/>
      <c r="AV38" s="15"/>
      <c r="AW38" s="15"/>
      <c r="AX38" s="15"/>
      <c r="AY38" s="15"/>
      <c r="AZ38" s="16"/>
      <c r="BA38" s="58"/>
      <c r="BB38" s="58"/>
      <c r="BC38" s="15"/>
      <c r="BD38" s="57"/>
      <c r="BE38" s="82"/>
      <c r="BF38" s="29"/>
      <c r="BG38" s="29"/>
      <c r="BH38" s="15"/>
      <c r="BI38" s="15"/>
      <c r="BJ38" s="15"/>
      <c r="BK38" s="15"/>
      <c r="BL38" s="61"/>
      <c r="BO38" s="62"/>
      <c r="BQ38" s="62"/>
      <c r="BR38" s="9"/>
      <c r="BS38" s="9"/>
    </row>
    <row r="39" spans="1:71" ht="18.5" x14ac:dyDescent="0.45">
      <c r="A39" s="21" t="s">
        <v>160</v>
      </c>
      <c r="B39" s="1" t="str">
        <f>VLOOKUP(A39,[5]LISTADHERENT!A$5:H$50,3,0)</f>
        <v>YANTCHOU GERVAIS</v>
      </c>
      <c r="C39" s="5">
        <f t="shared" si="6"/>
        <v>0</v>
      </c>
      <c r="D39" s="9">
        <v>350000</v>
      </c>
      <c r="E39" s="9">
        <v>0</v>
      </c>
      <c r="F39" s="9">
        <v>0</v>
      </c>
      <c r="G39" s="5">
        <v>0</v>
      </c>
      <c r="H39" s="10" t="str">
        <f t="shared" si="0"/>
        <v>BANQUE</v>
      </c>
      <c r="I39" s="10"/>
      <c r="J39" s="11">
        <v>1</v>
      </c>
      <c r="K39" s="11">
        <f t="shared" si="7"/>
        <v>50000</v>
      </c>
      <c r="L39" s="6"/>
      <c r="M39" s="11">
        <f t="shared" si="1"/>
        <v>0</v>
      </c>
      <c r="N39" s="6"/>
      <c r="O39" s="11">
        <f t="shared" si="2"/>
        <v>0</v>
      </c>
      <c r="P39" s="2">
        <v>0</v>
      </c>
      <c r="Q39" s="2">
        <v>0</v>
      </c>
      <c r="R39" s="2">
        <v>0</v>
      </c>
      <c r="S39" s="20">
        <v>300000</v>
      </c>
      <c r="T39" s="12"/>
      <c r="U39" s="17">
        <f t="shared" si="8"/>
        <v>350000</v>
      </c>
      <c r="V39" s="12"/>
      <c r="W39" s="12"/>
      <c r="X39" s="12"/>
      <c r="Y39" s="12"/>
      <c r="Z39" s="12">
        <v>1000000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9"/>
        <v>25000</v>
      </c>
      <c r="AT39" s="15"/>
      <c r="AV39" s="15"/>
      <c r="AW39" s="15">
        <f t="shared" si="10"/>
        <v>0</v>
      </c>
      <c r="AX39" s="15">
        <f t="shared" si="11"/>
        <v>0</v>
      </c>
      <c r="AY39" s="15">
        <f t="shared" si="12"/>
        <v>0</v>
      </c>
      <c r="AZ39" s="16">
        <f t="shared" si="15"/>
        <v>880000</v>
      </c>
      <c r="BA39" s="58"/>
      <c r="BB39" s="58"/>
      <c r="BC39" s="15"/>
      <c r="BD39" s="57">
        <f t="shared" si="13"/>
        <v>880000</v>
      </c>
      <c r="BE39" s="82" t="s">
        <v>186</v>
      </c>
      <c r="BF39" s="29">
        <f t="shared" si="5"/>
        <v>120000</v>
      </c>
      <c r="BG39" s="29">
        <v>12</v>
      </c>
      <c r="BH39" s="15"/>
      <c r="BI39" s="15"/>
      <c r="BJ39" s="15"/>
      <c r="BK39" s="15"/>
      <c r="BL39" s="61"/>
      <c r="BR39" s="9">
        <v>290000</v>
      </c>
      <c r="BS39" s="9">
        <f t="shared" si="14"/>
        <v>290000</v>
      </c>
    </row>
    <row r="40" spans="1:71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6"/>
        <v>0</v>
      </c>
      <c r="D40" s="9">
        <v>0</v>
      </c>
      <c r="E40" s="9">
        <v>50000</v>
      </c>
      <c r="F40" s="9">
        <v>0</v>
      </c>
      <c r="G40" s="5">
        <v>0</v>
      </c>
      <c r="H40" s="10" t="str">
        <f t="shared" si="0"/>
        <v>ESPECES</v>
      </c>
      <c r="I40" s="10"/>
      <c r="J40" s="11">
        <v>1</v>
      </c>
      <c r="K40" s="11">
        <f t="shared" si="7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v>0</v>
      </c>
      <c r="Q40" s="2">
        <v>0</v>
      </c>
      <c r="R40" s="2">
        <v>0</v>
      </c>
      <c r="S40" s="20"/>
      <c r="T40" s="12"/>
      <c r="U40" s="17">
        <f t="shared" si="8"/>
        <v>50000</v>
      </c>
      <c r="V40" s="12"/>
      <c r="W40" s="12"/>
      <c r="X40" s="12"/>
      <c r="Y40" s="12"/>
      <c r="Z40" s="12"/>
      <c r="AA40" s="12"/>
      <c r="AB40" s="12"/>
      <c r="AC40" s="12">
        <v>2500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9"/>
        <v>25000</v>
      </c>
      <c r="AT40" s="15"/>
      <c r="AV40" s="15"/>
      <c r="AW40" s="15">
        <f t="shared" si="10"/>
        <v>297500</v>
      </c>
      <c r="AX40" s="15">
        <f t="shared" si="11"/>
        <v>0</v>
      </c>
      <c r="AY40" s="15">
        <f t="shared" si="12"/>
        <v>0</v>
      </c>
      <c r="AZ40" s="16">
        <f t="shared" si="15"/>
        <v>297500</v>
      </c>
      <c r="BA40" s="58">
        <v>297500</v>
      </c>
      <c r="BB40" s="58"/>
      <c r="BC40" s="15"/>
      <c r="BD40" s="57">
        <f t="shared" si="13"/>
        <v>0</v>
      </c>
      <c r="BE40" s="82"/>
      <c r="BF40" s="29">
        <f t="shared" si="5"/>
        <v>0</v>
      </c>
      <c r="BG40" s="29">
        <v>12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  <c r="BR40" s="9">
        <v>0</v>
      </c>
      <c r="BS40" s="9">
        <f t="shared" si="14"/>
        <v>0</v>
      </c>
    </row>
    <row r="41" spans="1:71" ht="18.5" x14ac:dyDescent="0.45">
      <c r="A41" s="1" t="s">
        <v>193</v>
      </c>
      <c r="B41" s="1" t="str">
        <f>VLOOKUP(A41,[5]LISTADHERENT!A$5:H$50,3,0)</f>
        <v>YIALA ALAIN OSCAR</v>
      </c>
      <c r="C41" s="5">
        <f t="shared" si="6"/>
        <v>0</v>
      </c>
      <c r="D41" s="9">
        <v>0</v>
      </c>
      <c r="E41" s="9">
        <v>150000</v>
      </c>
      <c r="F41" s="9">
        <v>0</v>
      </c>
      <c r="G41" s="5">
        <v>0</v>
      </c>
      <c r="H41" s="10" t="str">
        <f t="shared" si="0"/>
        <v>ESPECES</v>
      </c>
      <c r="I41" s="10"/>
      <c r="J41" s="11">
        <v>1</v>
      </c>
      <c r="K41" s="11">
        <f t="shared" si="7"/>
        <v>50000</v>
      </c>
      <c r="L41" s="6"/>
      <c r="M41" s="11">
        <f t="shared" si="1"/>
        <v>0</v>
      </c>
      <c r="N41" s="6">
        <v>1</v>
      </c>
      <c r="O41" s="11">
        <f t="shared" si="2"/>
        <v>100000</v>
      </c>
      <c r="P41" s="2">
        <v>0</v>
      </c>
      <c r="Q41" s="2">
        <v>0</v>
      </c>
      <c r="R41" s="2">
        <v>0</v>
      </c>
      <c r="S41" s="6"/>
      <c r="T41" s="12"/>
      <c r="U41" s="17">
        <f t="shared" si="8"/>
        <v>150000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9"/>
        <v>25000</v>
      </c>
      <c r="AT41" s="15"/>
      <c r="AV41" s="15"/>
      <c r="AW41" s="15">
        <f t="shared" si="10"/>
        <v>0</v>
      </c>
      <c r="AX41" s="15">
        <f t="shared" si="11"/>
        <v>0</v>
      </c>
      <c r="AY41" s="15">
        <f t="shared" si="12"/>
        <v>0</v>
      </c>
      <c r="AZ41" s="16">
        <f t="shared" si="15"/>
        <v>0</v>
      </c>
      <c r="BA41" s="58"/>
      <c r="BB41" s="58"/>
      <c r="BC41" s="15"/>
      <c r="BD41" s="57">
        <f t="shared" si="13"/>
        <v>0</v>
      </c>
      <c r="BE41" s="82"/>
      <c r="BF41" s="29">
        <f t="shared" si="5"/>
        <v>0</v>
      </c>
      <c r="BG41" s="29">
        <v>12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  <c r="BR41" s="9">
        <v>0</v>
      </c>
      <c r="BS41" s="9">
        <f t="shared" si="14"/>
        <v>0</v>
      </c>
    </row>
    <row r="42" spans="1:71" ht="18.5" x14ac:dyDescent="0.45">
      <c r="A42" s="1" t="s">
        <v>41</v>
      </c>
      <c r="B42" s="1" t="str">
        <f>VLOOKUP(A42,[5]LISTADHERENT!A$5:H$50,3,0)</f>
        <v>YOUMBI EMMANUEL</v>
      </c>
      <c r="C42" s="5">
        <f t="shared" si="6"/>
        <v>0</v>
      </c>
      <c r="D42" s="9">
        <v>125000</v>
      </c>
      <c r="E42" s="9">
        <v>0</v>
      </c>
      <c r="F42" s="9">
        <v>0</v>
      </c>
      <c r="G42" s="5">
        <v>0</v>
      </c>
      <c r="H42" s="10" t="str">
        <f t="shared" si="0"/>
        <v>BANQUE</v>
      </c>
      <c r="I42" s="10"/>
      <c r="J42" s="11">
        <v>1</v>
      </c>
      <c r="K42" s="11">
        <f t="shared" si="7"/>
        <v>50000</v>
      </c>
      <c r="L42" s="6">
        <v>1</v>
      </c>
      <c r="M42" s="11">
        <f t="shared" si="1"/>
        <v>75000</v>
      </c>
      <c r="N42" s="6"/>
      <c r="O42" s="11">
        <f t="shared" si="2"/>
        <v>0</v>
      </c>
      <c r="P42" s="2">
        <v>0</v>
      </c>
      <c r="Q42" s="2">
        <v>0</v>
      </c>
      <c r="R42" s="2">
        <v>0</v>
      </c>
      <c r="S42" s="6"/>
      <c r="T42" s="12"/>
      <c r="U42" s="17">
        <f t="shared" si="8"/>
        <v>125000</v>
      </c>
      <c r="V42" s="12"/>
      <c r="W42" s="12"/>
      <c r="X42" s="12"/>
      <c r="Y42" s="12"/>
      <c r="Z42" s="12">
        <v>500000</v>
      </c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9"/>
        <v>25000</v>
      </c>
      <c r="AT42" s="15"/>
      <c r="AV42" s="15"/>
      <c r="AW42" s="15">
        <f t="shared" si="10"/>
        <v>0</v>
      </c>
      <c r="AX42" s="15">
        <f t="shared" si="11"/>
        <v>0</v>
      </c>
      <c r="AY42" s="15">
        <f t="shared" si="12"/>
        <v>0</v>
      </c>
      <c r="AZ42" s="16">
        <f t="shared" si="15"/>
        <v>485000</v>
      </c>
      <c r="BA42" s="58">
        <v>485000</v>
      </c>
      <c r="BB42" s="58"/>
      <c r="BC42" s="15"/>
      <c r="BD42" s="57">
        <f t="shared" si="13"/>
        <v>0</v>
      </c>
      <c r="BE42" s="82"/>
      <c r="BF42" s="29">
        <f t="shared" si="5"/>
        <v>15000</v>
      </c>
      <c r="BG42" s="29">
        <v>3</v>
      </c>
      <c r="BH42" s="15"/>
      <c r="BI42" s="15"/>
      <c r="BJ42" s="15"/>
      <c r="BK42" s="15"/>
      <c r="BL42" s="15"/>
      <c r="BO42" t="s">
        <v>127</v>
      </c>
      <c r="BP42" t="s">
        <v>126</v>
      </c>
      <c r="BQ42" s="6"/>
      <c r="BR42" s="9">
        <v>0</v>
      </c>
      <c r="BS42" s="9">
        <f t="shared" si="14"/>
        <v>0</v>
      </c>
    </row>
    <row r="43" spans="1:71" ht="18.5" x14ac:dyDescent="0.45">
      <c r="P43" s="6"/>
      <c r="Q43" s="6"/>
      <c r="R43" s="6"/>
      <c r="S43" s="6"/>
      <c r="AW43" s="15"/>
      <c r="AX43" s="15"/>
      <c r="AY43" s="15"/>
      <c r="AZ43" s="16"/>
      <c r="BF43" s="29"/>
    </row>
    <row r="44" spans="1:71" ht="18.5" x14ac:dyDescent="0.45">
      <c r="B44" s="1" t="s">
        <v>44</v>
      </c>
      <c r="C44" s="5">
        <f t="shared" ref="C44:S44" si="16">SUM(C6:C43)</f>
        <v>-2706700</v>
      </c>
      <c r="D44" s="5">
        <f t="shared" si="16"/>
        <v>9103000</v>
      </c>
      <c r="E44" s="5">
        <f t="shared" si="16"/>
        <v>9052000</v>
      </c>
      <c r="F44" s="5">
        <f t="shared" si="16"/>
        <v>0</v>
      </c>
      <c r="G44" s="5">
        <f t="shared" si="16"/>
        <v>0</v>
      </c>
      <c r="H44" s="5">
        <f t="shared" si="16"/>
        <v>0</v>
      </c>
      <c r="I44" s="5">
        <f t="shared" si="16"/>
        <v>790500</v>
      </c>
      <c r="J44" s="5">
        <f t="shared" si="16"/>
        <v>32</v>
      </c>
      <c r="K44" s="5">
        <f t="shared" si="16"/>
        <v>1600000</v>
      </c>
      <c r="L44" s="5">
        <f t="shared" si="16"/>
        <v>16</v>
      </c>
      <c r="M44" s="5">
        <f t="shared" si="16"/>
        <v>1200000</v>
      </c>
      <c r="N44" s="5">
        <f t="shared" si="16"/>
        <v>18</v>
      </c>
      <c r="O44" s="5">
        <f t="shared" si="16"/>
        <v>1800000</v>
      </c>
      <c r="P44" s="5">
        <f t="shared" si="16"/>
        <v>315000</v>
      </c>
      <c r="Q44" s="5">
        <f t="shared" si="16"/>
        <v>942500</v>
      </c>
      <c r="R44" s="5">
        <f t="shared" si="16"/>
        <v>2025500</v>
      </c>
      <c r="S44" s="5">
        <f t="shared" si="16"/>
        <v>11817500</v>
      </c>
      <c r="T44" s="5"/>
      <c r="U44" s="5">
        <f t="shared" ref="U44:AA44" si="17">SUM(U6:U43)</f>
        <v>20491000</v>
      </c>
      <c r="V44" s="5">
        <f t="shared" si="17"/>
        <v>0</v>
      </c>
      <c r="W44" s="5">
        <f t="shared" si="17"/>
        <v>0</v>
      </c>
      <c r="X44" s="5">
        <f t="shared" si="17"/>
        <v>0</v>
      </c>
      <c r="Y44" s="5">
        <f t="shared" si="17"/>
        <v>0</v>
      </c>
      <c r="Z44" s="5">
        <f t="shared" si="17"/>
        <v>17931500</v>
      </c>
      <c r="AA44" s="5">
        <f t="shared" si="17"/>
        <v>0</v>
      </c>
      <c r="AB44" s="5"/>
      <c r="AC44" s="5">
        <f>SUM(AC6:AC43)</f>
        <v>7500</v>
      </c>
      <c r="AD44" s="5">
        <f>SUM(AD6:AD43)</f>
        <v>7500</v>
      </c>
      <c r="AE44" s="5">
        <f>SUM(AE6:AE43)</f>
        <v>10000</v>
      </c>
      <c r="AF44" s="5">
        <f>SUM(AF6:AF43)</f>
        <v>0</v>
      </c>
      <c r="AG44" s="5">
        <f>SUM(AG6:AG43)</f>
        <v>0</v>
      </c>
      <c r="AH44" s="5"/>
      <c r="AI44" s="5">
        <f t="shared" ref="AI44:BF44" si="18">SUM(AI6:AI43)</f>
        <v>0</v>
      </c>
      <c r="AJ44" s="5">
        <f t="shared" si="18"/>
        <v>0</v>
      </c>
      <c r="AK44" s="5">
        <f t="shared" si="18"/>
        <v>0</v>
      </c>
      <c r="AL44" s="5">
        <f t="shared" si="18"/>
        <v>0</v>
      </c>
      <c r="AM44" s="5">
        <f t="shared" si="18"/>
        <v>0</v>
      </c>
      <c r="AN44" s="5">
        <f t="shared" si="18"/>
        <v>0</v>
      </c>
      <c r="AO44" s="5">
        <f t="shared" si="18"/>
        <v>0</v>
      </c>
      <c r="AP44" s="5">
        <f t="shared" si="18"/>
        <v>0</v>
      </c>
      <c r="AQ44" s="5">
        <f t="shared" si="18"/>
        <v>0</v>
      </c>
      <c r="AR44" s="5">
        <f t="shared" si="18"/>
        <v>0</v>
      </c>
      <c r="AS44" s="5">
        <f t="shared" si="18"/>
        <v>1529500</v>
      </c>
      <c r="AT44" s="5">
        <f t="shared" si="18"/>
        <v>0</v>
      </c>
      <c r="AU44" s="5">
        <f t="shared" si="18"/>
        <v>0</v>
      </c>
      <c r="AV44" s="5">
        <f t="shared" si="18"/>
        <v>0</v>
      </c>
      <c r="AW44" s="5">
        <f t="shared" si="18"/>
        <v>892500</v>
      </c>
      <c r="AX44" s="5">
        <f t="shared" si="18"/>
        <v>892500</v>
      </c>
      <c r="AY44" s="5">
        <f t="shared" si="18"/>
        <v>1190000</v>
      </c>
      <c r="AZ44" s="5">
        <f t="shared" si="18"/>
        <v>21704250</v>
      </c>
      <c r="BA44" s="5">
        <f t="shared" si="18"/>
        <v>7523000</v>
      </c>
      <c r="BB44" s="5">
        <f t="shared" si="18"/>
        <v>371700</v>
      </c>
      <c r="BC44" s="5">
        <f t="shared" si="18"/>
        <v>0</v>
      </c>
      <c r="BD44" s="5">
        <f t="shared" si="18"/>
        <v>15207868</v>
      </c>
      <c r="BE44" s="5">
        <f t="shared" si="18"/>
        <v>0</v>
      </c>
      <c r="BF44" s="5">
        <f t="shared" si="18"/>
        <v>1398000</v>
      </c>
      <c r="BH44" s="5">
        <f t="shared" ref="BH44:BL44" si="19">SUM(BH6:BH43)</f>
        <v>4031000</v>
      </c>
      <c r="BI44" s="5">
        <f t="shared" si="19"/>
        <v>0</v>
      </c>
      <c r="BJ44" s="5">
        <f t="shared" si="19"/>
        <v>0</v>
      </c>
      <c r="BK44" s="5">
        <f t="shared" si="19"/>
        <v>100000</v>
      </c>
      <c r="BL44" s="5">
        <f t="shared" si="19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71" ht="18.5" x14ac:dyDescent="0.45">
      <c r="AW45" s="15"/>
      <c r="AX45" s="15"/>
      <c r="AY45" s="15"/>
      <c r="AZ45" s="16"/>
    </row>
    <row r="46" spans="1:71" ht="18.5" x14ac:dyDescent="0.45">
      <c r="Z46" s="12"/>
      <c r="AW46" s="15"/>
      <c r="AX46" s="15"/>
      <c r="AY46" s="15"/>
      <c r="AZ46" s="16"/>
      <c r="BA46" s="6"/>
    </row>
    <row r="47" spans="1:71" ht="18.5" x14ac:dyDescent="0.45">
      <c r="B47" s="21" t="s">
        <v>157</v>
      </c>
      <c r="H47" s="1"/>
      <c r="I47" s="1"/>
      <c r="Z47" s="12"/>
      <c r="AW47" s="15"/>
      <c r="AX47" s="15"/>
      <c r="AY47" s="15"/>
      <c r="AZ47" s="16"/>
      <c r="BD47" s="70"/>
      <c r="BE47" s="6"/>
      <c r="BO47" t="s">
        <v>129</v>
      </c>
      <c r="BP47" t="s">
        <v>50</v>
      </c>
    </row>
    <row r="48" spans="1:71" ht="18.5" x14ac:dyDescent="0.45">
      <c r="C48" s="3" t="s">
        <v>8</v>
      </c>
      <c r="D48" s="93"/>
      <c r="E48" s="93"/>
      <c r="F48" s="3" t="s">
        <v>9</v>
      </c>
      <c r="G48" s="93"/>
      <c r="H48" s="93"/>
      <c r="I48" s="93"/>
      <c r="Z48" s="12"/>
      <c r="AI48" s="5"/>
      <c r="AV48" s="3"/>
      <c r="AW48" s="93"/>
      <c r="AX48" s="15"/>
      <c r="AY48" s="15"/>
      <c r="AZ48" s="16"/>
    </row>
    <row r="49" spans="2:69" ht="18.5" x14ac:dyDescent="0.45">
      <c r="B49" s="1" t="s">
        <v>74</v>
      </c>
      <c r="C49" s="1" t="s">
        <v>76</v>
      </c>
      <c r="D49" s="1" t="s">
        <v>75</v>
      </c>
      <c r="E49" s="1" t="s">
        <v>77</v>
      </c>
      <c r="F49" s="1" t="s">
        <v>75</v>
      </c>
      <c r="G49" s="1" t="s">
        <v>76</v>
      </c>
      <c r="H49" s="1" t="s">
        <v>77</v>
      </c>
      <c r="I49" s="1"/>
      <c r="J49" s="1"/>
      <c r="K49" s="1"/>
      <c r="Z49" s="12"/>
      <c r="AI49" s="5"/>
      <c r="AW49" s="15"/>
      <c r="AX49" s="15"/>
      <c r="AY49" s="15"/>
      <c r="AZ49" s="16"/>
      <c r="BO49" s="62" t="s">
        <v>142</v>
      </c>
      <c r="BQ49" s="62">
        <f>SUM(BQ46:BQ48)</f>
        <v>0</v>
      </c>
    </row>
    <row r="50" spans="2:69" ht="18.5" x14ac:dyDescent="0.45">
      <c r="B50" s="1" t="s">
        <v>78</v>
      </c>
      <c r="AW50" s="15"/>
      <c r="AX50" s="15"/>
      <c r="AY50" s="15"/>
      <c r="AZ50" s="16"/>
    </row>
    <row r="51" spans="2:69" ht="18.5" x14ac:dyDescent="0.45">
      <c r="B51" s="1" t="s">
        <v>79</v>
      </c>
      <c r="C51" s="14">
        <f>AZ44</f>
        <v>21704250</v>
      </c>
      <c r="D51" s="9">
        <f>SUMIFS(D8:D44,H8:H44,"BANQUE")</f>
        <v>8928000</v>
      </c>
      <c r="F51" s="9">
        <f>E44</f>
        <v>9052000</v>
      </c>
      <c r="G51" s="14"/>
      <c r="J51" s="5"/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7" spans="49:52" ht="18.5" x14ac:dyDescent="0.45">
      <c r="AW87" s="15"/>
      <c r="AX87" s="15"/>
      <c r="AY87" s="15"/>
      <c r="AZ87" s="16"/>
    </row>
    <row r="89" spans="49:52" ht="17.5" x14ac:dyDescent="0.35">
      <c r="AW89" s="5"/>
      <c r="AX89" s="5"/>
      <c r="AY89" s="5"/>
      <c r="AZ89" s="5">
        <f>SUM(AZ8:AZ88)</f>
        <v>39284500</v>
      </c>
    </row>
  </sheetData>
  <autoFilter ref="A5:AF42" xr:uid="{00000000-0009-0000-0000-00000F000000}"/>
  <mergeCells count="1">
    <mergeCell ref="B4:M4"/>
  </mergeCells>
  <dataValidations count="1">
    <dataValidation type="list" allowBlank="1" showInputMessage="1" showErrorMessage="1" sqref="T6:T42 AP6:AP42 AF6:AF42 AA6:AA42" xr:uid="{2061E960-3EF3-4EE9-B8B4-A7CD4D642872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DF5A-9985-44E3-BBD7-03EEE81D5D0B}">
  <dimension ref="A1:BQ88"/>
  <sheetViews>
    <sheetView zoomScale="87" zoomScaleNormal="87" workbookViewId="0">
      <pane xSplit="4" ySplit="5" topLeftCell="BN24" activePane="bottomRight" state="frozen"/>
      <selection pane="topRight" activeCell="E1" sqref="E1"/>
      <selection pane="bottomLeft" activeCell="A6" sqref="A6"/>
      <selection pane="bottomRight" activeCell="BQ26" sqref="BQ2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4" width="13.81640625" customWidth="1"/>
    <col min="25" max="25" width="18.453125" bestFit="1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VLOOKUP(A6,[6]HISTOBQUEJANV25!$A$6:$H$48,5,0)</f>
        <v>250000</v>
      </c>
      <c r="E6" s="91">
        <f>VLOOKUP(A6,[6]HISTOBQUEJANV25!$A$6:$H$43,4,0)</f>
        <v>0</v>
      </c>
      <c r="F6" s="91">
        <f>VLOOKUP(A6,[6]HISTOBQUEJANV25!$A$6:$H$43,6,0)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/>
      <c r="Q6" s="2"/>
      <c r="R6" s="2"/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2" si="3">IF(I6="ECHEC",((K6+M6+O6)*20/100),0)</f>
        <v>0</v>
      </c>
      <c r="AR6" s="8">
        <f t="shared" ref="AR6:AR3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673000</v>
      </c>
      <c r="BA6" s="58">
        <f>30000+15000+15000+15000+15000+6000+6000</f>
        <v>102000</v>
      </c>
      <c r="BB6" s="58"/>
      <c r="BC6" s="15">
        <f t="shared" ref="BC6:BC17" si="5">F6</f>
        <v>0</v>
      </c>
      <c r="BD6" s="57">
        <f>IF(AZ6=0,(AZ6-BA6-BC6),(AZ6-BA6-BB6-BC6))</f>
        <v>571000</v>
      </c>
      <c r="BE6" s="82"/>
      <c r="BF6" s="29">
        <f t="shared" ref="BF6:BF42" si="6">Z6*1/100*BG6</f>
        <v>0</v>
      </c>
      <c r="BG6" s="29">
        <v>11</v>
      </c>
      <c r="BH6" s="15">
        <f>BQ17</f>
        <v>72000</v>
      </c>
      <c r="BI6" s="15">
        <f>BQ30</f>
        <v>200000</v>
      </c>
      <c r="BJ6" s="15">
        <f>BQ36</f>
        <v>0</v>
      </c>
      <c r="BK6" s="15"/>
      <c r="BL6" s="15"/>
      <c r="BM6" s="15"/>
      <c r="BN6" s="15">
        <f>+BQ24</f>
        <v>401000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VLOOKUP(A7,[6]HISTOBQUEJANV25!$A$6:$H$48,5,0)</f>
        <v>0</v>
      </c>
      <c r="E7" s="91">
        <f>VLOOKUP(A7,[6]HISTOBQUEJANV25!$A$6:$H$43,4,0)</f>
        <v>50000</v>
      </c>
      <c r="F7" s="91">
        <f>VLOOKUP(A7,[6]HISTOBQUEJANV25!$A$6:$H$43,6,0)</f>
        <v>0</v>
      </c>
      <c r="G7" s="91"/>
      <c r="H7" s="5"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/>
      <c r="Q7" s="2"/>
      <c r="R7" s="2"/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>
        <v>1000000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32" si="11">IF(AC7=0,AI7,(1*25000*12)+AI7-AC7)</f>
        <v>0</v>
      </c>
      <c r="AX7" s="15">
        <f t="shared" ref="AX7:AX32" si="12">IF(AD7=0,AJ7,(1*75000*12)+(AJ7)-AD7)</f>
        <v>0</v>
      </c>
      <c r="AY7" s="15">
        <f t="shared" ref="AY7:AY32" si="13">IF(AE7=0,AK7,(1*100000*12)+(AK7)-AE7)</f>
        <v>0</v>
      </c>
      <c r="AZ7" s="16">
        <f t="shared" ref="AZ7:AZ42" si="14">SUM(AV7:AY7)-BF7+Z7+BH7+BI7+BJ7+BK7+BL7+BM7</f>
        <v>890000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890000</v>
      </c>
      <c r="BE7" s="82" t="s">
        <v>186</v>
      </c>
      <c r="BF7" s="29">
        <f t="shared" si="6"/>
        <v>110000</v>
      </c>
      <c r="BG7" s="29">
        <v>11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VLOOKUP(A8,[6]HISTOBQUEJANV25!$A$6:$H$48,5,0)</f>
        <v>125000</v>
      </c>
      <c r="E8" s="91">
        <f>VLOOKUP(A8,[6]HISTOBQUEJANV25!$A$6:$H$43,4,0)</f>
        <v>0</v>
      </c>
      <c r="F8" s="91">
        <f>VLOOKUP(A8,[6]HISTOBQUEJANV25!$A$6:$H$43,6,0)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/>
      <c r="Q8" s="2"/>
      <c r="R8" s="2"/>
      <c r="S8" s="20"/>
      <c r="T8" s="12"/>
      <c r="U8" s="17">
        <f t="shared" si="9"/>
        <v>125000</v>
      </c>
      <c r="V8" s="12"/>
      <c r="W8" s="12"/>
      <c r="X8" s="12"/>
      <c r="Y8" s="92">
        <f t="shared" si="10"/>
        <v>125000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>
        <f t="shared" si="5"/>
        <v>0</v>
      </c>
      <c r="BD8" s="57">
        <f t="shared" si="15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66000</v>
      </c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VLOOKUP(A9,[6]HISTOBQUEJANV25!$A$6:$H$48,5,0)</f>
        <v>250000</v>
      </c>
      <c r="E9" s="91">
        <f>VLOOKUP(A9,[6]HISTOBQUEJANV25!$A$6:$H$43,4,0)</f>
        <v>0</v>
      </c>
      <c r="F9" s="91">
        <f>VLOOKUP(A9,[6]HISTOBQUEJANV25!$A$6:$H$43,6,0)</f>
        <v>0</v>
      </c>
      <c r="G9" s="91"/>
      <c r="H9" s="5">
        <f t="shared" si="16"/>
        <v>0</v>
      </c>
      <c r="I9" s="10" t="str">
        <f t="shared" si="0"/>
        <v>BANQUE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/>
      <c r="Q9" s="2"/>
      <c r="R9" s="2"/>
      <c r="S9" s="20"/>
      <c r="T9" s="12"/>
      <c r="U9" s="17">
        <f t="shared" si="9"/>
        <v>250000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>
        <v>31000</v>
      </c>
      <c r="AD9" s="12"/>
      <c r="AE9" s="12"/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269000</v>
      </c>
      <c r="AX9" s="15">
        <f t="shared" si="12"/>
        <v>0</v>
      </c>
      <c r="AY9" s="15">
        <f t="shared" si="13"/>
        <v>0</v>
      </c>
      <c r="AZ9" s="16">
        <f t="shared" si="14"/>
        <v>269000</v>
      </c>
      <c r="BA9" s="58"/>
      <c r="BB9" s="58"/>
      <c r="BC9" s="15">
        <f t="shared" si="5"/>
        <v>0</v>
      </c>
      <c r="BD9" s="57">
        <f t="shared" si="15"/>
        <v>269000</v>
      </c>
      <c r="BE9" s="82" t="s">
        <v>186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VLOOKUP(A10,[6]HISTOBQUEJANV25!$A$6:$H$48,5,0)</f>
        <v>0</v>
      </c>
      <c r="E10" s="91">
        <f>VLOOKUP(A10,[6]HISTOBQUEJANV25!$A$6:$H$43,4,0)</f>
        <v>50000</v>
      </c>
      <c r="F10" s="91">
        <f>VLOOKUP(A10,[6]HISTOBQUEJANV25!$A$6:$H$43,6,0)</f>
        <v>0</v>
      </c>
      <c r="G10" s="91"/>
      <c r="H10" s="5">
        <v>0</v>
      </c>
      <c r="I10" s="10" t="str">
        <f t="shared" si="0"/>
        <v>ESPECES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/>
      <c r="Q10" s="2"/>
      <c r="R10" s="2"/>
      <c r="S10" s="20"/>
      <c r="T10" s="12"/>
      <c r="U10" s="17">
        <f t="shared" si="9"/>
        <v>50000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>
        <v>30000</v>
      </c>
      <c r="AD10" s="12"/>
      <c r="AE10" s="12"/>
      <c r="AF10" s="12" t="s">
        <v>8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270000</v>
      </c>
      <c r="AX10" s="15">
        <f t="shared" si="12"/>
        <v>0</v>
      </c>
      <c r="AY10" s="15">
        <f t="shared" si="13"/>
        <v>0</v>
      </c>
      <c r="AZ10" s="16">
        <f t="shared" si="14"/>
        <v>270000</v>
      </c>
      <c r="BA10" s="58"/>
      <c r="BB10" s="58"/>
      <c r="BC10" s="15">
        <f t="shared" si="5"/>
        <v>0</v>
      </c>
      <c r="BD10" s="57">
        <f t="shared" si="15"/>
        <v>270000</v>
      </c>
      <c r="BE10" s="82" t="s">
        <v>186</v>
      </c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VLOOKUP(A11,[6]HISTOBQUEJANV25!$A$6:$H$48,5,0)</f>
        <v>150000</v>
      </c>
      <c r="E11" s="91">
        <f>VLOOKUP(A11,[6]HISTOBQUEJANV25!$A$6:$H$43,4,0)</f>
        <v>0</v>
      </c>
      <c r="F11" s="91">
        <f>VLOOKUP(A11,[6]HISTOBQUEJANV25!$A$6:$H$43,6,0)</f>
        <v>0</v>
      </c>
      <c r="G11" s="91"/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/>
      <c r="Q11" s="2"/>
      <c r="R11" s="2"/>
      <c r="S11" s="20"/>
      <c r="T11" s="12"/>
      <c r="U11" s="17">
        <f t="shared" si="9"/>
        <v>150000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>
        <f t="shared" si="5"/>
        <v>0</v>
      </c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VLOOKUP(A12,[6]HISTOBQUEJANV25!$A$6:$H$48,5,0)</f>
        <v>260000</v>
      </c>
      <c r="E12" s="91">
        <f>VLOOKUP(A12,[6]HISTOBQUEJANV25!$A$6:$H$43,4,0)</f>
        <v>0</v>
      </c>
      <c r="F12" s="91">
        <f>VLOOKUP(A12,[6]HISTOBQUEJANV25!$A$6:$H$43,6,0)</f>
        <v>0</v>
      </c>
      <c r="G12" s="91">
        <v>10000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/>
      <c r="Q12" s="2"/>
      <c r="R12" s="2"/>
      <c r="S12" s="20"/>
      <c r="T12" s="12"/>
      <c r="U12" s="17">
        <f t="shared" si="9"/>
        <v>260000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7"/>
        <v>35000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>
        <f t="shared" si="5"/>
        <v>0</v>
      </c>
      <c r="BD12" s="57">
        <f t="shared" si="15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VLOOKUP(A13,[6]HISTOBQUEJANV25!$A$6:$H$48,5,0)</f>
        <v>50000</v>
      </c>
      <c r="E13" s="91">
        <f>VLOOKUP(A13,[6]HISTOBQUEJANV25!$A$6:$H$43,4,0)</f>
        <v>0</v>
      </c>
      <c r="F13" s="91">
        <f>VLOOKUP(A13,[6]HISTOBQUEJANV25!$A$6:$H$43,6,0)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/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VLOOKUP(A14,[6]HISTOBQUEJANV25!$A$6:$H$48,5,0)</f>
        <v>50000</v>
      </c>
      <c r="E14" s="91">
        <f>VLOOKUP(A14,[6]HISTOBQUEJANV25!$A$6:$H$43,4,0)</f>
        <v>0</v>
      </c>
      <c r="F14" s="91">
        <f>VLOOKUP(A14,[6]HISTOBQUEJANV25!$A$6:$H$43,6,0)</f>
        <v>0</v>
      </c>
      <c r="G14" s="91"/>
      <c r="H14" s="5"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/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VLOOKUP(A15,[6]HISTOBQUEJANV25!$A$6:$H$48,5,0)</f>
        <v>0</v>
      </c>
      <c r="E15" s="91">
        <f>VLOOKUP(A15,[6]HISTOBQUEJANV25!$A$6:$H$43,4,0)</f>
        <v>0</v>
      </c>
      <c r="F15" s="91">
        <f>VLOOKUP(A15,[6]HISTOBQUEJANV25!$A$6:$H$43,6,0)</f>
        <v>0</v>
      </c>
      <c r="G15" s="91"/>
      <c r="H15" s="5">
        <v>0</v>
      </c>
      <c r="I15" s="10" t="s">
        <v>270</v>
      </c>
      <c r="J15" s="11">
        <v>1</v>
      </c>
      <c r="K15" s="11">
        <f t="shared" ref="K15" si="18">IF($D15&lt;&gt;0,J15*50000,IF($E15&lt;&gt;0,J15*50000,0))</f>
        <v>0</v>
      </c>
      <c r="L15" s="6"/>
      <c r="M15" s="11">
        <f t="shared" ref="M15" si="19">IF($D15&lt;&gt;0,L15*75000,IF($E15&lt;&gt;0,L15*75000,0))</f>
        <v>0</v>
      </c>
      <c r="N15" s="6">
        <v>1</v>
      </c>
      <c r="O15" s="11">
        <f t="shared" ref="O15" si="20">IF($D15&lt;&gt;0,N15*100000,IF($E15&lt;&gt;0,N15*100000,0))</f>
        <v>0</v>
      </c>
      <c r="P15" s="2"/>
      <c r="Q15" s="2"/>
      <c r="R15" s="2"/>
      <c r="S15" s="20"/>
      <c r="T15" s="12"/>
      <c r="U15" s="17">
        <f t="shared" ref="U15" si="21">G15+H15+S15+R15+P15+O15+M15+K15+Q15+V15+W15</f>
        <v>0</v>
      </c>
      <c r="V15" s="12"/>
      <c r="W15" s="12"/>
      <c r="X15" s="12"/>
      <c r="Y15" s="92">
        <f t="shared" ref="Y15" si="22">K15+M15+O15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ref="AQ15" si="23">IF(I15="ECHEC",((K15+M15+O15)*20/100),0)</f>
        <v>0</v>
      </c>
      <c r="AR15" s="8">
        <f t="shared" ref="AR15" si="24">IF(I15="ECHEC",((K15+M15+O15)*20/100),0)</f>
        <v>0</v>
      </c>
      <c r="AS15" s="13">
        <f t="shared" si="17"/>
        <v>0</v>
      </c>
      <c r="AT15" s="15"/>
      <c r="AV15" s="15"/>
      <c r="AW15" s="15">
        <f t="shared" ref="AW15" si="25">IF(AC15=0,AI15,(1*25000*12)+AI15-AC15)</f>
        <v>0</v>
      </c>
      <c r="AX15" s="15">
        <f t="shared" ref="AX15" si="26">IF(AD15=0,AJ15,(1*75000*12)+(AJ15)-AD15)</f>
        <v>0</v>
      </c>
      <c r="AY15" s="15">
        <f t="shared" ref="AY15" si="27">IF(AE15=0,AK15,(1*100000*12)+(AK15)-AE15)</f>
        <v>0</v>
      </c>
      <c r="AZ15" s="16">
        <f t="shared" ref="AZ15" si="28">SUM(AV15:AY15)-BF15+Z15+BH15+BI15+BJ15+BK15+BL15+BM15</f>
        <v>0</v>
      </c>
      <c r="BA15" s="58"/>
      <c r="BB15" s="58"/>
      <c r="BC15" s="15">
        <f t="shared" ref="BC15" si="29">F15</f>
        <v>0</v>
      </c>
      <c r="BD15" s="57">
        <f t="shared" ref="BD15" si="30">IF(AZ15=0,(AZ15-BA15-BC15),(AZ15-BA15-BB15-BC15))</f>
        <v>0</v>
      </c>
      <c r="BE15" s="82"/>
      <c r="BF15" s="29">
        <f t="shared" ref="BF15" si="31">Z15*1/100*BG15</f>
        <v>0</v>
      </c>
      <c r="BG15" s="29">
        <v>11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VLOOKUP(A16,[6]HISTOBQUEJANV25!$A$6:$H$48,5,0)</f>
        <v>125000</v>
      </c>
      <c r="E16" s="91">
        <f>VLOOKUP(A16,[6]HISTOBQUEJANV25!$A$6:$H$43,4,0)</f>
        <v>0</v>
      </c>
      <c r="F16" s="91">
        <f>VLOOKUP(A16,[6]HISTOBQUEJANV25!$A$6:$H$43,6,0)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/>
      <c r="Q16" s="2"/>
      <c r="R16" s="2"/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VLOOKUP(A17,[6]HISTOBQUEJANV25!$A$6:$H$48,5,0)</f>
        <v>250000</v>
      </c>
      <c r="E17" s="91">
        <f>VLOOKUP(A17,[6]HISTOBQUEJANV25!$A$6:$H$43,4,0)</f>
        <v>25000</v>
      </c>
      <c r="F17" s="91">
        <f>VLOOKUP(A17,[6]HISTOBQUEJANV25!$A$6:$H$43,6,0)</f>
        <v>0</v>
      </c>
      <c r="G17" s="91">
        <v>50000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/>
      <c r="Q17" s="2"/>
      <c r="R17" s="2"/>
      <c r="S17" s="20"/>
      <c r="T17" s="12"/>
      <c r="U17" s="17">
        <f t="shared" si="9"/>
        <v>275000</v>
      </c>
      <c r="V17" s="12"/>
      <c r="W17" s="12"/>
      <c r="X17" s="12"/>
      <c r="Y17" s="92">
        <f t="shared" si="10"/>
        <v>225000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7"/>
        <v>75000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>
        <f t="shared" si="5"/>
        <v>0</v>
      </c>
      <c r="BD17" s="57">
        <f t="shared" si="15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O17" s="62" t="s">
        <v>142</v>
      </c>
      <c r="BQ17" s="62">
        <f>SUM(BQ6:BQ16)</f>
        <v>72000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VLOOKUP(A18,[6]HISTOBQUEJANV25!$A$6:$H$48,5,0)</f>
        <v>150000</v>
      </c>
      <c r="E18" s="91">
        <f>VLOOKUP(A18,[6]HISTOBQUEJANV25!$A$6:$H$43,4,0)</f>
        <v>0</v>
      </c>
      <c r="F18" s="91">
        <f>VLOOKUP(A18,[6]HISTOBQUEJANV25!$A$6:$H$43,6,0)</f>
        <v>346500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/>
      <c r="Q18" s="2"/>
      <c r="R18" s="2"/>
      <c r="S18" s="20">
        <v>346500</v>
      </c>
      <c r="T18" s="12" t="s">
        <v>8</v>
      </c>
      <c r="U18" s="17">
        <f t="shared" si="9"/>
        <v>496500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>
        <v>115000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1085000</v>
      </c>
      <c r="AZ18" s="16">
        <f>SUM(AV18:AY18)-BF18+Z18+BH18+BI18+BJ18+BK18+BL18+BM18</f>
        <v>1085000</v>
      </c>
      <c r="BA18" s="58"/>
      <c r="BB18" s="58"/>
      <c r="BC18" s="15">
        <f>F18</f>
        <v>346500</v>
      </c>
      <c r="BD18" s="57">
        <f t="shared" si="15"/>
        <v>738500</v>
      </c>
      <c r="BE18" s="82" t="s">
        <v>186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0</v>
      </c>
      <c r="D19" s="9">
        <f>VLOOKUP(A19,[6]HISTOBQUEJANV25!$A$6:$H$48,5,0)+75000</f>
        <v>235000</v>
      </c>
      <c r="E19" s="91">
        <f>VLOOKUP(A19,[6]HISTOBQUEJANV25!$A$6:$H$43,4,0)</f>
        <v>0</v>
      </c>
      <c r="F19" s="91">
        <f>VLOOKUP(A19,[6]HISTOBQUEJANV25!$A$6:$H$43,6,0)</f>
        <v>0</v>
      </c>
      <c r="G19" s="91">
        <v>10000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/>
      <c r="Q19" s="2"/>
      <c r="R19" s="2"/>
      <c r="S19" s="20"/>
      <c r="T19" s="12"/>
      <c r="U19" s="17">
        <f t="shared" si="9"/>
        <v>235000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>
        <v>105000</v>
      </c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7"/>
        <v>35000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1095000</v>
      </c>
      <c r="AZ19" s="16">
        <f t="shared" si="14"/>
        <v>1095000</v>
      </c>
      <c r="BA19" s="58"/>
      <c r="BB19" s="58"/>
      <c r="BC19" s="15">
        <f t="shared" ref="BC19:BC42" si="32">F19</f>
        <v>0</v>
      </c>
      <c r="BD19" s="57">
        <f t="shared" si="15"/>
        <v>1095000</v>
      </c>
      <c r="BE19" s="82" t="s">
        <v>186</v>
      </c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/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VLOOKUP(A21,[6]HISTOBQUEJANV25!$A$6:$H$48,5,0)</f>
        <v>650000</v>
      </c>
      <c r="E21" s="91">
        <f>VLOOKUP(A21,[6]HISTOBQUEJANV25!$A$6:$H$43,4,0)</f>
        <v>0</v>
      </c>
      <c r="F21" s="91">
        <f>VLOOKUP(A21,[6]HISTOBQUEJANV25!$A$6:$H$43,6,0)</f>
        <v>0</v>
      </c>
      <c r="G21" s="91">
        <v>600000</v>
      </c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/>
      <c r="Q21" s="2"/>
      <c r="R21" s="2"/>
      <c r="S21" s="20"/>
      <c r="T21" s="12"/>
      <c r="U21" s="17">
        <f t="shared" si="9"/>
        <v>650000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625000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32"/>
        <v>0</v>
      </c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O21" t="s">
        <v>183</v>
      </c>
      <c r="BQ21" s="6">
        <f>371000</f>
        <v>371000</v>
      </c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0</v>
      </c>
      <c r="D22" s="9">
        <f>VLOOKUP(A22,[6]HISTOBQUEJANV25!$A$6:$H$48,5,0)</f>
        <v>325000</v>
      </c>
      <c r="E22" s="91">
        <f>VLOOKUP(A22,[6]HISTOBQUEJANV25!$A$6:$H$43,4,0)</f>
        <v>0</v>
      </c>
      <c r="F22" s="91">
        <f>VLOOKUP(A22,[6]HISTOBQUEJANV25!$A$6:$H$43,6,0)</f>
        <v>0</v>
      </c>
      <c r="G22" s="91"/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/>
      <c r="Q22" s="2"/>
      <c r="R22" s="2"/>
      <c r="S22" s="20"/>
      <c r="T22" s="12"/>
      <c r="U22" s="17">
        <f t="shared" si="9"/>
        <v>325000</v>
      </c>
      <c r="V22" s="12"/>
      <c r="W22" s="12"/>
      <c r="X22" s="12"/>
      <c r="Y22" s="92">
        <f t="shared" si="10"/>
        <v>325000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>
        <f t="shared" si="32"/>
        <v>0</v>
      </c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O22" t="s">
        <v>280</v>
      </c>
      <c r="BQ22" s="6">
        <v>30000</v>
      </c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VLOOKUP(A23,[6]HISTOBQUEJANV25!$A$6:$H$48,5,0)</f>
        <v>50000</v>
      </c>
      <c r="E23" s="91">
        <f>VLOOKUP(A23,[6]HISTOBQUEJANV25!$A$6:$H$43,4,0)</f>
        <v>0</v>
      </c>
      <c r="F23" s="91">
        <f>VLOOKUP(A23,[6]HISTOBQUEJANV25!$A$6:$H$43,6,0)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/>
      <c r="Q23" s="2"/>
      <c r="R23" s="2"/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32"/>
        <v>0</v>
      </c>
      <c r="BD23" s="57">
        <f t="shared" si="15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VLOOKUP(A24,[6]HISTOBQUEJANV25!$A$6:$H$48,5,0)</f>
        <v>125000</v>
      </c>
      <c r="E24" s="91">
        <f>VLOOKUP(A24,[6]HISTOBQUEJANV25!$A$6:$H$43,4,0)</f>
        <v>0</v>
      </c>
      <c r="F24" s="91">
        <f>VLOOKUP(A24,[6]HISTOBQUEJANV25!$A$6:$H$43,6,0)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/>
      <c r="Q24" s="2"/>
      <c r="R24" s="2"/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>
        <v>7500</v>
      </c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0</v>
      </c>
      <c r="AX24" s="15">
        <f t="shared" si="12"/>
        <v>892500</v>
      </c>
      <c r="AY24" s="15">
        <f t="shared" si="13"/>
        <v>0</v>
      </c>
      <c r="AZ24" s="16">
        <f t="shared" si="14"/>
        <v>892500</v>
      </c>
      <c r="BA24" s="58">
        <v>32000</v>
      </c>
      <c r="BB24" s="58"/>
      <c r="BC24" s="15">
        <f t="shared" si="32"/>
        <v>0</v>
      </c>
      <c r="BD24" s="57">
        <f>IF(AZ24=0,(AZ24-BA24-BC24),(AZ24-BA24-BB24-BC24))</f>
        <v>860500</v>
      </c>
      <c r="BE24" s="82" t="s">
        <v>186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401000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VLOOKUP(A25,[6]HISTOBQUEJANV25!$A$6:$H$48,5,0)</f>
        <v>260000</v>
      </c>
      <c r="E25" s="91">
        <f>VLOOKUP(A25,[6]HISTOBQUEJANV25!$A$6:$H$43,4,0)</f>
        <v>0</v>
      </c>
      <c r="F25" s="91">
        <f>VLOOKUP(A25,[6]HISTOBQUEJANV25!$A$6:$H$43,6,0)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/>
      <c r="Q25" s="2"/>
      <c r="R25" s="2"/>
      <c r="S25" s="20"/>
      <c r="T25" s="12"/>
      <c r="U25" s="17">
        <f t="shared" si="9"/>
        <v>260000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>
        <f t="shared" si="32"/>
        <v>0</v>
      </c>
      <c r="BD25" s="57">
        <f t="shared" si="15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VLOOKUP(A26,[6]HISTOBQUEJANV25!$A$6:$H$48,5,0)</f>
        <v>240000</v>
      </c>
      <c r="E26" s="91">
        <f>VLOOKUP(A26,[6]HISTOBQUEJANV25!$A$6:$H$43,4,0)</f>
        <v>0</v>
      </c>
      <c r="F26" s="91">
        <f>VLOOKUP(A26,[6]HISTOBQUEJANV25!$A$6:$H$43,6,0)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/>
      <c r="Q26" s="2"/>
      <c r="R26" s="2"/>
      <c r="S26" s="20"/>
      <c r="T26" s="12"/>
      <c r="U26" s="17">
        <f t="shared" si="9"/>
        <v>240000</v>
      </c>
      <c r="V26" s="12"/>
      <c r="W26" s="12"/>
      <c r="X26" s="12"/>
      <c r="Y26" s="92">
        <f t="shared" si="10"/>
        <v>225000</v>
      </c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>IF(AE26=0,AK26,(1*100000*12)+(AK26)-AE26)</f>
        <v>0</v>
      </c>
      <c r="AZ26" s="16">
        <f t="shared" si="14"/>
        <v>890000</v>
      </c>
      <c r="BA26" s="58"/>
      <c r="BB26" s="58"/>
      <c r="BC26" s="15">
        <f t="shared" si="32"/>
        <v>0</v>
      </c>
      <c r="BD26" s="57">
        <f t="shared" si="15"/>
        <v>890000</v>
      </c>
      <c r="BE26" s="82" t="s">
        <v>186</v>
      </c>
      <c r="BF26" s="29">
        <f t="shared" si="6"/>
        <v>110000</v>
      </c>
      <c r="BG26" s="29">
        <v>11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>
        <v>200000</v>
      </c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VLOOKUP(A27,[6]HISTOBQUEJANV25!$A$6:$H$48,5,0)</f>
        <v>225000</v>
      </c>
      <c r="E27" s="91">
        <f>VLOOKUP(A27,[6]HISTOBQUEJANV25!$A$6:$H$43,4,0)</f>
        <v>25000</v>
      </c>
      <c r="F27" s="91">
        <f>VLOOKUP(A27,[6]HISTOBQUEJANV25!$A$6:$H$43,6,0)</f>
        <v>0</v>
      </c>
      <c r="G27" s="91"/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/>
      <c r="Q27" s="2"/>
      <c r="R27" s="2"/>
      <c r="S27" s="20"/>
      <c r="T27" s="12"/>
      <c r="U27" s="17">
        <f t="shared" si="9"/>
        <v>250000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>
        <v>120000</v>
      </c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7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1080000</v>
      </c>
      <c r="AZ27" s="16">
        <f t="shared" si="14"/>
        <v>1080000</v>
      </c>
      <c r="BA27" s="58"/>
      <c r="BB27" s="58"/>
      <c r="BC27" s="15">
        <f t="shared" si="32"/>
        <v>0</v>
      </c>
      <c r="BD27" s="57">
        <f t="shared" si="15"/>
        <v>1080000</v>
      </c>
      <c r="BE27" s="82" t="s">
        <v>186</v>
      </c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VLOOKUP(A28,[6]HISTOBQUEJANV25!$A$6:$H$48,5,0)</f>
        <v>50000</v>
      </c>
      <c r="E28" s="91">
        <f>VLOOKUP(A28,[6]HISTOBQUEJANV25!$A$6:$H$43,4,0)</f>
        <v>0</v>
      </c>
      <c r="F28" s="91">
        <f>VLOOKUP(A28,[6]HISTOBQUEJANV25!$A$6:$H$43,6,0)</f>
        <v>0</v>
      </c>
      <c r="G28" s="91"/>
      <c r="H28" s="5">
        <f>IF(I28="ESPECES",3000,0)</f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/>
      <c r="Q28" s="2"/>
      <c r="R28" s="2"/>
      <c r="S28" s="20"/>
      <c r="T28" s="12"/>
      <c r="U28" s="17">
        <f t="shared" si="9"/>
        <v>50000</v>
      </c>
      <c r="V28" s="12"/>
      <c r="W28" s="12"/>
      <c r="X28" s="12"/>
      <c r="Y28" s="92">
        <f t="shared" si="10"/>
        <v>50000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>
        <v>41000</v>
      </c>
      <c r="AJ28" s="12"/>
      <c r="AK28" s="12"/>
      <c r="AL28" s="12">
        <v>1000</v>
      </c>
      <c r="AM28" s="12"/>
      <c r="AN28" s="12"/>
      <c r="AO28" s="12"/>
      <c r="AP28" s="12" t="s">
        <v>8</v>
      </c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41000</v>
      </c>
      <c r="AX28" s="15">
        <f t="shared" si="12"/>
        <v>0</v>
      </c>
      <c r="AY28" s="15">
        <f t="shared" si="13"/>
        <v>0</v>
      </c>
      <c r="AZ28" s="16">
        <f t="shared" si="14"/>
        <v>41000</v>
      </c>
      <c r="BA28" s="58">
        <v>41000</v>
      </c>
      <c r="BB28" s="58"/>
      <c r="BC28" s="15">
        <f t="shared" si="32"/>
        <v>0</v>
      </c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VLOOKUP(A29,[6]HISTOBQUEJANV25!$A$6:$H$48,5,0)</f>
        <v>50000</v>
      </c>
      <c r="E29" s="91">
        <f>VLOOKUP(A29,[6]HISTOBQUEJANV25!$A$6:$H$43,4,0)</f>
        <v>0</v>
      </c>
      <c r="F29" s="91">
        <f>VLOOKUP(A29,[6]HISTOBQUEJANV25!$A$6:$H$43,6,0)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/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32"/>
        <v>0</v>
      </c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VLOOKUP(A30,[6]HISTOBQUEJANV25!$A$6:$H$48,5,0)</f>
        <v>125000</v>
      </c>
      <c r="E30" s="91">
        <f>VLOOKUP(A30,[6]HISTOBQUEJANV25!$A$6:$H$43,4,0)</f>
        <v>0</v>
      </c>
      <c r="F30" s="91">
        <f>VLOOKUP(A30,[6]HISTOBQUEJANV25!$A$6:$H$43,6,0)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/>
      <c r="Q30" s="2"/>
      <c r="R30" s="2"/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>SUM(AV30:AY30)-BF30+Z30+BH30+BI30+BJ30+BK30+BL30+BM30+100000</f>
        <v>100000</v>
      </c>
      <c r="BA30" s="58">
        <v>100000</v>
      </c>
      <c r="BB30" s="58"/>
      <c r="BC30" s="15">
        <f t="shared" si="32"/>
        <v>0</v>
      </c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200000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0</v>
      </c>
      <c r="D31" s="9">
        <f>VLOOKUP(A31,[6]HISTOBQUEJANV25!$A$6:$H$48,5,0)</f>
        <v>50000</v>
      </c>
      <c r="E31" s="91">
        <f>VLOOKUP(A31,[6]HISTOBQUEJANV25!$A$6:$H$43,4,0)</f>
        <v>0</v>
      </c>
      <c r="F31" s="91">
        <f>VLOOKUP(A31,[6]HISTOBQUEJANV25!$A$6:$H$43,6,0)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/>
      <c r="Q31" s="2"/>
      <c r="R31" s="2"/>
      <c r="S31" s="20"/>
      <c r="T31" s="12"/>
      <c r="U31" s="17">
        <f t="shared" si="9"/>
        <v>50000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>
        <v>30000</v>
      </c>
      <c r="AD31" s="12"/>
      <c r="AE31" s="12"/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270000</v>
      </c>
      <c r="AX31" s="15">
        <f t="shared" si="12"/>
        <v>0</v>
      </c>
      <c r="AY31" s="15">
        <f t="shared" si="13"/>
        <v>0</v>
      </c>
      <c r="AZ31" s="16">
        <f t="shared" si="14"/>
        <v>270000</v>
      </c>
      <c r="BA31" s="58"/>
      <c r="BB31" s="58"/>
      <c r="BC31" s="15">
        <f t="shared" si="32"/>
        <v>0</v>
      </c>
      <c r="BD31" s="57">
        <f t="shared" si="15"/>
        <v>270000</v>
      </c>
      <c r="BE31" s="82" t="s">
        <v>186</v>
      </c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VLOOKUP(A32,[6]HISTOBQUEJANV25!$A$6:$H$48,5,0)</f>
        <v>250000</v>
      </c>
      <c r="E32" s="91">
        <f>VLOOKUP(A32,[6]HISTOBQUEJANV25!$A$6:$H$43,4,0)</f>
        <v>0</v>
      </c>
      <c r="F32" s="91">
        <f>VLOOKUP(A32,[6]HISTOBQUEJANV25!$A$6:$H$43,6,0)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/>
      <c r="Q32" s="2"/>
      <c r="R32" s="2"/>
      <c r="S32" s="20"/>
      <c r="T32" s="12"/>
      <c r="U32" s="17">
        <f t="shared" si="9"/>
        <v>250000</v>
      </c>
      <c r="V32" s="12"/>
      <c r="W32" s="12"/>
      <c r="X32" s="12"/>
      <c r="Y32" s="92">
        <f t="shared" si="10"/>
        <v>250000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>
        <f t="shared" si="32"/>
        <v>0</v>
      </c>
      <c r="BD32" s="57">
        <f t="shared" si="15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VLOOKUP(A33,[6]HISTOBQUEJANV25!$A$6:$H$48,5,0)</f>
        <v>50000</v>
      </c>
      <c r="E33" s="91">
        <f>VLOOKUP(A33,[6]HISTOBQUEJANV25!$A$6:$H$43,4,0)</f>
        <v>0</v>
      </c>
      <c r="F33" s="91">
        <f>VLOOKUP(A33,[6]HISTOBQUEJANV25!$A$6:$H$43,6,0)</f>
        <v>0</v>
      </c>
      <c r="G33" s="91"/>
      <c r="H33" s="5">
        <f t="shared" si="16"/>
        <v>0</v>
      </c>
      <c r="I33" s="10" t="str">
        <f t="shared" si="0"/>
        <v>BANQUE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/>
      <c r="Q33" s="2"/>
      <c r="R33" s="2"/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ref="AQ33:AQ42" si="33">IF(I33="ECHEC",((K33+M33+O33)*20/100),0)</f>
        <v>0</v>
      </c>
      <c r="AR33" s="8">
        <f t="shared" ref="AR33:AR42" si="34">IF(I33="ECHEC",((K33+M33+O33)*20/100),0)</f>
        <v>0</v>
      </c>
      <c r="AS33" s="13">
        <f t="shared" si="17"/>
        <v>25000</v>
      </c>
      <c r="AT33" s="15"/>
      <c r="AV33" s="15"/>
      <c r="AW33" s="15">
        <f t="shared" ref="AW33:AW42" si="35">IF(AC33=0,AI33,(1*25000*12)+AI33-AC33)</f>
        <v>0</v>
      </c>
      <c r="AX33" s="15">
        <f t="shared" ref="AX33:AX42" si="36">IF(AD33=0,AJ33,(1*75000*12)+(AJ33)-AD33)</f>
        <v>0</v>
      </c>
      <c r="AY33" s="15">
        <f t="shared" ref="AY33:AY42" si="37">IF(AE33=0,AK33,(1*100000*12)+(AK33)-AE33)</f>
        <v>0</v>
      </c>
      <c r="AZ33" s="16">
        <f t="shared" si="14"/>
        <v>0</v>
      </c>
      <c r="BA33" s="58"/>
      <c r="BB33" s="58"/>
      <c r="BC33" s="15">
        <f t="shared" si="32"/>
        <v>0</v>
      </c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VLOOKUP(A34,[6]HISTOBQUEJANV25!$A$6:$H$48,5,0)</f>
        <v>150000</v>
      </c>
      <c r="E34" s="91">
        <f>VLOOKUP(A34,[6]HISTOBQUEJANV25!$A$6:$H$43,4,0)</f>
        <v>0</v>
      </c>
      <c r="F34" s="91">
        <f>VLOOKUP(A34,[6]HISTOBQUEJANV25!$A$6:$H$43,6,0)</f>
        <v>0</v>
      </c>
      <c r="G34" s="91"/>
      <c r="H34" s="5">
        <f t="shared" si="16"/>
        <v>0</v>
      </c>
      <c r="I34" s="10" t="str">
        <f t="shared" si="0"/>
        <v>BANQUE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/>
      <c r="Q34" s="2"/>
      <c r="R34" s="2"/>
      <c r="S34" s="20"/>
      <c r="T34" s="12"/>
      <c r="U34" s="17">
        <f t="shared" si="9"/>
        <v>150000</v>
      </c>
      <c r="V34" s="12"/>
      <c r="W34" s="12"/>
      <c r="X34" s="12"/>
      <c r="Y34" s="92">
        <f t="shared" si="10"/>
        <v>150000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3"/>
        <v>0</v>
      </c>
      <c r="AR34" s="8">
        <f t="shared" si="34"/>
        <v>0</v>
      </c>
      <c r="AS34" s="13">
        <f t="shared" si="17"/>
        <v>25000</v>
      </c>
      <c r="AT34" s="15"/>
      <c r="AV34" s="15"/>
      <c r="AW34" s="15">
        <f t="shared" si="35"/>
        <v>0</v>
      </c>
      <c r="AX34" s="15">
        <f t="shared" si="36"/>
        <v>0</v>
      </c>
      <c r="AY34" s="15">
        <f t="shared" si="37"/>
        <v>0</v>
      </c>
      <c r="AZ34" s="16">
        <f>SUM(AV34:AY34)-BF34+Z34+BH34+BI34+BJ34+BK34+BL34+BM34+100000</f>
        <v>100000</v>
      </c>
      <c r="BA34" s="58"/>
      <c r="BB34" s="58"/>
      <c r="BC34" s="15">
        <f t="shared" si="32"/>
        <v>0</v>
      </c>
      <c r="BD34" s="57">
        <f t="shared" si="15"/>
        <v>100000</v>
      </c>
      <c r="BE34" s="82" t="s">
        <v>186</v>
      </c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VLOOKUP(A35,[6]HISTOBQUEJANV25!$A$6:$H$48,5,0)</f>
        <v>125000</v>
      </c>
      <c r="E35" s="91">
        <f>VLOOKUP(A35,[6]HISTOBQUEJANV25!$A$6:$H$43,4,0)</f>
        <v>0</v>
      </c>
      <c r="F35" s="91">
        <f>VLOOKUP(A35,[6]HISTOBQUEJANV25!$A$6:$H$43,6,0)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/>
      <c r="Q35" s="2"/>
      <c r="R35" s="2"/>
      <c r="S35" s="20"/>
      <c r="T35" s="12"/>
      <c r="U35" s="17">
        <f t="shared" si="9"/>
        <v>125000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3"/>
        <v>0</v>
      </c>
      <c r="AR35" s="8">
        <f t="shared" si="34"/>
        <v>0</v>
      </c>
      <c r="AS35" s="13">
        <f t="shared" si="17"/>
        <v>25000</v>
      </c>
      <c r="AT35" s="15"/>
      <c r="AV35" s="15"/>
      <c r="AW35" s="15">
        <f t="shared" si="35"/>
        <v>0</v>
      </c>
      <c r="AX35" s="15">
        <f t="shared" si="36"/>
        <v>0</v>
      </c>
      <c r="AY35" s="15">
        <f t="shared" si="37"/>
        <v>0</v>
      </c>
      <c r="AZ35" s="16">
        <f t="shared" si="14"/>
        <v>0</v>
      </c>
      <c r="BA35" s="58"/>
      <c r="BB35" s="58"/>
      <c r="BC35" s="15">
        <f t="shared" si="32"/>
        <v>0</v>
      </c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VLOOKUP(A36,[6]HISTOBQUEJANV25!$A$6:$H$48,5,0)</f>
        <v>150000</v>
      </c>
      <c r="E36" s="91">
        <f>VLOOKUP(A36,[6]HISTOBQUEJANV25!$A$6:$H$43,4,0)</f>
        <v>0</v>
      </c>
      <c r="F36" s="91">
        <f>VLOOKUP(A36,[6]HISTOBQUEJANV25!$A$6:$H$43,6,0)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/>
      <c r="Q36" s="2"/>
      <c r="R36" s="2"/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3"/>
        <v>0</v>
      </c>
      <c r="AR36" s="8">
        <f t="shared" si="34"/>
        <v>0</v>
      </c>
      <c r="AS36" s="13">
        <f t="shared" si="17"/>
        <v>25000</v>
      </c>
      <c r="AT36" s="15"/>
      <c r="AV36" s="15"/>
      <c r="AW36" s="15">
        <f t="shared" si="35"/>
        <v>0</v>
      </c>
      <c r="AX36" s="15">
        <f t="shared" si="36"/>
        <v>0</v>
      </c>
      <c r="AY36" s="15">
        <f t="shared" si="37"/>
        <v>0</v>
      </c>
      <c r="AZ36" s="16">
        <f t="shared" si="14"/>
        <v>0</v>
      </c>
      <c r="BA36" s="58"/>
      <c r="BB36" s="58"/>
      <c r="BC36" s="15">
        <f t="shared" si="32"/>
        <v>0</v>
      </c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VLOOKUP(A37,[6]HISTOBQUEJANV25!$A$6:$H$48,5,0)</f>
        <v>50000</v>
      </c>
      <c r="E37" s="91">
        <f>VLOOKUP(A37,[6]HISTOBQUEJANV25!$A$6:$H$43,4,0)</f>
        <v>0</v>
      </c>
      <c r="F37" s="91">
        <f>VLOOKUP(A37,[6]HISTOBQUEJANV25!$A$6:$H$43,6,0)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/>
      <c r="Q37" s="2"/>
      <c r="R37" s="2"/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3"/>
        <v>0</v>
      </c>
      <c r="AR37" s="8">
        <f t="shared" si="34"/>
        <v>0</v>
      </c>
      <c r="AS37" s="13">
        <f t="shared" si="17"/>
        <v>25000</v>
      </c>
      <c r="AT37" s="15"/>
      <c r="AV37" s="15"/>
      <c r="AW37" s="15">
        <f t="shared" si="35"/>
        <v>0</v>
      </c>
      <c r="AX37" s="15">
        <f t="shared" si="36"/>
        <v>0</v>
      </c>
      <c r="AY37" s="15">
        <f t="shared" si="37"/>
        <v>0</v>
      </c>
      <c r="AZ37" s="16">
        <f t="shared" si="14"/>
        <v>0</v>
      </c>
      <c r="BA37" s="58"/>
      <c r="BB37" s="58"/>
      <c r="BC37" s="15">
        <f t="shared" si="32"/>
        <v>0</v>
      </c>
      <c r="BD37" s="57">
        <f t="shared" si="15"/>
        <v>0</v>
      </c>
      <c r="BE37" s="82"/>
      <c r="BF37" s="29">
        <f t="shared" si="6"/>
        <v>0</v>
      </c>
      <c r="BG37" s="29">
        <v>11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VLOOKUP(A38,[6]HISTOBQUEJANV25!$A$6:$H$48,5,0)</f>
        <v>0</v>
      </c>
      <c r="E38" s="91">
        <f>VLOOKUP(A38,[6]HISTOBQUEJANV25!$A$6:$H$43,4,0)</f>
        <v>50000</v>
      </c>
      <c r="F38" s="91">
        <f>VLOOKUP(A38,[6]HISTOBQUEJANV25!$A$6:$H$43,6,0)</f>
        <v>0</v>
      </c>
      <c r="G38" s="91"/>
      <c r="H38" s="5">
        <v>0</v>
      </c>
      <c r="I38" s="10" t="str">
        <f t="shared" si="0"/>
        <v>ESPECES</v>
      </c>
      <c r="J38" s="11">
        <v>1</v>
      </c>
      <c r="K38" s="11">
        <f t="shared" ref="K38" si="38">IF($D38&lt;&gt;0,J38*50000,IF($E38&lt;&gt;0,J38*50000,0))</f>
        <v>50000</v>
      </c>
      <c r="L38" s="6"/>
      <c r="M38" s="11">
        <f t="shared" ref="M38" si="39">IF($D38&lt;&gt;0,L38*75000,IF($E38&lt;&gt;0,L38*75000,0))</f>
        <v>0</v>
      </c>
      <c r="N38" s="6"/>
      <c r="O38" s="11">
        <f t="shared" ref="O38" si="40">IF($D38&lt;&gt;0,N38*100000,IF($E38&lt;&gt;0,N38*100000,0))</f>
        <v>0</v>
      </c>
      <c r="P38" s="2"/>
      <c r="Q38" s="2"/>
      <c r="R38" s="2"/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3"/>
        <v>0</v>
      </c>
      <c r="AR38" s="8">
        <f t="shared" si="34"/>
        <v>0</v>
      </c>
      <c r="AS38" s="13">
        <f t="shared" si="17"/>
        <v>25000</v>
      </c>
      <c r="AT38" s="15"/>
      <c r="AV38" s="15"/>
      <c r="AW38" s="15">
        <f t="shared" si="35"/>
        <v>0</v>
      </c>
      <c r="AX38" s="15">
        <f t="shared" si="36"/>
        <v>0</v>
      </c>
      <c r="AY38" s="15">
        <f t="shared" si="37"/>
        <v>0</v>
      </c>
      <c r="AZ38" s="16">
        <f t="shared" si="14"/>
        <v>0</v>
      </c>
      <c r="BA38" s="58"/>
      <c r="BB38" s="58"/>
      <c r="BC38" s="15">
        <f t="shared" si="32"/>
        <v>0</v>
      </c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VLOOKUP(A39,[6]HISTOBQUEJANV25!$A$6:$H$48,5,0)</f>
        <v>100000</v>
      </c>
      <c r="E39" s="91">
        <f>VLOOKUP(A39,[6]HISTOBQUEJANV25!$A$6:$H$43,4,0)</f>
        <v>25000</v>
      </c>
      <c r="F39" s="91">
        <f>VLOOKUP(A39,[6]HISTOBQUEJANV25!$A$6:$H$43,6,0)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/>
      <c r="Q39" s="2"/>
      <c r="R39" s="2"/>
      <c r="S39" s="20"/>
      <c r="T39" s="12"/>
      <c r="U39" s="17">
        <f t="shared" si="9"/>
        <v>125000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8">
        <f t="shared" si="33"/>
        <v>0</v>
      </c>
      <c r="AR39" s="8">
        <f t="shared" si="34"/>
        <v>0</v>
      </c>
      <c r="AS39" s="13">
        <f t="shared" si="17"/>
        <v>25000</v>
      </c>
      <c r="AT39" s="15"/>
      <c r="AV39" s="15"/>
      <c r="AW39" s="15">
        <f t="shared" si="35"/>
        <v>0</v>
      </c>
      <c r="AX39" s="15">
        <f t="shared" si="36"/>
        <v>0</v>
      </c>
      <c r="AY39" s="15">
        <f t="shared" si="37"/>
        <v>0</v>
      </c>
      <c r="AZ39" s="16">
        <f t="shared" si="14"/>
        <v>0</v>
      </c>
      <c r="BA39" s="58"/>
      <c r="BB39" s="58"/>
      <c r="BC39" s="15">
        <f t="shared" si="32"/>
        <v>0</v>
      </c>
      <c r="BD39" s="57">
        <f t="shared" si="15"/>
        <v>0</v>
      </c>
      <c r="BE39" s="82"/>
      <c r="BF39" s="29">
        <f t="shared" si="6"/>
        <v>0</v>
      </c>
      <c r="BG39" s="29">
        <v>11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VLOOKUP(A40,[6]HISTOBQUEJANV25!$A$6:$H$48,5,0)</f>
        <v>0</v>
      </c>
      <c r="E40" s="91">
        <f>VLOOKUP(A40,[6]HISTOBQUEJANV25!$A$6:$H$43,4,0)</f>
        <v>50000</v>
      </c>
      <c r="F40" s="91">
        <f>VLOOKUP(A40,[6]HISTOBQUEJANV25!$A$6:$H$43,6,0)</f>
        <v>0</v>
      </c>
      <c r="G40" s="91"/>
      <c r="H40" s="5">
        <f>IF(I40="ESPECES",3000,0)-3000</f>
        <v>0</v>
      </c>
      <c r="I40" s="10" t="str">
        <f t="shared" si="0"/>
        <v>ESPECES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/>
      <c r="Q40" s="2"/>
      <c r="R40" s="2"/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3"/>
        <v>0</v>
      </c>
      <c r="AR40" s="8">
        <f t="shared" si="34"/>
        <v>0</v>
      </c>
      <c r="AS40" s="13">
        <f t="shared" si="17"/>
        <v>25000</v>
      </c>
      <c r="AT40" s="15"/>
      <c r="AV40" s="15"/>
      <c r="AW40" s="15">
        <f t="shared" si="35"/>
        <v>0</v>
      </c>
      <c r="AX40" s="15">
        <f t="shared" si="36"/>
        <v>0</v>
      </c>
      <c r="AY40" s="15">
        <f t="shared" si="37"/>
        <v>0</v>
      </c>
      <c r="AZ40" s="16">
        <f t="shared" si="14"/>
        <v>0</v>
      </c>
      <c r="BA40" s="58"/>
      <c r="BB40" s="58"/>
      <c r="BC40" s="15">
        <f t="shared" si="32"/>
        <v>0</v>
      </c>
      <c r="BD40" s="57">
        <f t="shared" si="15"/>
        <v>0</v>
      </c>
      <c r="BE40" s="82"/>
      <c r="BF40" s="29">
        <f t="shared" si="6"/>
        <v>0</v>
      </c>
      <c r="BG40" s="29">
        <v>11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VLOOKUP(A41,[6]HISTOBQUEJANV25!$A$6:$H$48,5,0)</f>
        <v>250000</v>
      </c>
      <c r="E41" s="91">
        <f>VLOOKUP(A41,[6]HISTOBQUEJANV25!$A$6:$H$43,4,0)</f>
        <v>0</v>
      </c>
      <c r="F41" s="91">
        <f>VLOOKUP(A41,[6]HISTOBQUEJANV25!$A$6:$H$43,6,0)</f>
        <v>0</v>
      </c>
      <c r="G41" s="91"/>
      <c r="H41" s="5">
        <f t="shared" ref="H41" si="41">IF(I41="ESPECES",3000,0)</f>
        <v>0</v>
      </c>
      <c r="I41" s="10" t="str">
        <f t="shared" si="0"/>
        <v>BANQUE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/>
      <c r="Q41" s="2"/>
      <c r="R41" s="2"/>
      <c r="S41" s="6"/>
      <c r="T41" s="12"/>
      <c r="U41" s="17">
        <f t="shared" si="9"/>
        <v>250000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3"/>
        <v>0</v>
      </c>
      <c r="AR41" s="8">
        <f t="shared" si="34"/>
        <v>0</v>
      </c>
      <c r="AS41" s="13">
        <f t="shared" si="17"/>
        <v>25000</v>
      </c>
      <c r="AT41" s="15"/>
      <c r="AV41" s="15"/>
      <c r="AW41" s="15">
        <f t="shared" si="35"/>
        <v>0</v>
      </c>
      <c r="AX41" s="15">
        <f t="shared" si="36"/>
        <v>0</v>
      </c>
      <c r="AY41" s="15">
        <f t="shared" si="37"/>
        <v>0</v>
      </c>
      <c r="AZ41" s="16">
        <f t="shared" si="14"/>
        <v>100000</v>
      </c>
      <c r="BA41" s="58"/>
      <c r="BB41" s="58"/>
      <c r="BC41" s="15">
        <f t="shared" si="32"/>
        <v>0</v>
      </c>
      <c r="BD41" s="57">
        <f t="shared" si="15"/>
        <v>100000</v>
      </c>
      <c r="BE41" s="82" t="s">
        <v>186</v>
      </c>
      <c r="BF41" s="29">
        <f t="shared" si="6"/>
        <v>0</v>
      </c>
      <c r="BG41" s="29">
        <v>11</v>
      </c>
      <c r="BH41" s="15"/>
      <c r="BI41" s="15"/>
      <c r="BJ41" s="15"/>
      <c r="BK41" s="15">
        <v>100000</v>
      </c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VLOOKUP(A42,[6]HISTOBQUEJANV25!$A$6:$H$48,5,0)</f>
        <v>225000</v>
      </c>
      <c r="E42" s="91">
        <f>VLOOKUP(A42,[6]HISTOBQUEJANV25!$A$6:$H$43,4,0)</f>
        <v>0</v>
      </c>
      <c r="F42" s="91">
        <f>VLOOKUP(A42,[6]HISTOBQUEJANV25!$A$6:$H$43,6,0)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/>
      <c r="Q42" s="2"/>
      <c r="R42" s="2"/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3"/>
        <v>0</v>
      </c>
      <c r="AR42" s="8">
        <f t="shared" si="34"/>
        <v>0</v>
      </c>
      <c r="AS42" s="13">
        <f t="shared" si="17"/>
        <v>25000</v>
      </c>
      <c r="AT42" s="15"/>
      <c r="AV42" s="15"/>
      <c r="AW42" s="15">
        <f t="shared" si="35"/>
        <v>0</v>
      </c>
      <c r="AX42" s="15">
        <f t="shared" si="36"/>
        <v>0</v>
      </c>
      <c r="AY42" s="15">
        <f t="shared" si="37"/>
        <v>0</v>
      </c>
      <c r="AZ42" s="16">
        <f t="shared" si="14"/>
        <v>0</v>
      </c>
      <c r="BA42" s="58"/>
      <c r="BB42" s="58"/>
      <c r="BC42" s="15">
        <f t="shared" si="32"/>
        <v>0</v>
      </c>
      <c r="BD42" s="57">
        <f t="shared" si="15"/>
        <v>0</v>
      </c>
      <c r="BE42" s="82"/>
      <c r="BF42" s="29">
        <f t="shared" si="6"/>
        <v>0</v>
      </c>
      <c r="BG42" s="29">
        <v>11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0</v>
      </c>
      <c r="D44" s="5">
        <f>SUM(D6:D43)</f>
        <v>5395000</v>
      </c>
      <c r="E44" s="5">
        <f>SUM(E6:E43)</f>
        <v>275000</v>
      </c>
      <c r="F44" s="5">
        <f>SUM(F6:F43)</f>
        <v>346500</v>
      </c>
      <c r="G44" s="5">
        <f t="shared" ref="G44:S44" si="42">SUM(G6:G43)</f>
        <v>695000</v>
      </c>
      <c r="H44" s="5">
        <f t="shared" si="42"/>
        <v>0</v>
      </c>
      <c r="I44" s="5">
        <f t="shared" si="42"/>
        <v>0</v>
      </c>
      <c r="J44" s="5">
        <f t="shared" si="42"/>
        <v>35</v>
      </c>
      <c r="K44" s="5">
        <f t="shared" si="42"/>
        <v>1700000</v>
      </c>
      <c r="L44" s="5">
        <f t="shared" si="42"/>
        <v>13</v>
      </c>
      <c r="M44" s="5">
        <f t="shared" si="42"/>
        <v>975000</v>
      </c>
      <c r="N44" s="5">
        <f t="shared" si="42"/>
        <v>24</v>
      </c>
      <c r="O44" s="5">
        <f t="shared" si="42"/>
        <v>2300000</v>
      </c>
      <c r="P44" s="5">
        <f t="shared" si="42"/>
        <v>0</v>
      </c>
      <c r="Q44" s="5">
        <f t="shared" si="42"/>
        <v>0</v>
      </c>
      <c r="R44" s="5">
        <f t="shared" si="42"/>
        <v>0</v>
      </c>
      <c r="S44" s="5">
        <f t="shared" si="42"/>
        <v>346500</v>
      </c>
      <c r="T44" s="5"/>
      <c r="U44" s="5">
        <f t="shared" ref="U44:AA44" si="43">SUM(U6:U43)</f>
        <v>6016500</v>
      </c>
      <c r="V44" s="5">
        <f t="shared" si="43"/>
        <v>0</v>
      </c>
      <c r="W44" s="5">
        <f t="shared" si="43"/>
        <v>0</v>
      </c>
      <c r="X44" s="5">
        <f t="shared" si="43"/>
        <v>0</v>
      </c>
      <c r="Y44" s="5">
        <f t="shared" si="43"/>
        <v>4975000</v>
      </c>
      <c r="Z44" s="5">
        <f t="shared" si="43"/>
        <v>2000000</v>
      </c>
      <c r="AA44" s="5">
        <f t="shared" si="43"/>
        <v>0</v>
      </c>
      <c r="AB44" s="5"/>
      <c r="AC44" s="5">
        <f>SUM(AC6:AC43)</f>
        <v>91000</v>
      </c>
      <c r="AD44" s="5">
        <f>SUM(AD6:AD43)</f>
        <v>7500</v>
      </c>
      <c r="AE44" s="5">
        <f>SUM(AE6:AE43)</f>
        <v>340000</v>
      </c>
      <c r="AF44" s="5"/>
      <c r="AG44" s="5">
        <f>SUM(AG6:AG43)</f>
        <v>0</v>
      </c>
      <c r="AH44" s="5"/>
      <c r="AI44" s="5">
        <f t="shared" ref="AI44:BF44" si="44">SUM(AI6:AI43)</f>
        <v>41000</v>
      </c>
      <c r="AJ44" s="5">
        <f t="shared" si="44"/>
        <v>0</v>
      </c>
      <c r="AK44" s="5">
        <f t="shared" si="44"/>
        <v>0</v>
      </c>
      <c r="AL44" s="5">
        <f t="shared" si="44"/>
        <v>1000</v>
      </c>
      <c r="AM44" s="5">
        <f t="shared" si="44"/>
        <v>0</v>
      </c>
      <c r="AN44" s="5">
        <f t="shared" si="44"/>
        <v>0</v>
      </c>
      <c r="AO44" s="5">
        <f t="shared" si="44"/>
        <v>0</v>
      </c>
      <c r="AP44" s="5">
        <f t="shared" si="44"/>
        <v>0</v>
      </c>
      <c r="AQ44" s="5">
        <f t="shared" si="44"/>
        <v>0</v>
      </c>
      <c r="AR44" s="5">
        <f t="shared" si="44"/>
        <v>0</v>
      </c>
      <c r="AS44" s="5">
        <f t="shared" si="44"/>
        <v>1545000</v>
      </c>
      <c r="AT44" s="5">
        <f t="shared" si="44"/>
        <v>0</v>
      </c>
      <c r="AU44" s="5">
        <f t="shared" si="44"/>
        <v>0</v>
      </c>
      <c r="AV44" s="5">
        <f t="shared" si="44"/>
        <v>0</v>
      </c>
      <c r="AW44" s="5">
        <f t="shared" si="44"/>
        <v>850000</v>
      </c>
      <c r="AX44" s="5">
        <f t="shared" si="44"/>
        <v>892500</v>
      </c>
      <c r="AY44" s="5">
        <f t="shared" si="44"/>
        <v>3260000</v>
      </c>
      <c r="AZ44" s="5">
        <f t="shared" si="44"/>
        <v>7755500</v>
      </c>
      <c r="BA44" s="5">
        <f t="shared" si="44"/>
        <v>275000</v>
      </c>
      <c r="BB44" s="5">
        <f t="shared" si="44"/>
        <v>0</v>
      </c>
      <c r="BC44" s="5">
        <f t="shared" si="44"/>
        <v>346500</v>
      </c>
      <c r="BD44" s="5">
        <f t="shared" si="44"/>
        <v>7134000</v>
      </c>
      <c r="BE44" s="5">
        <f t="shared" si="44"/>
        <v>0</v>
      </c>
      <c r="BF44" s="5">
        <f t="shared" si="44"/>
        <v>220000</v>
      </c>
      <c r="BH44" s="5">
        <f t="shared" ref="BH44:BL44" si="45">SUM(BH6:BH43)</f>
        <v>72000</v>
      </c>
      <c r="BI44" s="5">
        <f t="shared" si="45"/>
        <v>200000</v>
      </c>
      <c r="BJ44" s="5">
        <f t="shared" si="45"/>
        <v>0</v>
      </c>
      <c r="BK44" s="5">
        <f t="shared" si="45"/>
        <v>100000</v>
      </c>
      <c r="BL44" s="5">
        <f t="shared" si="45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275000</v>
      </c>
      <c r="BB46" t="s">
        <v>232</v>
      </c>
      <c r="BD46" s="9">
        <v>7134000</v>
      </c>
      <c r="BE46" t="s">
        <v>233</v>
      </c>
    </row>
    <row r="47" spans="1:69" ht="18.5" x14ac:dyDescent="0.45">
      <c r="C47" s="3" t="s">
        <v>8</v>
      </c>
      <c r="D47" s="90"/>
      <c r="E47" s="90"/>
      <c r="F47" s="90"/>
      <c r="G47" s="3" t="s">
        <v>9</v>
      </c>
      <c r="H47" s="90"/>
      <c r="I47" s="90"/>
      <c r="Z47" s="12"/>
      <c r="AI47" s="5"/>
      <c r="AV47" s="3"/>
      <c r="AW47" s="90"/>
      <c r="AX47" s="15"/>
      <c r="AY47" s="15"/>
      <c r="AZ47" s="16"/>
      <c r="BA47" s="14">
        <f>+BA46-BA44</f>
        <v>0</v>
      </c>
      <c r="BD47" s="14">
        <f>+BD46-BD44</f>
        <v>0</v>
      </c>
    </row>
    <row r="48" spans="1:69" ht="18.5" x14ac:dyDescent="0.45">
      <c r="B48" s="1" t="s">
        <v>74</v>
      </c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7134000</v>
      </c>
      <c r="D50" s="9">
        <f>+D44</f>
        <v>5395000</v>
      </c>
      <c r="E50" s="9">
        <f>+C50-D50</f>
        <v>1739000</v>
      </c>
      <c r="F50" s="9"/>
      <c r="G50" s="9">
        <f>E44</f>
        <v>275000</v>
      </c>
      <c r="H50" s="14">
        <f>+BA44</f>
        <v>275000</v>
      </c>
      <c r="I50" s="88">
        <f>+G50-H50</f>
        <v>0</v>
      </c>
      <c r="J50" s="5"/>
      <c r="AW50" s="15"/>
      <c r="AX50" s="15"/>
      <c r="AY50" s="15"/>
      <c r="AZ50" s="16"/>
      <c r="BO50" t="s">
        <v>229</v>
      </c>
      <c r="BQ50" s="6">
        <v>371000</v>
      </c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13948000</v>
      </c>
    </row>
  </sheetData>
  <autoFilter ref="A5:AF42" xr:uid="{00000000-0009-0000-0000-000004000000}"/>
  <mergeCells count="1">
    <mergeCell ref="B4:M4"/>
  </mergeCells>
  <dataValidations count="3">
    <dataValidation type="list" showInputMessage="1" showErrorMessage="1" sqref="AP6:AP42" xr:uid="{60DB025F-D15E-43FF-A948-CBC277C4BDBB}">
      <formula1>"BANQUE,ESPECES, "</formula1>
    </dataValidation>
    <dataValidation type="list" showInputMessage="1" showErrorMessage="1" sqref="T6:T42 AF6:AF42" xr:uid="{D884661E-7427-4C1B-8B62-C5DB2DBA20FB}">
      <formula1>"BANQUE,ESPECES,EN COMPTE,AUTRES"</formula1>
    </dataValidation>
    <dataValidation type="list" showInputMessage="1" showErrorMessage="1" sqref="AA6:AA42" xr:uid="{CCC2BA21-0FE5-419C-A744-C4DB108BC06C}">
      <formula1>"BANQUE,ESPECES, 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0A2E-8C97-4C62-B575-0519871CF163}">
  <dimension ref="A1:BQ88"/>
  <sheetViews>
    <sheetView zoomScale="87" zoomScaleNormal="87" workbookViewId="0">
      <pane xSplit="4" ySplit="5" topLeftCell="BO30" activePane="bottomRight" state="frozen"/>
      <selection pane="topRight" activeCell="E1" sqref="E1"/>
      <selection pane="bottomLeft" activeCell="A6" sqref="A6"/>
      <selection pane="bottomRight" activeCell="A33" sqref="A33:XFD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VLOOKUP(A6,[6]HISTOBQUEFEV25!$A$6:$H$48,5,0)</f>
        <v>250000</v>
      </c>
      <c r="E6" s="91">
        <f>VLOOKUP(A6,[6]HISTOBQUEFEV25!$A$6:$H$43,4,0)</f>
        <v>0</v>
      </c>
      <c r="F6" s="91">
        <f>VLOOKUP(A6,[6]HISTOBQUEFEV25!$A$6:$H$43,6,0)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IFERROR(VLOOKUP(A6,[7]TONTFEV25!$A$6:$R$41,12,0),0)</f>
        <v>0</v>
      </c>
      <c r="Q6" s="2">
        <f>IFERROR(VLOOKUP(A6,[8]TONTFEV25!$A$6:$R$38,10,0),0)</f>
        <v>0</v>
      </c>
      <c r="R6" s="2">
        <f>IFERROR(VLOOKUP(A6,[9]TONTFEV25!$A$6:$R$42,10,0),0)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 t="s">
        <v>8</v>
      </c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36000</v>
      </c>
      <c r="BA6" s="58">
        <v>30000</v>
      </c>
      <c r="BB6" s="58"/>
      <c r="BC6" s="15">
        <f t="shared" ref="BC6:BC17" si="5">F6</f>
        <v>0</v>
      </c>
      <c r="BD6" s="57">
        <f>IF(AZ6=0,(AZ6-BA6-BC6),(AZ6-BA6-BB6-BC6))</f>
        <v>6000</v>
      </c>
      <c r="BE6" s="82" t="s">
        <v>186</v>
      </c>
      <c r="BF6" s="29">
        <f t="shared" ref="BF6:BF42" si="6">Z6*1/100*BG6</f>
        <v>0</v>
      </c>
      <c r="BG6" s="29">
        <v>10</v>
      </c>
      <c r="BH6" s="15">
        <f>BQ17</f>
        <v>36000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VLOOKUP(A7,[6]HISTOBQUEFEV25!$A$6:$H$48,5,0)</f>
        <v>0</v>
      </c>
      <c r="E7" s="91">
        <f>VLOOKUP(A7,[6]HISTOBQUEFEV25!$A$6:$H$43,4,0)</f>
        <v>50000</v>
      </c>
      <c r="F7" s="91">
        <f>VLOOKUP(A7,[6]HISTOBQUEFEV25!$A$6:$H$43,6,0)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IFERROR(VLOOKUP(A7,[7]TONTFEV25!$A$6:$R$41,12,0),0)</f>
        <v>0</v>
      </c>
      <c r="Q7" s="2">
        <f>IFERROR(VLOOKUP(A7,[8]TONTFEV25!$A$6:$R$38,10,0),0)</f>
        <v>0</v>
      </c>
      <c r="R7" s="2">
        <f>IFERROR(VLOOKUP(A7,[9]TONTFEV25!$A$6:$R$42,10,0),0)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>
        <v>2000</v>
      </c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VLOOKUP(A8,[6]HISTOBQUEFEV25!$A$6:$H$48,5,0)</f>
        <v>125000</v>
      </c>
      <c r="E8" s="91">
        <f>VLOOKUP(A8,[6]HISTOBQUEFEV25!$A$6:$H$43,4,0)</f>
        <v>0</v>
      </c>
      <c r="F8" s="91">
        <f>VLOOKUP(A8,[6]HISTOBQUEFEV25!$A$6:$H$43,6,0)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IFERROR(VLOOKUP(A8,[7]TONTFEV25!$A$6:$R$41,12,0),0)</f>
        <v>0</v>
      </c>
      <c r="Q8" s="2">
        <f>IFERROR(VLOOKUP(A8,[8]TONTFEV25!$A$6:$R$38,10,0),0)</f>
        <v>0</v>
      </c>
      <c r="R8" s="2">
        <f>IFERROR(VLOOKUP(A8,[9]TONTFEV25!$A$6:$R$42,10,0),0)</f>
        <v>0</v>
      </c>
      <c r="S8" s="20"/>
      <c r="T8" s="12"/>
      <c r="U8" s="17">
        <f t="shared" si="9"/>
        <v>125000</v>
      </c>
      <c r="V8" s="12"/>
      <c r="W8" s="12"/>
      <c r="X8" s="12"/>
      <c r="Y8" s="92">
        <f t="shared" si="10"/>
        <v>125000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3000</v>
      </c>
      <c r="AN8" s="12"/>
      <c r="AO8" s="12"/>
      <c r="AP8" s="12" t="s">
        <v>8</v>
      </c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100000</v>
      </c>
      <c r="AY8" s="15">
        <f t="shared" si="13"/>
        <v>0</v>
      </c>
      <c r="AZ8" s="16">
        <f t="shared" si="14"/>
        <v>100000</v>
      </c>
      <c r="BA8" s="58"/>
      <c r="BB8" s="58"/>
      <c r="BC8" s="15">
        <f t="shared" si="5"/>
        <v>0</v>
      </c>
      <c r="BD8" s="57">
        <f t="shared" si="15"/>
        <v>100000</v>
      </c>
      <c r="BE8" s="82" t="s">
        <v>186</v>
      </c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30000</v>
      </c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VLOOKUP(A9,[6]HISTOBQUEFEV25!$A$6:$H$48,5,0)</f>
        <v>250000</v>
      </c>
      <c r="E9" s="91">
        <f>VLOOKUP(A9,[6]HISTOBQUEFEV25!$A$6:$H$43,4,0)</f>
        <v>0</v>
      </c>
      <c r="F9" s="91">
        <f>VLOOKUP(A9,[6]HISTOBQUEFEV25!$A$6:$H$43,6,0)</f>
        <v>0</v>
      </c>
      <c r="G9" s="91"/>
      <c r="H9" s="5">
        <f t="shared" si="16"/>
        <v>0</v>
      </c>
      <c r="I9" s="10" t="str">
        <f t="shared" si="0"/>
        <v>BANQUE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IFERROR(VLOOKUP(A9,[7]TONTFEV25!$A$6:$R$41,12,0),0)</f>
        <v>0</v>
      </c>
      <c r="Q9" s="2">
        <f>IFERROR(VLOOKUP(A9,[8]TONTFEV25!$A$6:$R$38,10,0),0)</f>
        <v>0</v>
      </c>
      <c r="R9" s="2">
        <f>IFERROR(VLOOKUP(A9,[9]TONTFEV25!$A$6:$R$42,10,0),0)</f>
        <v>0</v>
      </c>
      <c r="S9" s="20"/>
      <c r="T9" s="12"/>
      <c r="U9" s="17">
        <f t="shared" si="9"/>
        <v>250000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>
        <v>80000</v>
      </c>
      <c r="AF9" s="12" t="s">
        <v>8</v>
      </c>
      <c r="AG9" s="12"/>
      <c r="AH9" s="12"/>
      <c r="AI9" s="12"/>
      <c r="AJ9" s="12"/>
      <c r="AK9" s="12">
        <v>200000</v>
      </c>
      <c r="AL9" s="12"/>
      <c r="AM9" s="12"/>
      <c r="AN9" s="12">
        <f>3500+4000</f>
        <v>7500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1320000</v>
      </c>
      <c r="AZ9" s="16">
        <f t="shared" si="14"/>
        <v>1320000</v>
      </c>
      <c r="BA9" s="58"/>
      <c r="BB9" s="58"/>
      <c r="BC9" s="15">
        <f t="shared" si="5"/>
        <v>0</v>
      </c>
      <c r="BD9" s="57">
        <f t="shared" si="15"/>
        <v>1320000</v>
      </c>
      <c r="BE9" s="82" t="s">
        <v>186</v>
      </c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VLOOKUP(A10,[6]HISTOBQUEFEV25!$A$6:$H$48,5,0)</f>
        <v>50000</v>
      </c>
      <c r="E10" s="91">
        <f>VLOOKUP(A10,[6]HISTOBQUEFEV25!$A$6:$H$43,4,0)</f>
        <v>0</v>
      </c>
      <c r="F10" s="91">
        <f>VLOOKUP(A10,[6]HISTOBQUEFEV25!$A$6:$H$43,6,0)</f>
        <v>0</v>
      </c>
      <c r="G10" s="91"/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IFERROR(VLOOKUP(A10,[7]TONTFEV25!$A$6:$R$41,12,0),0)</f>
        <v>0</v>
      </c>
      <c r="Q10" s="2">
        <f>IFERROR(VLOOKUP(A10,[8]TONTFEV25!$A$6:$R$38,10,0),0)</f>
        <v>0</v>
      </c>
      <c r="R10" s="2">
        <f>IFERROR(VLOOKUP(A10,[9]TONTFEV25!$A$6:$R$42,10,0),0)</f>
        <v>0</v>
      </c>
      <c r="S10" s="20"/>
      <c r="T10" s="12"/>
      <c r="U10" s="17">
        <f t="shared" si="9"/>
        <v>50000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40000</v>
      </c>
      <c r="AX10" s="15">
        <f t="shared" si="12"/>
        <v>0</v>
      </c>
      <c r="AY10" s="15">
        <f t="shared" si="13"/>
        <v>0</v>
      </c>
      <c r="AZ10" s="16">
        <f t="shared" si="14"/>
        <v>40000</v>
      </c>
      <c r="BA10" s="58">
        <v>40000</v>
      </c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VLOOKUP(A11,[6]HISTOBQUEFEV25!$A$6:$H$48,5,0)</f>
        <v>150375</v>
      </c>
      <c r="E11" s="91">
        <f>VLOOKUP(A11,[6]HISTOBQUEFEV25!$A$6:$H$43,4,0)</f>
        <v>0</v>
      </c>
      <c r="F11" s="91">
        <f>VLOOKUP(A11,[6]HISTOBQUEFEV25!$A$6:$H$43,6,0)</f>
        <v>0</v>
      </c>
      <c r="G11" s="91">
        <v>375</v>
      </c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IFERROR(VLOOKUP(A11,[7]TONTFEV25!$A$6:$R$41,12,0),0)</f>
        <v>0</v>
      </c>
      <c r="Q11" s="2">
        <f>IFERROR(VLOOKUP(A11,[8]TONTFEV25!$A$6:$R$38,10,0),0)</f>
        <v>0</v>
      </c>
      <c r="R11" s="2">
        <f>IFERROR(VLOOKUP(A11,[9]TONTFEV25!$A$6:$R$42,10,0),0)</f>
        <v>0</v>
      </c>
      <c r="S11" s="20"/>
      <c r="T11" s="12"/>
      <c r="U11" s="17">
        <f t="shared" si="9"/>
        <v>150375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>
        <f>100000+100000</f>
        <v>200000</v>
      </c>
      <c r="AL11" s="12"/>
      <c r="AM11" s="12"/>
      <c r="AN11" s="12">
        <f>3500+1000</f>
        <v>4500</v>
      </c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25375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200000</v>
      </c>
      <c r="AZ11" s="16">
        <f t="shared" si="14"/>
        <v>200000</v>
      </c>
      <c r="BA11" s="58">
        <v>149000</v>
      </c>
      <c r="BB11" s="58"/>
      <c r="BC11" s="15">
        <f t="shared" si="5"/>
        <v>0</v>
      </c>
      <c r="BD11" s="57">
        <f t="shared" si="15"/>
        <v>51000</v>
      </c>
      <c r="BE11" s="82" t="s">
        <v>186</v>
      </c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VLOOKUP(A12,[6]HISTOBQUEFEV25!$A$6:$H$48,5,0)</f>
        <v>910000</v>
      </c>
      <c r="E12" s="91">
        <f>VLOOKUP(A12,[6]HISTOBQUEFEV25!$A$6:$H$43,4,0)</f>
        <v>0</v>
      </c>
      <c r="F12" s="91">
        <f>VLOOKUP(A12,[6]HISTOBQUEFEV25!$A$6:$H$43,6,0)</f>
        <v>0</v>
      </c>
      <c r="G12" s="91">
        <v>660000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IFERROR(VLOOKUP(A12,[7]TONTFEV25!$A$6:$R$41,12,0),0)</f>
        <v>0</v>
      </c>
      <c r="Q12" s="2">
        <f>IFERROR(VLOOKUP(A12,[8]TONTFEV25!$A$6:$R$38,10,0),0)</f>
        <v>0</v>
      </c>
      <c r="R12" s="2">
        <f>IFERROR(VLOOKUP(A12,[9]TONTFEV25!$A$6:$R$42,10,0),0)</f>
        <v>0</v>
      </c>
      <c r="S12" s="20"/>
      <c r="T12" s="12"/>
      <c r="U12" s="17">
        <f t="shared" si="9"/>
        <v>910000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7"/>
        <v>685000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>
        <f t="shared" si="5"/>
        <v>0</v>
      </c>
      <c r="BD12" s="57">
        <f t="shared" si="15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VLOOKUP(A13,[6]HISTOBQUEFEV25!$A$6:$H$48,5,0)</f>
        <v>50000</v>
      </c>
      <c r="E13" s="91">
        <f>VLOOKUP(A13,[6]HISTOBQUEFEV25!$A$6:$H$43,4,0)</f>
        <v>0</v>
      </c>
      <c r="F13" s="91">
        <f>VLOOKUP(A13,[6]HISTOBQUEFEV25!$A$6:$H$43,6,0)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IFERROR(VLOOKUP(A13,[7]TONTFEV25!$A$6:$R$41,12,0),0)</f>
        <v>0</v>
      </c>
      <c r="Q13" s="2">
        <f>IFERROR(VLOOKUP(A13,[8]TONTFEV25!$A$6:$R$38,10,0),0)</f>
        <v>0</v>
      </c>
      <c r="R13" s="2">
        <f>IFERROR(VLOOKUP(A13,[9]TONTFEV25!$A$6:$R$42,10,0),0)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VLOOKUP(A14,[6]HISTOBQUEFEV25!$A$6:$H$48,5,0)</f>
        <v>50000</v>
      </c>
      <c r="E14" s="91">
        <f>VLOOKUP(A14,[6]HISTOBQUEFEV25!$A$6:$H$43,4,0)</f>
        <v>0</v>
      </c>
      <c r="F14" s="91">
        <f>VLOOKUP(A14,[6]HISTOBQUEFEV25!$A$6:$H$43,6,0)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IFERROR(VLOOKUP(A14,[7]TONTFEV25!$A$6:$R$41,12,0),0)</f>
        <v>0</v>
      </c>
      <c r="Q14" s="2">
        <f>IFERROR(VLOOKUP(A14,[8]TONTFEV25!$A$6:$R$38,10,0),0)</f>
        <v>0</v>
      </c>
      <c r="R14" s="2">
        <f>IFERROR(VLOOKUP(A14,[9]TONTFEV25!$A$6:$R$42,10,0),0)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14">
        <f t="shared" si="7"/>
        <v>-50000</v>
      </c>
      <c r="D15" s="9">
        <f>VLOOKUP(A15,[6]HISTOBQUEFEV25!$A$6:$H$48,5,0)</f>
        <v>0</v>
      </c>
      <c r="E15" s="91">
        <f>VLOOKUP(A15,[6]HISTOBQUEFEV25!$A$6:$H$43,4,0)</f>
        <v>125000</v>
      </c>
      <c r="F15" s="91">
        <f>VLOOKUP(A15,[6]HISTOBQUEFEV25!$A$6:$H$43,6,0)</f>
        <v>0</v>
      </c>
      <c r="G15" s="91"/>
      <c r="H15" s="5">
        <f>IF(I15="ESPECES",3000,0)-3000</f>
        <v>0</v>
      </c>
      <c r="I15" s="10" t="str">
        <f t="shared" si="0"/>
        <v>ESPECES</v>
      </c>
      <c r="J15" s="11">
        <v>1</v>
      </c>
      <c r="K15" s="11">
        <f t="shared" ref="K15" si="18">IF($D15&lt;&gt;0,J15*50000,IF($E15&lt;&gt;0,J15*50000,0))</f>
        <v>50000</v>
      </c>
      <c r="L15" s="6"/>
      <c r="M15" s="11">
        <f t="shared" ref="M15" si="19">IF($D15&lt;&gt;0,L15*75000,IF($E15&lt;&gt;0,L15*75000,0))</f>
        <v>0</v>
      </c>
      <c r="N15" s="6">
        <v>1</v>
      </c>
      <c r="O15" s="11">
        <f t="shared" ref="O15" si="20">IF($D15&lt;&gt;0,N15*100000,IF($E15&lt;&gt;0,N15*100000,0))</f>
        <v>100000</v>
      </c>
      <c r="P15" s="2">
        <f>IFERROR(VLOOKUP(A15,[7]TONTFEV25!$A$6:$R$41,12,0),0)</f>
        <v>0</v>
      </c>
      <c r="Q15" s="2">
        <f>IFERROR(VLOOKUP(A15,[8]TONTFEV25!$A$6:$R$38,10,0),0)</f>
        <v>0</v>
      </c>
      <c r="R15" s="2">
        <f>IFERROR(VLOOKUP(A15,[9]TONTFEV25!$A$6:$R$42,10,0),0)</f>
        <v>0</v>
      </c>
      <c r="S15" s="20"/>
      <c r="T15" s="12"/>
      <c r="U15" s="17">
        <f t="shared" ref="U15" si="21">G15+H15+S15+R15+P15+O15+M15+K15+Q15+V15+W15</f>
        <v>175000</v>
      </c>
      <c r="V15" s="12"/>
      <c r="W15" s="12">
        <v>25000</v>
      </c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ref="AQ15" si="22">IF(I15="ECHEC",((K15+M15+O15)*20/100),0)</f>
        <v>0</v>
      </c>
      <c r="AR15" s="8">
        <f t="shared" ref="AR15" si="23">IF(I15="ECHEC",((K15+M15+O15)*20/100),0)</f>
        <v>0</v>
      </c>
      <c r="AS15" s="13">
        <f>IF(I15="ECHEC",0,(K15+G15-25000))+25000</f>
        <v>50000</v>
      </c>
      <c r="AT15" s="15"/>
      <c r="AV15" s="15"/>
      <c r="AW15" s="15">
        <f t="shared" ref="AW15" si="24">IF(AC15=0,AI15,(1*25000*12)+AI15-AC15)</f>
        <v>0</v>
      </c>
      <c r="AX15" s="15">
        <f t="shared" ref="AX15" si="25">IF(AD15=0,AJ15,(1*75000*12)+(AJ15)-AD15)</f>
        <v>0</v>
      </c>
      <c r="AY15" s="15">
        <f t="shared" ref="AY15" si="26">IF(AE15=0,AK15,(1*100000*12)+(AK15)-AE15)</f>
        <v>0</v>
      </c>
      <c r="AZ15" s="16">
        <f t="shared" ref="AZ15" si="27">SUM(AV15:AY15)-BF15+Z15+BH15+BI15+BJ15+BK15+BL15+BM15+BN15</f>
        <v>0</v>
      </c>
      <c r="BA15" s="58"/>
      <c r="BB15" s="58"/>
      <c r="BC15" s="15">
        <f t="shared" ref="BC15" si="28">F15</f>
        <v>0</v>
      </c>
      <c r="BD15" s="57">
        <f t="shared" ref="BD15" si="29">IF(AZ15=0,(AZ15-BA15-BC15),(AZ15-BA15-BB15-BC15))</f>
        <v>0</v>
      </c>
      <c r="BE15" s="82"/>
      <c r="BF15" s="29">
        <f t="shared" ref="BF15" si="30">Z15*1/100*BG15</f>
        <v>0</v>
      </c>
      <c r="BG15" s="29">
        <v>10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VLOOKUP(A16,[6]HISTOBQUEFEV25!$A$6:$H$48,5,0)</f>
        <v>125000</v>
      </c>
      <c r="E16" s="91">
        <f>VLOOKUP(A16,[6]HISTOBQUEFEV25!$A$6:$H$43,4,0)</f>
        <v>0</v>
      </c>
      <c r="F16" s="91">
        <f>VLOOKUP(A16,[6]HISTOBQUEFEV25!$A$6:$H$43,6,0)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IFERROR(VLOOKUP(A16,[7]TONTFEV25!$A$6:$R$41,12,0),0)</f>
        <v>0</v>
      </c>
      <c r="Q16" s="2">
        <f>IFERROR(VLOOKUP(A16,[8]TONTFEV25!$A$6:$R$38,10,0),0)</f>
        <v>0</v>
      </c>
      <c r="R16" s="2">
        <f>IFERROR(VLOOKUP(A16,[9]TONTFEV25!$A$6:$R$42,10,0),0)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VLOOKUP(A17,[6]HISTOBQUEFEV25!$A$6:$H$48,5,0)</f>
        <v>260000</v>
      </c>
      <c r="E17" s="91">
        <f>VLOOKUP(A17,[6]HISTOBQUEFEV25!$A$6:$H$43,4,0)</f>
        <v>0</v>
      </c>
      <c r="F17" s="91">
        <f>VLOOKUP(A17,[6]HISTOBQUEFEV25!$A$6:$H$43,6,0)</f>
        <v>0</v>
      </c>
      <c r="G17" s="91">
        <v>35000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IFERROR(VLOOKUP(A17,[7]TONTFEV25!$A$6:$R$41,12,0),0)</f>
        <v>0</v>
      </c>
      <c r="Q17" s="2">
        <f>IFERROR(VLOOKUP(A17,[8]TONTFEV25!$A$6:$R$38,10,0),0)</f>
        <v>0</v>
      </c>
      <c r="R17" s="2">
        <f>IFERROR(VLOOKUP(A17,[9]TONTFEV25!$A$6:$R$42,10,0),0)</f>
        <v>0</v>
      </c>
      <c r="S17" s="20"/>
      <c r="T17" s="12"/>
      <c r="U17" s="17">
        <f t="shared" si="9"/>
        <v>260000</v>
      </c>
      <c r="V17" s="12"/>
      <c r="W17" s="12"/>
      <c r="X17" s="12"/>
      <c r="Y17" s="92">
        <f t="shared" si="10"/>
        <v>225000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7"/>
        <v>60000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>
        <f t="shared" si="5"/>
        <v>0</v>
      </c>
      <c r="BD17" s="57">
        <f t="shared" si="15"/>
        <v>0</v>
      </c>
      <c r="BE17" s="82"/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O17" s="62" t="s">
        <v>142</v>
      </c>
      <c r="BQ17" s="62">
        <f>SUM(BQ6:BQ16)</f>
        <v>36000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VLOOKUP(A18,[6]HISTOBQUEFEV25!$A$6:$H$48,5,0)</f>
        <v>150000</v>
      </c>
      <c r="E18" s="91">
        <f>VLOOKUP(A18,[6]HISTOBQUEFEV25!$A$6:$H$43,4,0)</f>
        <v>0</v>
      </c>
      <c r="F18" s="91">
        <f>VLOOKUP(A18,[6]HISTOBQUEFEV25!$A$6:$H$43,6,0)</f>
        <v>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IFERROR(VLOOKUP(A18,[7]TONTFEV25!$A$6:$R$41,12,0),0)</f>
        <v>0</v>
      </c>
      <c r="Q18" s="2">
        <f>IFERROR(VLOOKUP(A18,[8]TONTFEV25!$A$6:$R$38,10,0),0)</f>
        <v>0</v>
      </c>
      <c r="R18" s="2">
        <f>IFERROR(VLOOKUP(A18,[9]TONTFEV25!$A$6:$R$42,10,0),0)</f>
        <v>0</v>
      </c>
      <c r="S18" s="20"/>
      <c r="T18" s="12"/>
      <c r="U18" s="17">
        <f t="shared" si="9"/>
        <v>150000</v>
      </c>
      <c r="V18" s="12"/>
      <c r="W18" s="12"/>
      <c r="X18" s="12"/>
      <c r="Y18" s="92">
        <f t="shared" si="10"/>
        <v>150000</v>
      </c>
      <c r="Z18" s="12">
        <v>500000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470000</v>
      </c>
      <c r="BA18" s="58"/>
      <c r="BB18" s="58"/>
      <c r="BC18" s="15">
        <f>F18</f>
        <v>0</v>
      </c>
      <c r="BD18" s="57">
        <f t="shared" si="15"/>
        <v>470000</v>
      </c>
      <c r="BE18" s="82" t="s">
        <v>186</v>
      </c>
      <c r="BF18" s="29">
        <f t="shared" si="6"/>
        <v>30000</v>
      </c>
      <c r="BG18" s="29">
        <v>6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75000</v>
      </c>
      <c r="D19" s="9">
        <f>VLOOKUP(A19,[6]HISTOBQUEFEV25!$A$6:$H$48,5,0)</f>
        <v>310000</v>
      </c>
      <c r="E19" s="91">
        <f>VLOOKUP(A19,[6]HISTOBQUEFEV25!$A$6:$H$43,4,0)</f>
        <v>0</v>
      </c>
      <c r="F19" s="91">
        <f>VLOOKUP(A19,[6]HISTOBQUEFEV25!$A$6:$H$43,6,0)</f>
        <v>0</v>
      </c>
      <c r="G19" s="91">
        <v>10000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IFERROR(VLOOKUP(A19,[7]TONTFEV25!$A$6:$R$41,12,0),0)</f>
        <v>0</v>
      </c>
      <c r="Q19" s="2">
        <f>IFERROR(VLOOKUP(A19,[8]TONTFEV25!$A$6:$R$38,10,0),0)</f>
        <v>0</v>
      </c>
      <c r="R19" s="2">
        <f>IFERROR(VLOOKUP(A19,[9]TONTFEV25!$A$6:$R$42,10,0),0)</f>
        <v>0</v>
      </c>
      <c r="S19" s="20"/>
      <c r="T19" s="12"/>
      <c r="U19" s="17">
        <f t="shared" si="9"/>
        <v>235000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>
        <v>26000</v>
      </c>
      <c r="AD19" s="12"/>
      <c r="AE19" s="12"/>
      <c r="AF19" s="12" t="s">
        <v>8</v>
      </c>
      <c r="AG19" s="12"/>
      <c r="AH19" s="12"/>
      <c r="AI19" s="12"/>
      <c r="AJ19" s="12">
        <v>53000</v>
      </c>
      <c r="AK19" s="12"/>
      <c r="AL19" s="12"/>
      <c r="AM19" s="12">
        <v>1500</v>
      </c>
      <c r="AN19" s="12"/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35000</v>
      </c>
      <c r="AT19" s="15"/>
      <c r="AV19" s="15"/>
      <c r="AW19" s="15">
        <f t="shared" si="11"/>
        <v>274000</v>
      </c>
      <c r="AX19" s="15">
        <f t="shared" si="12"/>
        <v>53000</v>
      </c>
      <c r="AY19" s="15">
        <f t="shared" si="13"/>
        <v>0</v>
      </c>
      <c r="AZ19" s="16">
        <f t="shared" si="14"/>
        <v>327000</v>
      </c>
      <c r="BA19" s="58"/>
      <c r="BB19" s="58"/>
      <c r="BC19" s="15">
        <f t="shared" ref="BC19:BC42" si="31">F19</f>
        <v>0</v>
      </c>
      <c r="BD19" s="57">
        <f t="shared" si="15"/>
        <v>327000</v>
      </c>
      <c r="BE19" s="82" t="s">
        <v>186</v>
      </c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/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VLOOKUP(A21,[6]HISTOBQUEFEV25!$A$6:$H$48,5,0)</f>
        <v>50000</v>
      </c>
      <c r="E21" s="91">
        <f>VLOOKUP(A21,[6]HISTOBQUEFEV25!$A$6:$H$43,4,0)</f>
        <v>0</v>
      </c>
      <c r="F21" s="91">
        <f>VLOOKUP(A21,[6]HISTOBQUEFEV25!$A$6:$H$43,6,0)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IFERROR(VLOOKUP(A21,[7]TONTFEV25!$A$6:$R$41,12,0),0)</f>
        <v>0</v>
      </c>
      <c r="Q21" s="2">
        <f>IFERROR(VLOOKUP(A21,[8]TONTFEV25!$A$6:$R$38,10,0),0)</f>
        <v>0</v>
      </c>
      <c r="R21" s="2">
        <f>IFERROR(VLOOKUP(A21,[9]TONTFEV25!$A$6:$R$42,10,0),0)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31"/>
        <v>0</v>
      </c>
      <c r="BD21" s="57">
        <f t="shared" si="15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0</v>
      </c>
      <c r="D22" s="9">
        <f>VLOOKUP(A22,[6]HISTOBQUEFEV25!$A$6:$H$48,5,0)</f>
        <v>325000</v>
      </c>
      <c r="E22" s="91">
        <f>VLOOKUP(A22,[6]HISTOBQUEFEV25!$A$6:$H$43,4,0)</f>
        <v>0</v>
      </c>
      <c r="F22" s="91">
        <f>VLOOKUP(A22,[6]HISTOBQUEFEV25!$A$6:$H$43,6,0)</f>
        <v>0</v>
      </c>
      <c r="G22" s="91"/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IFERROR(VLOOKUP(A22,[7]TONTFEV25!$A$6:$R$41,12,0),0)</f>
        <v>0</v>
      </c>
      <c r="Q22" s="2">
        <f>IFERROR(VLOOKUP(A22,[8]TONTFEV25!$A$6:$R$38,10,0),0)</f>
        <v>0</v>
      </c>
      <c r="R22" s="2">
        <f>IFERROR(VLOOKUP(A22,[9]TONTFEV25!$A$6:$R$42,10,0),0)</f>
        <v>0</v>
      </c>
      <c r="S22" s="20"/>
      <c r="T22" s="12"/>
      <c r="U22" s="17">
        <f t="shared" si="9"/>
        <v>325000</v>
      </c>
      <c r="V22" s="12"/>
      <c r="W22" s="12"/>
      <c r="X22" s="12"/>
      <c r="Y22" s="92">
        <f t="shared" si="10"/>
        <v>325000</v>
      </c>
      <c r="Z22" s="12"/>
      <c r="AA22" s="12"/>
      <c r="AB22" s="12"/>
      <c r="AC22" s="12"/>
      <c r="AD22" s="12">
        <v>45000</v>
      </c>
      <c r="AE22" s="12">
        <v>85000</v>
      </c>
      <c r="AF22" s="12" t="s">
        <v>8</v>
      </c>
      <c r="AG22" s="12"/>
      <c r="AH22" s="12"/>
      <c r="AI22" s="12"/>
      <c r="AJ22" s="12">
        <v>50000</v>
      </c>
      <c r="AK22" s="12"/>
      <c r="AL22" s="12"/>
      <c r="AM22" s="12">
        <v>1000</v>
      </c>
      <c r="AN22" s="12"/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0</v>
      </c>
      <c r="AX22" s="15">
        <f t="shared" si="12"/>
        <v>905000</v>
      </c>
      <c r="AY22" s="15">
        <f t="shared" si="13"/>
        <v>1115000</v>
      </c>
      <c r="AZ22" s="16">
        <f t="shared" si="14"/>
        <v>2020000</v>
      </c>
      <c r="BA22" s="58"/>
      <c r="BB22" s="58"/>
      <c r="BC22" s="15">
        <f t="shared" si="31"/>
        <v>0</v>
      </c>
      <c r="BD22" s="57">
        <f>IF(AZ22=0,(AZ22-BA22-BC22),(AZ22-BA22-BB22-BC22))-892500</f>
        <v>1127500</v>
      </c>
      <c r="BE22" s="82" t="s">
        <v>186</v>
      </c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VLOOKUP(A23,[6]HISTOBQUEFEV25!$A$6:$H$48,5,0)</f>
        <v>50000</v>
      </c>
      <c r="E23" s="91">
        <f>VLOOKUP(A23,[6]HISTOBQUEFEV25!$A$6:$H$43,4,0)</f>
        <v>0</v>
      </c>
      <c r="F23" s="91">
        <f>VLOOKUP(A23,[6]HISTOBQUEFEV25!$A$6:$H$43,6,0)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IFERROR(VLOOKUP(A23,[7]TONTFEV25!$A$6:$R$41,12,0),0)</f>
        <v>0</v>
      </c>
      <c r="Q23" s="2">
        <f>IFERROR(VLOOKUP(A23,[8]TONTFEV25!$A$6:$R$38,10,0),0)</f>
        <v>0</v>
      </c>
      <c r="R23" s="2">
        <f>IFERROR(VLOOKUP(A23,[9]TONTFEV25!$A$6:$R$42,10,0),0)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31"/>
        <v>0</v>
      </c>
      <c r="BD23" s="57">
        <f t="shared" si="15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VLOOKUP(A24,[6]HISTOBQUEFEV25!$A$6:$H$48,5,0)</f>
        <v>125000</v>
      </c>
      <c r="E24" s="91">
        <f>VLOOKUP(A24,[6]HISTOBQUEFEV25!$A$6:$H$43,4,0)</f>
        <v>0</v>
      </c>
      <c r="F24" s="91">
        <f>VLOOKUP(A24,[6]HISTOBQUEFEV25!$A$6:$H$43,6,0)</f>
        <v>892500</v>
      </c>
      <c r="G24" s="91">
        <v>892500</v>
      </c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IFERROR(VLOOKUP(A24,[7]TONTFEV25!$A$6:$R$41,12,0),0)</f>
        <v>0</v>
      </c>
      <c r="Q24" s="2">
        <f>IFERROR(VLOOKUP(A24,[8]TONTFEV25!$A$6:$R$38,10,0),0)</f>
        <v>0</v>
      </c>
      <c r="R24" s="2">
        <f>IFERROR(VLOOKUP(A24,[9]TONTFEV25!$A$6:$R$42,10,0),0)</f>
        <v>0</v>
      </c>
      <c r="S24" s="20"/>
      <c r="T24" s="12"/>
      <c r="U24" s="17">
        <f t="shared" si="9"/>
        <v>1017500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917500</v>
      </c>
      <c r="AT24" s="15"/>
      <c r="AV24" s="15">
        <v>600000</v>
      </c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600000</v>
      </c>
      <c r="BA24" s="58"/>
      <c r="BB24" s="58"/>
      <c r="BC24" s="15">
        <f t="shared" si="31"/>
        <v>892500</v>
      </c>
      <c r="BD24" s="57">
        <f>IF(AZ24=0,(AZ24-BA24-BC24),(AZ24-BA24-BB24-BC24))+892500</f>
        <v>600000</v>
      </c>
      <c r="BE24" s="82" t="s">
        <v>186</v>
      </c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VLOOKUP(A25,[6]HISTOBQUEFEV25!$A$6:$H$48,5,0)</f>
        <v>260000</v>
      </c>
      <c r="E25" s="91">
        <f>VLOOKUP(A25,[6]HISTOBQUEFEV25!$A$6:$H$43,4,0)</f>
        <v>0</v>
      </c>
      <c r="F25" s="91">
        <f>VLOOKUP(A25,[6]HISTOBQUEFEV25!$A$6:$H$43,6,0)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IFERROR(VLOOKUP(A25,[7]TONTFEV25!$A$6:$R$41,12,0),0)</f>
        <v>0</v>
      </c>
      <c r="Q25" s="2">
        <f>IFERROR(VLOOKUP(A25,[8]TONTFEV25!$A$6:$R$38,10,0),0)</f>
        <v>0</v>
      </c>
      <c r="R25" s="2">
        <f>IFERROR(VLOOKUP(A25,[9]TONTFEV25!$A$6:$R$42,10,0),0)</f>
        <v>0</v>
      </c>
      <c r="S25" s="20"/>
      <c r="T25" s="12"/>
      <c r="U25" s="17">
        <f t="shared" si="9"/>
        <v>260000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4"/>
        <v>100000</v>
      </c>
      <c r="BA25" s="58"/>
      <c r="BB25" s="58"/>
      <c r="BC25" s="15">
        <f t="shared" si="31"/>
        <v>0</v>
      </c>
      <c r="BD25" s="57">
        <f t="shared" si="15"/>
        <v>100000</v>
      </c>
      <c r="BE25" s="82" t="s">
        <v>186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VLOOKUP(A26,[6]HISTOBQUEFEV25!$A$6:$H$48,5,0)</f>
        <v>240000</v>
      </c>
      <c r="E26" s="91">
        <f>VLOOKUP(A26,[6]HISTOBQUEFEV25!$A$6:$H$43,4,0)</f>
        <v>0</v>
      </c>
      <c r="F26" s="91">
        <f>VLOOKUP(A26,[6]HISTOBQUEFEV25!$A$6:$H$43,6,0)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IFERROR(VLOOKUP(A26,[7]TONTFEV25!$A$6:$R$41,12,0),0)</f>
        <v>0</v>
      </c>
      <c r="Q26" s="2">
        <f>IFERROR(VLOOKUP(A26,[8]TONTFEV25!$A$6:$R$38,10,0),0)</f>
        <v>0</v>
      </c>
      <c r="R26" s="2">
        <f>IFERROR(VLOOKUP(A26,[9]TONTFEV25!$A$6:$R$42,10,0),0)</f>
        <v>0</v>
      </c>
      <c r="S26" s="20"/>
      <c r="T26" s="12"/>
      <c r="U26" s="17">
        <f t="shared" si="9"/>
        <v>240000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>IF(AE26=0,AK26,(1*100000*12)+(AK26)-AE26)</f>
        <v>0</v>
      </c>
      <c r="AZ26" s="16">
        <f t="shared" si="14"/>
        <v>0</v>
      </c>
      <c r="BA26" s="58"/>
      <c r="BB26" s="58"/>
      <c r="BC26" s="15">
        <f t="shared" si="31"/>
        <v>0</v>
      </c>
      <c r="BD26" s="57">
        <f t="shared" si="15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VLOOKUP(A27,[6]HISTOBQUEFEV25!$A$6:$H$48,5,0)</f>
        <v>225000</v>
      </c>
      <c r="E27" s="91">
        <f>VLOOKUP(A27,[6]HISTOBQUEFEV25!$A$6:$H$43,4,0)</f>
        <v>25000</v>
      </c>
      <c r="F27" s="91">
        <f>VLOOKUP(A27,[6]HISTOBQUEFEV25!$A$6:$H$43,6,0)</f>
        <v>0</v>
      </c>
      <c r="G27" s="91"/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IFERROR(VLOOKUP(A27,[7]TONTFEV25!$A$6:$R$41,12,0),0)</f>
        <v>0</v>
      </c>
      <c r="Q27" s="2">
        <f>IFERROR(VLOOKUP(A27,[8]TONTFEV25!$A$6:$R$38,10,0),0)</f>
        <v>0</v>
      </c>
      <c r="R27" s="2">
        <f>IFERROR(VLOOKUP(A27,[9]TONTFEV25!$A$6:$R$42,10,0),0)</f>
        <v>0</v>
      </c>
      <c r="S27" s="20"/>
      <c r="T27" s="12"/>
      <c r="U27" s="17">
        <f t="shared" si="9"/>
        <v>250000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>
        <v>26000</v>
      </c>
      <c r="AD27" s="12"/>
      <c r="AE27" s="12"/>
      <c r="AF27" s="12" t="s">
        <v>8</v>
      </c>
      <c r="AG27" s="12"/>
      <c r="AH27" s="12"/>
      <c r="AI27" s="12"/>
      <c r="AJ27" s="12"/>
      <c r="AK27" s="12">
        <v>200000</v>
      </c>
      <c r="AL27" s="12"/>
      <c r="AM27" s="12"/>
      <c r="AN27" s="12">
        <f>3000+3500</f>
        <v>6500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25000</v>
      </c>
      <c r="AT27" s="15"/>
      <c r="AV27" s="15"/>
      <c r="AW27" s="15">
        <f t="shared" si="11"/>
        <v>274000</v>
      </c>
      <c r="AX27" s="15">
        <f t="shared" si="12"/>
        <v>0</v>
      </c>
      <c r="AY27" s="15">
        <f t="shared" si="13"/>
        <v>200000</v>
      </c>
      <c r="AZ27" s="16">
        <f t="shared" si="14"/>
        <v>474000</v>
      </c>
      <c r="BA27" s="58"/>
      <c r="BB27" s="58"/>
      <c r="BC27" s="15">
        <f t="shared" si="31"/>
        <v>0</v>
      </c>
      <c r="BD27" s="57">
        <f t="shared" si="15"/>
        <v>474000</v>
      </c>
      <c r="BE27" s="82" t="s">
        <v>186</v>
      </c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VLOOKUP(A28,[6]HISTOBQUEFEV25!$A$6:$H$48,5,0)</f>
        <v>100000</v>
      </c>
      <c r="E28" s="91">
        <f>VLOOKUP(A28,[6]HISTOBQUEFEV25!$A$6:$H$43,4,0)</f>
        <v>0</v>
      </c>
      <c r="F28" s="91">
        <f>VLOOKUP(A28,[6]HISTOBQUEFEV25!$A$6:$H$43,6,0)</f>
        <v>0</v>
      </c>
      <c r="G28" s="91">
        <v>8000</v>
      </c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IFERROR(VLOOKUP(A28,[7]TONTFEV25!$A$6:$R$41,12,0),0)</f>
        <v>42000</v>
      </c>
      <c r="Q28" s="2">
        <f>IFERROR(VLOOKUP(A28,[8]TONTFEV25!$A$6:$R$38,10,0),0)</f>
        <v>0</v>
      </c>
      <c r="R28" s="2">
        <f>IFERROR(VLOOKUP(A28,[9]TONTFEV25!$A$6:$R$42,10,0),0)</f>
        <v>0</v>
      </c>
      <c r="S28" s="20"/>
      <c r="T28" s="12"/>
      <c r="U28" s="17">
        <f t="shared" si="9"/>
        <v>100000</v>
      </c>
      <c r="V28" s="12"/>
      <c r="W28" s="12"/>
      <c r="X28" s="12"/>
      <c r="Y28" s="92">
        <f t="shared" si="10"/>
        <v>50000</v>
      </c>
      <c r="Z28" s="12"/>
      <c r="AA28" s="12"/>
      <c r="AB28" s="12"/>
      <c r="AC28" s="12">
        <v>27000</v>
      </c>
      <c r="AD28" s="12"/>
      <c r="AE28" s="12"/>
      <c r="AF28" s="12" t="s">
        <v>8</v>
      </c>
      <c r="AG28" s="12"/>
      <c r="AH28" s="12"/>
      <c r="AI28" s="12">
        <v>41000</v>
      </c>
      <c r="AJ28" s="12"/>
      <c r="AK28" s="12"/>
      <c r="AL28" s="12">
        <v>1000</v>
      </c>
      <c r="AM28" s="12"/>
      <c r="AN28" s="12"/>
      <c r="AO28" s="12"/>
      <c r="AP28" s="12" t="s">
        <v>8</v>
      </c>
      <c r="AQ28" s="8">
        <f t="shared" si="3"/>
        <v>0</v>
      </c>
      <c r="AR28" s="8">
        <f t="shared" si="4"/>
        <v>0</v>
      </c>
      <c r="AS28" s="13">
        <f t="shared" si="17"/>
        <v>33000</v>
      </c>
      <c r="AT28" s="15"/>
      <c r="AV28" s="15"/>
      <c r="AW28" s="15">
        <f t="shared" si="11"/>
        <v>314000</v>
      </c>
      <c r="AX28" s="15">
        <f t="shared" si="12"/>
        <v>0</v>
      </c>
      <c r="AY28" s="15">
        <f t="shared" si="13"/>
        <v>0</v>
      </c>
      <c r="AZ28" s="16">
        <f t="shared" si="14"/>
        <v>314000</v>
      </c>
      <c r="BA28" s="58">
        <v>41000</v>
      </c>
      <c r="BB28" s="58"/>
      <c r="BC28" s="15">
        <f t="shared" si="31"/>
        <v>0</v>
      </c>
      <c r="BD28" s="57">
        <f t="shared" si="15"/>
        <v>273000</v>
      </c>
      <c r="BE28" s="82" t="s">
        <v>186</v>
      </c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VLOOKUP(A29,[6]HISTOBQUEFEV25!$A$6:$H$48,5,0)</f>
        <v>50000</v>
      </c>
      <c r="E29" s="91">
        <f>VLOOKUP(A29,[6]HISTOBQUEFEV25!$A$6:$H$43,4,0)</f>
        <v>0</v>
      </c>
      <c r="F29" s="91">
        <f>VLOOKUP(A29,[6]HISTOBQUEFEV25!$A$6:$H$43,6,0)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IFERROR(VLOOKUP(A29,[7]TONTFEV25!$A$6:$R$41,12,0),0)</f>
        <v>0</v>
      </c>
      <c r="Q29" s="2">
        <f>IFERROR(VLOOKUP(A29,[8]TONTFEV25!$A$6:$R$38,10,0),0)</f>
        <v>0</v>
      </c>
      <c r="R29" s="2">
        <f>IFERROR(VLOOKUP(A29,[9]TONTFEV25!$A$6:$R$42,10,0),0)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31"/>
        <v>0</v>
      </c>
      <c r="BD29" s="57">
        <f t="shared" si="15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VLOOKUP(A30,[6]HISTOBQUEFEV25!$A$6:$H$48,5,0)</f>
        <v>125000</v>
      </c>
      <c r="E30" s="91">
        <f>VLOOKUP(A30,[6]HISTOBQUEFEV25!$A$6:$H$43,4,0)</f>
        <v>0</v>
      </c>
      <c r="F30" s="91">
        <f>VLOOKUP(A30,[6]HISTOBQUEFEV25!$A$6:$H$43,6,0)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IFERROR(VLOOKUP(A30,[7]TONTFEV25!$A$6:$R$41,12,0),0)</f>
        <v>0</v>
      </c>
      <c r="Q30" s="2">
        <f>IFERROR(VLOOKUP(A30,[8]TONTFEV25!$A$6:$R$38,10,0),0)</f>
        <v>0</v>
      </c>
      <c r="R30" s="2">
        <f>IFERROR(VLOOKUP(A30,[9]TONTFEV25!$A$6:$R$42,10,0),0)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31"/>
        <v>0</v>
      </c>
      <c r="BD30" s="57">
        <f t="shared" si="15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0</v>
      </c>
      <c r="D31" s="9">
        <f>VLOOKUP(A31,[6]HISTOBQUEFEV25!$A$6:$H$48,5,0)</f>
        <v>50000</v>
      </c>
      <c r="E31" s="91">
        <f>VLOOKUP(A31,[6]HISTOBQUEFEV25!$A$6:$H$43,4,0)</f>
        <v>0</v>
      </c>
      <c r="F31" s="91">
        <f>VLOOKUP(A31,[6]HISTOBQUEFEV25!$A$6:$H$43,6,0)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IFERROR(VLOOKUP(A31,[7]TONTFEV25!$A$6:$R$41,12,0),0)</f>
        <v>0</v>
      </c>
      <c r="Q31" s="2">
        <f>IFERROR(VLOOKUP(A31,[8]TONTFEV25!$A$6:$R$38,10,0),0)</f>
        <v>0</v>
      </c>
      <c r="R31" s="2">
        <f>IFERROR(VLOOKUP(A31,[9]TONTFEV25!$A$6:$R$42,10,0),0)</f>
        <v>0</v>
      </c>
      <c r="S31" s="20"/>
      <c r="T31" s="12"/>
      <c r="U31" s="17">
        <f t="shared" si="9"/>
        <v>50000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40000</v>
      </c>
      <c r="AJ31" s="12"/>
      <c r="AK31" s="12"/>
      <c r="AL31" s="12">
        <v>1000</v>
      </c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40000</v>
      </c>
      <c r="AX31" s="15">
        <f t="shared" si="12"/>
        <v>0</v>
      </c>
      <c r="AY31" s="15">
        <f t="shared" si="13"/>
        <v>0</v>
      </c>
      <c r="AZ31" s="16">
        <f t="shared" si="14"/>
        <v>40000</v>
      </c>
      <c r="BA31" s="58">
        <v>40000</v>
      </c>
      <c r="BB31" s="58"/>
      <c r="BC31" s="15">
        <f t="shared" si="31"/>
        <v>0</v>
      </c>
      <c r="BD31" s="57">
        <f t="shared" si="15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VLOOKUP(A32,[6]HISTOBQUEFEV25!$A$6:$H$48,5,0)</f>
        <v>250000</v>
      </c>
      <c r="E32" s="91">
        <f>VLOOKUP(A32,[6]HISTOBQUEFEV25!$A$6:$H$43,4,0)</f>
        <v>0</v>
      </c>
      <c r="F32" s="91">
        <f>VLOOKUP(A32,[6]HISTOBQUEFEV25!$A$6:$H$43,6,0)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IFERROR(VLOOKUP(A32,[7]TONTFEV25!$A$6:$R$41,12,0),0)</f>
        <v>0</v>
      </c>
      <c r="Q32" s="2">
        <f>IFERROR(VLOOKUP(A32,[8]TONTFEV25!$A$6:$R$38,10,0),0)</f>
        <v>0</v>
      </c>
      <c r="R32" s="2">
        <f>IFERROR(VLOOKUP(A32,[9]TONTFEV25!$A$6:$R$42,10,0),0)</f>
        <v>0</v>
      </c>
      <c r="S32" s="20"/>
      <c r="T32" s="12"/>
      <c r="U32" s="17">
        <f t="shared" si="9"/>
        <v>250000</v>
      </c>
      <c r="V32" s="12"/>
      <c r="W32" s="12"/>
      <c r="X32" s="12"/>
      <c r="Y32" s="92">
        <f t="shared" si="10"/>
        <v>250000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>
        <f t="shared" si="31"/>
        <v>0</v>
      </c>
      <c r="BD32" s="57">
        <f t="shared" si="15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VLOOKUP(A33,[6]HISTOBQUEFEV25!$A$6:$H$48,5,0)</f>
        <v>50000</v>
      </c>
      <c r="E33" s="91">
        <f>VLOOKUP(A33,[6]HISTOBQUEFEV25!$A$6:$H$43,4,0)</f>
        <v>0</v>
      </c>
      <c r="F33" s="91">
        <f>VLOOKUP(A33,[6]HISTOBQUEFEV25!$A$6:$H$43,6,0)</f>
        <v>0</v>
      </c>
      <c r="G33" s="91"/>
      <c r="H33" s="5">
        <f t="shared" si="16"/>
        <v>0</v>
      </c>
      <c r="I33" s="10" t="str">
        <f t="shared" si="0"/>
        <v>BANQUE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IFERROR(VLOOKUP(A33,[7]TONTFEV25!$A$6:$R$41,12,0),0)</f>
        <v>0</v>
      </c>
      <c r="Q33" s="2">
        <f>IFERROR(VLOOKUP(A33,[8]TONTFEV25!$A$6:$R$38,10,0),0)</f>
        <v>0</v>
      </c>
      <c r="R33" s="2">
        <f>IFERROR(VLOOKUP(A33,[9]TONTFEV25!$A$6:$R$42,10,0),0)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31"/>
        <v>0</v>
      </c>
      <c r="BD33" s="57">
        <f t="shared" si="15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VLOOKUP(A34,[6]HISTOBQUEFEV25!$A$6:$H$48,5,0)</f>
        <v>150000</v>
      </c>
      <c r="E34" s="91">
        <f>VLOOKUP(A34,[6]HISTOBQUEFEV25!$A$6:$H$43,4,0)</f>
        <v>0</v>
      </c>
      <c r="F34" s="91">
        <f>VLOOKUP(A34,[6]HISTOBQUEFEV25!$A$6:$H$43,6,0)</f>
        <v>0</v>
      </c>
      <c r="G34" s="91"/>
      <c r="H34" s="5">
        <f t="shared" si="16"/>
        <v>0</v>
      </c>
      <c r="I34" s="10" t="str">
        <f t="shared" si="0"/>
        <v>BANQUE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f>IFERROR(VLOOKUP(A34,[7]TONTFEV25!$A$6:$R$41,12,0),0)</f>
        <v>0</v>
      </c>
      <c r="Q34" s="2">
        <f>IFERROR(VLOOKUP(A34,[8]TONTFEV25!$A$6:$R$38,10,0),0)</f>
        <v>0</v>
      </c>
      <c r="R34" s="2">
        <f>IFERROR(VLOOKUP(A34,[9]TONTFEV25!$A$6:$R$42,10,0),0)</f>
        <v>0</v>
      </c>
      <c r="S34" s="20"/>
      <c r="T34" s="12"/>
      <c r="U34" s="17">
        <f t="shared" si="9"/>
        <v>150000</v>
      </c>
      <c r="V34" s="12"/>
      <c r="W34" s="12"/>
      <c r="X34" s="12"/>
      <c r="Y34" s="92">
        <f t="shared" si="10"/>
        <v>150000</v>
      </c>
      <c r="Z34" s="12"/>
      <c r="AA34" s="12"/>
      <c r="AB34" s="12"/>
      <c r="AC34" s="12"/>
      <c r="AD34" s="12"/>
      <c r="AE34" s="12">
        <v>70000</v>
      </c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7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1130000</v>
      </c>
      <c r="AZ34" s="16">
        <f t="shared" si="14"/>
        <v>1130000</v>
      </c>
      <c r="BA34" s="58"/>
      <c r="BB34" s="58"/>
      <c r="BC34" s="15">
        <f t="shared" si="31"/>
        <v>0</v>
      </c>
      <c r="BD34" s="57">
        <f t="shared" si="15"/>
        <v>1130000</v>
      </c>
      <c r="BE34" s="82" t="s">
        <v>186</v>
      </c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VLOOKUP(A35,[6]HISTOBQUEFEV25!$A$6:$H$48,5,0)</f>
        <v>125000</v>
      </c>
      <c r="E35" s="91">
        <f>VLOOKUP(A35,[6]HISTOBQUEFEV25!$A$6:$H$43,4,0)</f>
        <v>0</v>
      </c>
      <c r="F35" s="91">
        <f>VLOOKUP(A35,[6]HISTOBQUEFEV25!$A$6:$H$43,6,0)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IFERROR(VLOOKUP(A35,[7]TONTFEV25!$A$6:$R$41,12,0),0)</f>
        <v>0</v>
      </c>
      <c r="Q35" s="2">
        <f>IFERROR(VLOOKUP(A35,[8]TONTFEV25!$A$6:$R$38,10,0),0)</f>
        <v>0</v>
      </c>
      <c r="R35" s="2">
        <f>IFERROR(VLOOKUP(A35,[9]TONTFEV25!$A$6:$R$42,10,0),0)</f>
        <v>0</v>
      </c>
      <c r="S35" s="20"/>
      <c r="T35" s="12"/>
      <c r="U35" s="17">
        <f t="shared" si="9"/>
        <v>125000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>
        <f t="shared" si="31"/>
        <v>0</v>
      </c>
      <c r="BD35" s="57">
        <f t="shared" si="15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VLOOKUP(A36,[6]HISTOBQUEFEV25!$A$6:$H$48,5,0)</f>
        <v>150000</v>
      </c>
      <c r="E36" s="91">
        <f>VLOOKUP(A36,[6]HISTOBQUEFEV25!$A$6:$H$43,4,0)</f>
        <v>0</v>
      </c>
      <c r="F36" s="91">
        <f>VLOOKUP(A36,[6]HISTOBQUEFEV25!$A$6:$H$43,6,0)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IFERROR(VLOOKUP(A36,[7]TONTFEV25!$A$6:$R$41,12,0),0)</f>
        <v>0</v>
      </c>
      <c r="Q36" s="2">
        <f>IFERROR(VLOOKUP(A36,[8]TONTFEV25!$A$6:$R$38,10,0),0)</f>
        <v>0</v>
      </c>
      <c r="R36" s="2">
        <f>IFERROR(VLOOKUP(A36,[9]TONTFEV25!$A$6:$R$42,10,0),0)</f>
        <v>0</v>
      </c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>
        <f t="shared" si="31"/>
        <v>0</v>
      </c>
      <c r="BD36" s="57">
        <f t="shared" si="15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VLOOKUP(A37,[6]HISTOBQUEFEV25!$A$6:$H$48,5,0)</f>
        <v>50000</v>
      </c>
      <c r="E37" s="91">
        <f>VLOOKUP(A37,[6]HISTOBQUEFEV25!$A$6:$H$43,4,0)</f>
        <v>0</v>
      </c>
      <c r="F37" s="91">
        <f>VLOOKUP(A37,[6]HISTOBQUEFEV25!$A$6:$H$43,6,0)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IFERROR(VLOOKUP(A37,[7]TONTFEV25!$A$6:$R$41,12,0),0)</f>
        <v>0</v>
      </c>
      <c r="Q37" s="2">
        <f>IFERROR(VLOOKUP(A37,[8]TONTFEV25!$A$6:$R$38,10,0),0)</f>
        <v>0</v>
      </c>
      <c r="R37" s="2">
        <f>IFERROR(VLOOKUP(A37,[9]TONTFEV25!$A$6:$R$42,10,0),0)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100000</v>
      </c>
      <c r="BA37" s="58"/>
      <c r="BB37" s="58"/>
      <c r="BC37" s="15">
        <f t="shared" si="31"/>
        <v>0</v>
      </c>
      <c r="BD37" s="57">
        <f t="shared" si="15"/>
        <v>100000</v>
      </c>
      <c r="BE37" s="82" t="s">
        <v>186</v>
      </c>
      <c r="BF37" s="29">
        <f t="shared" si="6"/>
        <v>0</v>
      </c>
      <c r="BG37" s="29">
        <v>10</v>
      </c>
      <c r="BH37" s="15"/>
      <c r="BI37" s="15"/>
      <c r="BJ37" s="15"/>
      <c r="BK37" s="15">
        <v>100000</v>
      </c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VLOOKUP(A38,[6]HISTOBQUEFEV25!$A$6:$H$48,5,0)</f>
        <v>0</v>
      </c>
      <c r="E38" s="91">
        <f>VLOOKUP(A38,[6]HISTOBQUEFEV25!$A$6:$H$43,4,0)</f>
        <v>50000</v>
      </c>
      <c r="F38" s="91">
        <f>VLOOKUP(A38,[6]HISTOBQUEFEV25!$A$6:$H$43,6,0)</f>
        <v>0</v>
      </c>
      <c r="G38" s="91"/>
      <c r="H38" s="5">
        <f>IF(I38="ESPECES",3000,0)-3000</f>
        <v>0</v>
      </c>
      <c r="I38" s="10" t="str">
        <f t="shared" si="0"/>
        <v>ESPECES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IFERROR(VLOOKUP(A38,[7]TONTFEV25!$A$6:$R$41,12,0),0)</f>
        <v>0</v>
      </c>
      <c r="Q38" s="2">
        <f>IFERROR(VLOOKUP(A38,[8]TONTFEV25!$A$6:$R$38,10,0),0)</f>
        <v>0</v>
      </c>
      <c r="R38" s="2">
        <f>IFERROR(VLOOKUP(A38,[9]TONTFEV25!$A$6:$R$42,10,0),0)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31"/>
        <v>0</v>
      </c>
      <c r="BD38" s="57">
        <f t="shared" si="15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VLOOKUP(A39,[6]HISTOBQUEFEV25!$A$6:$H$48,5,0)</f>
        <v>125000</v>
      </c>
      <c r="E39" s="91">
        <f>VLOOKUP(A39,[6]HISTOBQUEFEV25!$A$6:$H$43,4,0)</f>
        <v>0</v>
      </c>
      <c r="F39" s="91">
        <f>VLOOKUP(A39,[6]HISTOBQUEFEV25!$A$6:$H$43,6,0)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IFERROR(VLOOKUP(A39,[7]TONTFEV25!$A$6:$R$41,12,0),0)</f>
        <v>0</v>
      </c>
      <c r="Q39" s="2">
        <f>IFERROR(VLOOKUP(A39,[8]TONTFEV25!$A$6:$R$38,10,0),0)</f>
        <v>0</v>
      </c>
      <c r="R39" s="2">
        <f>IFERROR(VLOOKUP(A39,[9]TONTFEV25!$A$6:$R$42,10,0),0)</f>
        <v>0</v>
      </c>
      <c r="S39" s="20"/>
      <c r="T39" s="12"/>
      <c r="U39" s="17">
        <f t="shared" si="9"/>
        <v>125000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0</v>
      </c>
      <c r="AY39" s="15">
        <f t="shared" si="13"/>
        <v>0</v>
      </c>
      <c r="AZ39" s="16">
        <f t="shared" si="14"/>
        <v>0</v>
      </c>
      <c r="BA39" s="58"/>
      <c r="BB39" s="58"/>
      <c r="BC39" s="15">
        <f t="shared" si="31"/>
        <v>0</v>
      </c>
      <c r="BD39" s="57">
        <f t="shared" si="15"/>
        <v>0</v>
      </c>
      <c r="BE39" s="82"/>
      <c r="BF39" s="29">
        <f t="shared" si="6"/>
        <v>0</v>
      </c>
      <c r="BG39" s="29">
        <v>10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VLOOKUP(A40,[6]HISTOBQUEFEV25!$A$6:$H$48,5,0)</f>
        <v>0</v>
      </c>
      <c r="E40" s="91">
        <f>VLOOKUP(A40,[6]HISTOBQUEFEV25!$A$6:$H$43,4,0)</f>
        <v>50000</v>
      </c>
      <c r="F40" s="91">
        <f>VLOOKUP(A40,[6]HISTOBQUEFEV25!$A$6:$H$43,6,0)</f>
        <v>0</v>
      </c>
      <c r="G40" s="91">
        <v>-3000</v>
      </c>
      <c r="H40" s="5">
        <f t="shared" si="16"/>
        <v>3000</v>
      </c>
      <c r="I40" s="10" t="str">
        <f t="shared" si="0"/>
        <v>ESPECES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IFERROR(VLOOKUP(A40,[7]TONTFEV25!$A$6:$R$41,12,0),0)</f>
        <v>0</v>
      </c>
      <c r="Q40" s="2">
        <f>IFERROR(VLOOKUP(A40,[8]TONTFEV25!$A$6:$R$38,10,0),0)</f>
        <v>0</v>
      </c>
      <c r="R40" s="2">
        <f>IFERROR(VLOOKUP(A40,[9]TONTFEV25!$A$6:$R$42,10,0),0)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22000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31"/>
        <v>0</v>
      </c>
      <c r="BD40" s="57">
        <f t="shared" si="15"/>
        <v>0</v>
      </c>
      <c r="BE40" s="82"/>
      <c r="BF40" s="29">
        <f t="shared" si="6"/>
        <v>0</v>
      </c>
      <c r="BG40" s="29">
        <v>10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VLOOKUP(A41,[6]HISTOBQUEFEV25!$A$6:$H$48,5,0)</f>
        <v>250000</v>
      </c>
      <c r="E41" s="91">
        <f>VLOOKUP(A41,[6]HISTOBQUEFEV25!$A$6:$H$43,4,0)</f>
        <v>0</v>
      </c>
      <c r="F41" s="91">
        <f>VLOOKUP(A41,[6]HISTOBQUEFEV25!$A$6:$H$43,6,0)</f>
        <v>0</v>
      </c>
      <c r="G41" s="91"/>
      <c r="H41" s="5">
        <f t="shared" si="16"/>
        <v>0</v>
      </c>
      <c r="I41" s="10" t="str">
        <f t="shared" si="0"/>
        <v>BANQUE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IFERROR(VLOOKUP(A41,[7]TONTFEV25!$A$6:$R$41,12,0),0)</f>
        <v>0</v>
      </c>
      <c r="Q41" s="2">
        <f>IFERROR(VLOOKUP(A41,[8]TONTFEV25!$A$6:$R$38,10,0),0)</f>
        <v>0</v>
      </c>
      <c r="R41" s="2">
        <f>IFERROR(VLOOKUP(A41,[9]TONTFEV25!$A$6:$R$42,10,0),0)</f>
        <v>0</v>
      </c>
      <c r="S41" s="6"/>
      <c r="T41" s="12"/>
      <c r="U41" s="17">
        <f t="shared" si="9"/>
        <v>250000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31"/>
        <v>0</v>
      </c>
      <c r="BD41" s="57">
        <f t="shared" si="15"/>
        <v>0</v>
      </c>
      <c r="BE41" s="82"/>
      <c r="BF41" s="29">
        <f t="shared" si="6"/>
        <v>0</v>
      </c>
      <c r="BG41" s="29">
        <v>10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VLOOKUP(A42,[6]HISTOBQUEFEV25!$A$6:$H$48,5,0)</f>
        <v>225000</v>
      </c>
      <c r="E42" s="91">
        <f>VLOOKUP(A42,[6]HISTOBQUEFEV25!$A$6:$H$43,4,0)</f>
        <v>0</v>
      </c>
      <c r="F42" s="91">
        <f>VLOOKUP(A42,[6]HISTOBQUEFEV25!$A$6:$H$43,6,0)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IFERROR(VLOOKUP(A42,[7]TONTFEV25!$A$6:$R$41,12,0),0)</f>
        <v>0</v>
      </c>
      <c r="Q42" s="2">
        <f>IFERROR(VLOOKUP(A42,[8]TONTFEV25!$A$6:$R$38,10,0),0)</f>
        <v>0</v>
      </c>
      <c r="R42" s="2">
        <f>IFERROR(VLOOKUP(A42,[9]TONTFEV25!$A$6:$R$42,10,0),0)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>
        <v>100000</v>
      </c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100000</v>
      </c>
      <c r="BA42" s="58"/>
      <c r="BB42" s="58"/>
      <c r="BC42" s="15">
        <f t="shared" si="31"/>
        <v>0</v>
      </c>
      <c r="BD42" s="57">
        <f t="shared" si="15"/>
        <v>100000</v>
      </c>
      <c r="BE42" s="82" t="s">
        <v>186</v>
      </c>
      <c r="BF42" s="29">
        <f t="shared" si="6"/>
        <v>0</v>
      </c>
      <c r="BG42" s="29">
        <v>10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25000</v>
      </c>
      <c r="D44" s="5">
        <f>SUM(D6:D43)</f>
        <v>5655375</v>
      </c>
      <c r="E44" s="5">
        <f>SUM(E6:E43)</f>
        <v>300000</v>
      </c>
      <c r="F44" s="5">
        <f>SUM(F6:F43)</f>
        <v>892500</v>
      </c>
      <c r="G44" s="5">
        <f t="shared" ref="G44:S44" si="32">SUM(G6:G43)</f>
        <v>1627875</v>
      </c>
      <c r="H44" s="5">
        <f t="shared" si="32"/>
        <v>3000</v>
      </c>
      <c r="I44" s="5">
        <f t="shared" si="32"/>
        <v>0</v>
      </c>
      <c r="J44" s="5">
        <f t="shared" si="32"/>
        <v>35</v>
      </c>
      <c r="K44" s="5">
        <f t="shared" si="32"/>
        <v>1750000</v>
      </c>
      <c r="L44" s="5">
        <f t="shared" si="32"/>
        <v>13</v>
      </c>
      <c r="M44" s="5">
        <f t="shared" si="32"/>
        <v>975000</v>
      </c>
      <c r="N44" s="5">
        <f t="shared" si="32"/>
        <v>24</v>
      </c>
      <c r="O44" s="5">
        <f t="shared" si="32"/>
        <v>2400000</v>
      </c>
      <c r="P44" s="5">
        <f t="shared" si="32"/>
        <v>42000</v>
      </c>
      <c r="Q44" s="5">
        <f t="shared" si="32"/>
        <v>0</v>
      </c>
      <c r="R44" s="5">
        <f t="shared" si="32"/>
        <v>0</v>
      </c>
      <c r="S44" s="5">
        <f t="shared" si="32"/>
        <v>0</v>
      </c>
      <c r="T44" s="5"/>
      <c r="U44" s="5">
        <f t="shared" ref="U44:AA44" si="33">SUM(U6:U43)</f>
        <v>6822875</v>
      </c>
      <c r="V44" s="5">
        <f t="shared" si="33"/>
        <v>0</v>
      </c>
      <c r="W44" s="5">
        <f t="shared" si="33"/>
        <v>25000</v>
      </c>
      <c r="X44" s="5">
        <f t="shared" si="33"/>
        <v>0</v>
      </c>
      <c r="Y44" s="5">
        <f t="shared" si="33"/>
        <v>5125000</v>
      </c>
      <c r="Z44" s="5">
        <f t="shared" si="33"/>
        <v>500000</v>
      </c>
      <c r="AA44" s="5">
        <f t="shared" si="33"/>
        <v>0</v>
      </c>
      <c r="AB44" s="5"/>
      <c r="AC44" s="5">
        <f>SUM(AC6:AC43)</f>
        <v>79000</v>
      </c>
      <c r="AD44" s="5">
        <f>SUM(AD6:AD43)</f>
        <v>45000</v>
      </c>
      <c r="AE44" s="5">
        <f>SUM(AE6:AE43)</f>
        <v>235000</v>
      </c>
      <c r="AF44" s="5">
        <f>SUM(AF6:AF43)</f>
        <v>0</v>
      </c>
      <c r="AG44" s="5">
        <f>SUM(AG6:AG43)</f>
        <v>0</v>
      </c>
      <c r="AH44" s="5"/>
      <c r="AI44" s="5">
        <f t="shared" ref="AI44:BF44" si="34">SUM(AI6:AI43)</f>
        <v>121000</v>
      </c>
      <c r="AJ44" s="5">
        <f t="shared" si="34"/>
        <v>203000</v>
      </c>
      <c r="AK44" s="5">
        <f t="shared" si="34"/>
        <v>700000</v>
      </c>
      <c r="AL44" s="5">
        <f t="shared" si="34"/>
        <v>3000</v>
      </c>
      <c r="AM44" s="5">
        <f t="shared" si="34"/>
        <v>7500</v>
      </c>
      <c r="AN44" s="5">
        <f t="shared" si="34"/>
        <v>19500</v>
      </c>
      <c r="AO44" s="5">
        <f t="shared" si="34"/>
        <v>0</v>
      </c>
      <c r="AP44" s="5"/>
      <c r="AQ44" s="5">
        <f t="shared" si="34"/>
        <v>0</v>
      </c>
      <c r="AR44" s="5">
        <f t="shared" si="34"/>
        <v>0</v>
      </c>
      <c r="AS44" s="5">
        <f t="shared" si="34"/>
        <v>2527875</v>
      </c>
      <c r="AT44" s="5">
        <f t="shared" si="34"/>
        <v>0</v>
      </c>
      <c r="AU44" s="5">
        <f t="shared" si="34"/>
        <v>0</v>
      </c>
      <c r="AV44" s="5">
        <f t="shared" si="34"/>
        <v>700000</v>
      </c>
      <c r="AW44" s="5">
        <f t="shared" si="34"/>
        <v>942000</v>
      </c>
      <c r="AX44" s="5">
        <f t="shared" si="34"/>
        <v>1058000</v>
      </c>
      <c r="AY44" s="5">
        <f t="shared" si="34"/>
        <v>4065000</v>
      </c>
      <c r="AZ44" s="5">
        <f t="shared" si="34"/>
        <v>7371000</v>
      </c>
      <c r="BA44" s="5">
        <f t="shared" si="34"/>
        <v>300000</v>
      </c>
      <c r="BB44" s="5">
        <f t="shared" si="34"/>
        <v>0</v>
      </c>
      <c r="BC44" s="5">
        <f t="shared" si="34"/>
        <v>892500</v>
      </c>
      <c r="BD44" s="5">
        <f t="shared" si="34"/>
        <v>6178500</v>
      </c>
      <c r="BE44" s="5">
        <f t="shared" si="34"/>
        <v>0</v>
      </c>
      <c r="BF44" s="5">
        <f t="shared" si="34"/>
        <v>30000</v>
      </c>
      <c r="BH44" s="5">
        <f t="shared" ref="BH44:BL44" si="35">SUM(BH6:BH43)</f>
        <v>36000</v>
      </c>
      <c r="BI44" s="5">
        <f t="shared" si="35"/>
        <v>0</v>
      </c>
      <c r="BJ44" s="5">
        <f t="shared" si="35"/>
        <v>0</v>
      </c>
      <c r="BK44" s="5">
        <f t="shared" si="35"/>
        <v>100000</v>
      </c>
      <c r="BL44" s="5">
        <f t="shared" si="35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300000</v>
      </c>
      <c r="BB46" t="s">
        <v>232</v>
      </c>
      <c r="BD46" s="9">
        <v>5578500</v>
      </c>
      <c r="BE46" t="s">
        <v>233</v>
      </c>
    </row>
    <row r="47" spans="1:69" ht="18.5" x14ac:dyDescent="0.45">
      <c r="B47" s="1" t="s">
        <v>74</v>
      </c>
      <c r="C47" s="3" t="s">
        <v>8</v>
      </c>
      <c r="D47" s="94"/>
      <c r="E47" s="94"/>
      <c r="F47" s="94"/>
      <c r="G47" s="3" t="s">
        <v>9</v>
      </c>
      <c r="H47" s="94"/>
      <c r="I47" s="94"/>
      <c r="Z47" s="12"/>
      <c r="AI47" s="5"/>
      <c r="AV47" s="3"/>
      <c r="AW47" s="94"/>
      <c r="AX47" s="15"/>
      <c r="AY47" s="15"/>
      <c r="AZ47" s="16"/>
      <c r="BA47" s="14">
        <f>+BA46-BA44</f>
        <v>0</v>
      </c>
      <c r="BD47" s="14">
        <f>+BD46-BD44</f>
        <v>-600000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6178500</v>
      </c>
      <c r="D50" s="9">
        <f>+D44</f>
        <v>5655375</v>
      </c>
      <c r="E50" s="9">
        <f>+C50-D50</f>
        <v>523125</v>
      </c>
      <c r="F50" s="9"/>
      <c r="G50" s="9">
        <f>E44</f>
        <v>300000</v>
      </c>
      <c r="H50" s="14">
        <f>+BA44</f>
        <v>300000</v>
      </c>
      <c r="I50" s="88">
        <f>+G50-H50</f>
        <v>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14706000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AA6:AA42" xr:uid="{17ED6358-8669-4B4B-8307-A6262F8B0F69}">
      <formula1>"BANQUE,ESPECES, EN COMPTE,AUTRES"</formula1>
    </dataValidation>
    <dataValidation type="list" showInputMessage="1" showErrorMessage="1" sqref="T6:T42 AP6:AP43 AF6:AF42" xr:uid="{5C89CDF8-766E-4468-8EAA-0DF613AB762B}">
      <formula1>"BANQUE,ESPECES,EN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D7B0-812D-467A-AD0A-47F986EA6817}">
  <dimension ref="A1:BQ88"/>
  <sheetViews>
    <sheetView zoomScale="87" zoomScaleNormal="87" workbookViewId="0">
      <pane xSplit="4" ySplit="5" topLeftCell="BM27" activePane="bottomRight" state="frozen"/>
      <selection pane="topRight" activeCell="E1" sqref="E1"/>
      <selection pane="bottomLeft" activeCell="A6" sqref="A6"/>
      <selection pane="bottomRight" activeCell="G20" sqref="G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VLOOKUP(A6,[6]HISTOBQUEMARS25!$A$6:$H$48,5,0)</f>
        <v>250000</v>
      </c>
      <c r="E6" s="91">
        <f>VLOOKUP(A6,[6]HISTOBQUEMARS25!$A$6:$H$43,4,0)</f>
        <v>0</v>
      </c>
      <c r="F6" s="91">
        <f>VLOOKUP(A6,[6]HISTOBQUEMARS25!$A$6:$H$43,6,0)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IFERROR(VLOOKUP(A6,[7]TONTMARS25!$A$6:$R$41,12,0),0)</f>
        <v>0</v>
      </c>
      <c r="Q6" s="2">
        <f>IFERROR(VLOOKUP(A6,[8]TONTMARS25!$A$6:$R$41,10,0),0)</f>
        <v>0</v>
      </c>
      <c r="R6" s="2">
        <f>IFERROR(VLOOKUP(A6,[9]TONTMARS25!$A$6:$R$42,10,0),0)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352000</v>
      </c>
      <c r="BA6" s="58"/>
      <c r="BB6" s="58"/>
      <c r="BC6" s="15">
        <f t="shared" ref="BC6:BC17" si="5">F6</f>
        <v>0</v>
      </c>
      <c r="BD6" s="57">
        <f>IF(AZ6=0,(AZ6-BA6-BC6),(AZ6-BA6-BB6-BC6))</f>
        <v>352000</v>
      </c>
      <c r="BE6" s="82"/>
      <c r="BF6" s="29">
        <f t="shared" ref="BF6:BF42" si="6">Z6*1/100*BG6</f>
        <v>0</v>
      </c>
      <c r="BG6" s="29">
        <v>9</v>
      </c>
      <c r="BH6" s="15">
        <f>BQ17</f>
        <v>52000</v>
      </c>
      <c r="BI6" s="15">
        <f>BQ30</f>
        <v>0</v>
      </c>
      <c r="BJ6" s="15">
        <f>BQ36</f>
        <v>300000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VLOOKUP(A7,[6]HISTOBQUEMARS25!$A$6:$H$48,5,0)</f>
        <v>0</v>
      </c>
      <c r="E7" s="91">
        <f>VLOOKUP(A7,[6]HISTOBQUEMARS25!$A$6:$H$43,4,0)</f>
        <v>50000</v>
      </c>
      <c r="F7" s="91">
        <f>VLOOKUP(A7,[6]HISTOBQUEMARS25!$A$6:$H$43,6,0)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IFERROR(VLOOKUP(A7,[7]TONTMARS25!$A$6:$R$41,12,0),0)</f>
        <v>0</v>
      </c>
      <c r="Q7" s="2">
        <f>IFERROR(VLOOKUP(A7,[8]TONTMARS25!$A$6:$R$41,10,0),0)</f>
        <v>0</v>
      </c>
      <c r="R7" s="2">
        <f>IFERROR(VLOOKUP(A7,[9]TONTMARS25!$A$6:$R$42,10,0),0)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9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-500000</v>
      </c>
      <c r="D8" s="9">
        <f>VLOOKUP(A8,[6]HISTOBQUEMARS25!$A$6:$H$48,5,0)</f>
        <v>228000</v>
      </c>
      <c r="E8" s="91">
        <f>VLOOKUP(A8,[6]HISTOBQUEMARS25!$A$6:$H$43,4,0)</f>
        <v>0</v>
      </c>
      <c r="F8" s="91">
        <f>VLOOKUP(A8,[6]HISTOBQUEMARS25!$A$6:$H$43,6,0)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IFERROR(VLOOKUP(A8,[7]TONTMARS25!$A$6:$R$41,12,0),0)</f>
        <v>0</v>
      </c>
      <c r="Q8" s="2">
        <f>IFERROR(VLOOKUP(A8,[8]TONTMARS25!$A$6:$R$41,10,0),0)</f>
        <v>103000</v>
      </c>
      <c r="R8" s="2">
        <f>IFERROR(VLOOKUP(A8,[9]TONTMARS25!$A$6:$R$42,10,0),0)</f>
        <v>0</v>
      </c>
      <c r="S8" s="20">
        <v>500000</v>
      </c>
      <c r="T8" s="12" t="s">
        <v>277</v>
      </c>
      <c r="U8" s="17">
        <f>G8+H8+S8+R8+P8+O8+M8+K8+Q8+V8+W8</f>
        <v>728000</v>
      </c>
      <c r="V8" s="12"/>
      <c r="W8" s="12"/>
      <c r="X8" s="12"/>
      <c r="Y8" s="92">
        <f t="shared" si="10"/>
        <v>125000</v>
      </c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 t="s">
        <v>8</v>
      </c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SUM(AV8:AY8)-BF8+Z8+BH8+BI8+BJ8+BK8+BL8+BM8+BN8</f>
        <v>485000</v>
      </c>
      <c r="BA8" s="58"/>
      <c r="BB8" s="58"/>
      <c r="BC8" s="15">
        <f t="shared" si="5"/>
        <v>0</v>
      </c>
      <c r="BD8" s="57">
        <f>IF(AZ8=0,(AZ8-BA8-BC8),(AZ8-BA8-BB8-BC8))-485000</f>
        <v>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VLOOKUP(A9,[6]HISTOBQUEMARS25!$A$6:$H$48,5,0)</f>
        <v>457500</v>
      </c>
      <c r="E9" s="91">
        <f>VLOOKUP(A9,[6]HISTOBQUEMARS25!$A$6:$H$43,4,0)</f>
        <v>0</v>
      </c>
      <c r="F9" s="91">
        <f>VLOOKUP(A9,[6]HISTOBQUEMARS25!$A$6:$H$43,6,0)</f>
        <v>0</v>
      </c>
      <c r="G9" s="91"/>
      <c r="H9" s="5">
        <f t="shared" si="16"/>
        <v>0</v>
      </c>
      <c r="I9" s="10" t="str">
        <f t="shared" si="0"/>
        <v>BANQUE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IFERROR(VLOOKUP(A9,[7]TONTMARS25!$A$6:$R$41,12,0),0)</f>
        <v>0</v>
      </c>
      <c r="Q9" s="2">
        <f>IFERROR(VLOOKUP(A9,[8]TONTMARS25!$A$6:$R$41,10,0),0)</f>
        <v>0</v>
      </c>
      <c r="R9" s="2">
        <f>IFERROR(VLOOKUP(A9,[9]TONTMARS25!$A$6:$R$42,10,0),0)</f>
        <v>207500</v>
      </c>
      <c r="S9" s="20"/>
      <c r="T9" s="12"/>
      <c r="U9" s="17">
        <f t="shared" si="9"/>
        <v>457500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f>2000+1500</f>
        <v>3500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200000</v>
      </c>
      <c r="AZ9" s="16">
        <f t="shared" si="14"/>
        <v>200000</v>
      </c>
      <c r="BA9" s="58">
        <v>200000</v>
      </c>
      <c r="BB9" s="58"/>
      <c r="BC9" s="15">
        <f t="shared" si="5"/>
        <v>0</v>
      </c>
      <c r="BD9" s="57">
        <f t="shared" si="15"/>
        <v>0</v>
      </c>
      <c r="BE9" s="82"/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VLOOKUP(A10,[6]HISTOBQUEMARS25!$A$6:$H$48,5,0)</f>
        <v>100500</v>
      </c>
      <c r="E10" s="91">
        <f>VLOOKUP(A10,[6]HISTOBQUEMARS25!$A$6:$H$43,4,0)</f>
        <v>0</v>
      </c>
      <c r="F10" s="91">
        <f>VLOOKUP(A10,[6]HISTOBQUEMARS25!$A$6:$H$43,6,0)</f>
        <v>0</v>
      </c>
      <c r="G10" s="91">
        <v>9500</v>
      </c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IFERROR(VLOOKUP(A10,[7]TONTMARS25!$A$6:$R$41,12,0),0)</f>
        <v>41000</v>
      </c>
      <c r="Q10" s="2">
        <f>IFERROR(VLOOKUP(A10,[8]TONTMARS25!$A$6:$R$41,10,0),0)</f>
        <v>0</v>
      </c>
      <c r="R10" s="2">
        <f>IFERROR(VLOOKUP(A10,[9]TONTMARS25!$A$6:$R$42,10,0),0)</f>
        <v>0</v>
      </c>
      <c r="S10" s="20"/>
      <c r="T10" s="12"/>
      <c r="U10" s="17">
        <f t="shared" si="9"/>
        <v>100500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2000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34500</v>
      </c>
      <c r="AT10" s="15"/>
      <c r="AV10" s="15"/>
      <c r="AW10" s="15">
        <f t="shared" si="11"/>
        <v>40000</v>
      </c>
      <c r="AX10" s="15">
        <f t="shared" si="12"/>
        <v>0</v>
      </c>
      <c r="AY10" s="15">
        <f t="shared" si="13"/>
        <v>0</v>
      </c>
      <c r="AZ10" s="16">
        <f t="shared" si="14"/>
        <v>40000</v>
      </c>
      <c r="BA10" s="58">
        <v>40000</v>
      </c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14">
        <f t="shared" si="7"/>
        <v>-1339500</v>
      </c>
      <c r="D11" s="9">
        <f>VLOOKUP(A11,[6]HISTOBQUEMARS25!$A$6:$H$48,5,0)</f>
        <v>150000</v>
      </c>
      <c r="E11" s="91">
        <f>VLOOKUP(A11,[6]HISTOBQUEMARS25!$A$6:$H$43,4,0)</f>
        <v>0</v>
      </c>
      <c r="F11" s="91">
        <f>VLOOKUP(A11,[6]HISTOBQUEMARS25!$A$6:$H$43,6,0)</f>
        <v>0</v>
      </c>
      <c r="G11" s="91"/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IFERROR(VLOOKUP(A11,[7]TONTMARS25!$A$6:$R$41,12,0),0)</f>
        <v>0</v>
      </c>
      <c r="Q11" s="2">
        <f>IFERROR(VLOOKUP(A11,[8]TONTMARS25!$A$6:$R$41,10,0),0)</f>
        <v>0</v>
      </c>
      <c r="R11" s="2">
        <f>IFERROR(VLOOKUP(A11,[9]TONTMARS25!$A$6:$R$42,10,0),0)</f>
        <v>204500</v>
      </c>
      <c r="S11" s="20">
        <v>1135000</v>
      </c>
      <c r="T11" s="12" t="s">
        <v>209</v>
      </c>
      <c r="U11" s="17">
        <f t="shared" si="9"/>
        <v>1489500</v>
      </c>
      <c r="V11" s="12"/>
      <c r="W11" s="12"/>
      <c r="X11" s="12"/>
      <c r="Y11" s="92">
        <f t="shared" si="10"/>
        <v>150000</v>
      </c>
      <c r="Z11" s="20">
        <v>1000000</v>
      </c>
      <c r="AA11" s="12" t="s">
        <v>8</v>
      </c>
      <c r="AB11" s="12"/>
      <c r="AC11" s="12">
        <v>6500</v>
      </c>
      <c r="AD11" s="12"/>
      <c r="AE11" s="12">
        <v>35000</v>
      </c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293500</v>
      </c>
      <c r="AX11" s="15">
        <f t="shared" si="12"/>
        <v>0</v>
      </c>
      <c r="AY11" s="15">
        <f t="shared" si="13"/>
        <v>1165000</v>
      </c>
      <c r="AZ11" s="16">
        <f t="shared" si="14"/>
        <v>2233500</v>
      </c>
      <c r="BA11" s="58"/>
      <c r="BB11" s="58"/>
      <c r="BC11" s="15">
        <f t="shared" si="5"/>
        <v>0</v>
      </c>
      <c r="BD11" s="57">
        <f>IF(AZ11=0,(AZ11-BA11-BC11),(AZ11-BA11-BB11-BC11))-1135000-204500</f>
        <v>894000</v>
      </c>
      <c r="BE11" s="82" t="s">
        <v>186</v>
      </c>
      <c r="BF11" s="29">
        <f>135000+90000</f>
        <v>225000</v>
      </c>
      <c r="BG11" s="29">
        <v>9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>
        <v>40000</v>
      </c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VLOOKUP(A12,[6]HISTOBQUEMARS25!$A$6:$H$48,5,0)</f>
        <v>260000</v>
      </c>
      <c r="E12" s="91">
        <f>VLOOKUP(A12,[6]HISTOBQUEMARS25!$A$6:$H$43,4,0)</f>
        <v>0</v>
      </c>
      <c r="F12" s="91">
        <f>VLOOKUP(A12,[6]HISTOBQUEMARS25!$A$6:$H$43,6,0)</f>
        <v>0</v>
      </c>
      <c r="G12" s="91">
        <v>10000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IFERROR(VLOOKUP(A12,[7]TONTMARS25!$A$6:$R$41,12,0),0)</f>
        <v>0</v>
      </c>
      <c r="Q12" s="2">
        <f>IFERROR(VLOOKUP(A12,[8]TONTMARS25!$A$6:$R$41,10,0),0)</f>
        <v>0</v>
      </c>
      <c r="R12" s="2">
        <f>IFERROR(VLOOKUP(A12,[9]TONTMARS25!$A$6:$R$42,10,0),0)</f>
        <v>0</v>
      </c>
      <c r="S12" s="20"/>
      <c r="T12" s="12"/>
      <c r="U12" s="17">
        <f t="shared" si="9"/>
        <v>260000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>
        <v>7000</v>
      </c>
      <c r="AD12" s="12"/>
      <c r="AE12" s="12">
        <v>30000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7"/>
        <v>35000</v>
      </c>
      <c r="AT12" s="15"/>
      <c r="AV12" s="15"/>
      <c r="AW12" s="15">
        <f t="shared" si="11"/>
        <v>293000</v>
      </c>
      <c r="AX12" s="15">
        <f t="shared" si="12"/>
        <v>0</v>
      </c>
      <c r="AY12" s="15">
        <f t="shared" si="13"/>
        <v>1170000</v>
      </c>
      <c r="AZ12" s="16">
        <f t="shared" si="14"/>
        <v>1463000</v>
      </c>
      <c r="BA12" s="58"/>
      <c r="BB12" s="58"/>
      <c r="BC12" s="15">
        <f t="shared" si="5"/>
        <v>0</v>
      </c>
      <c r="BD12" s="57">
        <f t="shared" si="15"/>
        <v>1463000</v>
      </c>
      <c r="BE12" s="82" t="s">
        <v>186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VLOOKUP(A13,[6]HISTOBQUEMARS25!$A$6:$H$48,5,0)</f>
        <v>50000</v>
      </c>
      <c r="E13" s="91">
        <f>VLOOKUP(A13,[6]HISTOBQUEMARS25!$A$6:$H$43,4,0)</f>
        <v>0</v>
      </c>
      <c r="F13" s="91">
        <f>VLOOKUP(A13,[6]HISTOBQUEMARS25!$A$6:$H$43,6,0)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IFERROR(VLOOKUP(A13,[7]TONTMARS25!$A$6:$R$41,12,0),0)</f>
        <v>0</v>
      </c>
      <c r="Q13" s="2">
        <f>IFERROR(VLOOKUP(A13,[8]TONTMARS25!$A$6:$R$41,10,0),0)</f>
        <v>0</v>
      </c>
      <c r="R13" s="2">
        <f>IFERROR(VLOOKUP(A13,[9]TONTMARS25!$A$6:$R$42,10,0),0)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12000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VLOOKUP(A14,[6]HISTOBQUEMARS25!$A$6:$H$48,5,0)</f>
        <v>50000</v>
      </c>
      <c r="E14" s="91">
        <f>VLOOKUP(A14,[6]HISTOBQUEMARS25!$A$6:$H$43,4,0)</f>
        <v>0</v>
      </c>
      <c r="F14" s="91">
        <f>VLOOKUP(A14,[6]HISTOBQUEMARS25!$A$6:$H$43,6,0)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IFERROR(VLOOKUP(A14,[7]TONTMARS25!$A$6:$R$41,12,0),0)</f>
        <v>0</v>
      </c>
      <c r="Q14" s="2">
        <f>IFERROR(VLOOKUP(A14,[8]TONTMARS25!$A$6:$R$41,10,0),0)</f>
        <v>0</v>
      </c>
      <c r="R14" s="2">
        <f>IFERROR(VLOOKUP(A14,[9]TONTMARS25!$A$6:$R$42,10,0),0)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14">
        <f t="shared" si="7"/>
        <v>226000</v>
      </c>
      <c r="D15" s="9">
        <f>VLOOKUP(A15,[6]HISTOBQUEMARS25!$A$6:$H$48,5,0)</f>
        <v>376000</v>
      </c>
      <c r="E15" s="91">
        <f>VLOOKUP(A15,[6]HISTOBQUEMARS25!$A$6:$H$43,4,0)</f>
        <v>0</v>
      </c>
      <c r="F15" s="91">
        <f>VLOOKUP(A15,[6]HISTOBQUEMARS25!$A$6:$H$43,6,0)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IFERROR(VLOOKUP(A15,[7]TONTMARS25!$A$6:$R$41,12,0),0)</f>
        <v>0</v>
      </c>
      <c r="Q15" s="2">
        <f>IFERROR(VLOOKUP(A15,[8]TONTMARS25!$A$6:$R$41,10,0),0)</f>
        <v>0</v>
      </c>
      <c r="R15" s="2">
        <f>IFERROR(VLOOKUP(A15,[9]TONTMARS25!$A$6:$R$42,10,0),0)</f>
        <v>0</v>
      </c>
      <c r="S15" s="20"/>
      <c r="T15" s="12"/>
      <c r="U15" s="17">
        <f t="shared" si="9"/>
        <v>150000</v>
      </c>
      <c r="V15" s="12"/>
      <c r="W15" s="12"/>
      <c r="X15" s="12"/>
      <c r="Y15" s="92">
        <f t="shared" si="10"/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>
        <f t="shared" si="5"/>
        <v>0</v>
      </c>
      <c r="BD15" s="57">
        <f t="shared" si="15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100000</v>
      </c>
      <c r="D16" s="9">
        <f>VLOOKUP(A16,[6]HISTOBQUEMARS25!$A$6:$H$48,5,0)</f>
        <v>1275000</v>
      </c>
      <c r="E16" s="91">
        <f>VLOOKUP(A16,[6]HISTOBQUEMARS25!$A$6:$H$43,4,0)</f>
        <v>0</v>
      </c>
      <c r="F16" s="91">
        <f>VLOOKUP(A16,[6]HISTOBQUEMARS25!$A$6:$H$43,6,0)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IFERROR(VLOOKUP(A16,[7]TONTMARS25!$A$6:$R$41,12,0),0)</f>
        <v>0</v>
      </c>
      <c r="Q16" s="2">
        <f>IFERROR(VLOOKUP(A16,[8]TONTMARS25!$A$6:$R$41,10,0),0)</f>
        <v>0</v>
      </c>
      <c r="R16" s="2">
        <f>IFERROR(VLOOKUP(A16,[9]TONTMARS25!$A$6:$R$42,10,0),0)</f>
        <v>0</v>
      </c>
      <c r="S16" s="20">
        <v>1050000</v>
      </c>
      <c r="T16" s="12"/>
      <c r="U16" s="17">
        <f t="shared" si="9"/>
        <v>1175000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-55000</v>
      </c>
      <c r="BA16" s="58"/>
      <c r="BB16" s="58"/>
      <c r="BC16" s="15">
        <f t="shared" si="5"/>
        <v>0</v>
      </c>
      <c r="BD16" s="57">
        <f t="shared" si="15"/>
        <v>-55000</v>
      </c>
      <c r="BE16" s="82" t="s">
        <v>186</v>
      </c>
      <c r="BF16" s="29">
        <f>Z16*1/100*BG16+155000</f>
        <v>155000</v>
      </c>
      <c r="BG16" s="29">
        <v>9</v>
      </c>
      <c r="BH16" s="15"/>
      <c r="BI16" s="15"/>
      <c r="BJ16" s="15"/>
      <c r="BK16" s="15">
        <v>100000</v>
      </c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VLOOKUP(A17,[6]HISTOBQUEMARS25!$A$6:$H$48,5,0)</f>
        <v>250000</v>
      </c>
      <c r="E17" s="91">
        <f>VLOOKUP(A17,[6]HISTOBQUEMARS25!$A$6:$H$43,4,0)</f>
        <v>0</v>
      </c>
      <c r="F17" s="91">
        <f>VLOOKUP(A17,[6]HISTOBQUEMARS25!$A$6:$H$43,6,0)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IFERROR(VLOOKUP(A17,[7]TONTMARS25!$A$6:$R$41,12,0),0)</f>
        <v>0</v>
      </c>
      <c r="Q17" s="2">
        <f>IFERROR(VLOOKUP(A17,[8]TONTMARS25!$A$6:$R$41,10,0),0)</f>
        <v>0</v>
      </c>
      <c r="R17" s="2">
        <f>IFERROR(VLOOKUP(A17,[9]TONTMARS25!$A$6:$R$42,10,0),0)</f>
        <v>0</v>
      </c>
      <c r="S17" s="20"/>
      <c r="T17" s="12"/>
      <c r="U17" s="17">
        <f t="shared" si="9"/>
        <v>250000</v>
      </c>
      <c r="V17" s="12"/>
      <c r="W17" s="12"/>
      <c r="X17" s="12"/>
      <c r="Y17" s="92">
        <f t="shared" si="10"/>
        <v>225000</v>
      </c>
      <c r="Z17" s="12"/>
      <c r="AA17" s="12"/>
      <c r="AB17" s="12"/>
      <c r="AC17" s="12"/>
      <c r="AD17" s="12">
        <v>7500</v>
      </c>
      <c r="AE17" s="12"/>
      <c r="AF17" s="12" t="s">
        <v>8</v>
      </c>
      <c r="AG17" s="12"/>
      <c r="AH17" s="12"/>
      <c r="AI17" s="12"/>
      <c r="AJ17" s="12">
        <f>50000+41125</f>
        <v>91125</v>
      </c>
      <c r="AK17" s="12"/>
      <c r="AL17" s="12"/>
      <c r="AM17" s="12">
        <v>2000</v>
      </c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0</v>
      </c>
      <c r="AX17" s="15">
        <f t="shared" si="12"/>
        <v>983625</v>
      </c>
      <c r="AY17" s="15">
        <f t="shared" si="13"/>
        <v>0</v>
      </c>
      <c r="AZ17" s="16">
        <f t="shared" si="14"/>
        <v>983625</v>
      </c>
      <c r="BA17" s="58">
        <v>50000</v>
      </c>
      <c r="BB17" s="58"/>
      <c r="BC17" s="15">
        <f t="shared" si="5"/>
        <v>0</v>
      </c>
      <c r="BD17" s="57">
        <f t="shared" si="15"/>
        <v>933625</v>
      </c>
      <c r="BE17" s="82" t="s">
        <v>186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O17" s="62" t="s">
        <v>142</v>
      </c>
      <c r="BQ17" s="62">
        <f>SUM(BQ6:BQ16)</f>
        <v>52000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VLOOKUP(A18,[6]HISTOBQUEMARS25!$A$6:$H$48,5,0)</f>
        <v>150000</v>
      </c>
      <c r="E18" s="91">
        <f>VLOOKUP(A18,[6]HISTOBQUEMARS25!$A$6:$H$43,4,0)</f>
        <v>0</v>
      </c>
      <c r="F18" s="91">
        <f>VLOOKUP(A18,[6]HISTOBQUEMARS25!$A$6:$H$43,6,0)</f>
        <v>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IFERROR(VLOOKUP(A18,[7]TONTMARS25!$A$6:$R$41,12,0),0)</f>
        <v>0</v>
      </c>
      <c r="Q18" s="2">
        <f>IFERROR(VLOOKUP(A18,[8]TONTMARS25!$A$6:$R$41,10,0),0)</f>
        <v>0</v>
      </c>
      <c r="R18" s="2">
        <f>IFERROR(VLOOKUP(A18,[9]TONTMARS25!$A$6:$R$42,10,0),0)</f>
        <v>0</v>
      </c>
      <c r="S18" s="20"/>
      <c r="T18" s="12"/>
      <c r="U18" s="17">
        <f t="shared" si="9"/>
        <v>150000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>
        <f>F18</f>
        <v>0</v>
      </c>
      <c r="BD18" s="57">
        <f t="shared" si="15"/>
        <v>0</v>
      </c>
      <c r="BE18" s="82" t="s">
        <v>186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0</v>
      </c>
      <c r="D19" s="9">
        <f>VLOOKUP(A19,[6]HISTOBQUEMARS25!$A$6:$H$48,5,0)</f>
        <v>291000</v>
      </c>
      <c r="E19" s="91">
        <f>VLOOKUP(A19,[6]HISTOBQUEMARS25!$A$6:$H$43,4,0)</f>
        <v>0</v>
      </c>
      <c r="F19" s="91">
        <f>VLOOKUP(A19,[6]HISTOBQUEMARS25!$A$6:$H$43,6,0)</f>
        <v>0</v>
      </c>
      <c r="G19" s="91">
        <v>11500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IFERROR(VLOOKUP(A19,[7]TONTMARS25!$A$6:$R$41,12,0),0)</f>
        <v>0</v>
      </c>
      <c r="Q19" s="2">
        <f>IFERROR(VLOOKUP(A19,[8]TONTMARS25!$A$6:$R$41,10,0),0)</f>
        <v>54500</v>
      </c>
      <c r="R19" s="2">
        <f>IFERROR(VLOOKUP(A19,[9]TONTMARS25!$A$6:$R$42,10,0),0)</f>
        <v>0</v>
      </c>
      <c r="S19" s="20"/>
      <c r="T19" s="12"/>
      <c r="U19" s="17">
        <f t="shared" si="9"/>
        <v>291000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>
        <v>205500</v>
      </c>
      <c r="AL19" s="12"/>
      <c r="AM19" s="12"/>
      <c r="AN19" s="12">
        <v>2000</v>
      </c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36500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205500</v>
      </c>
      <c r="AZ19" s="16">
        <f t="shared" si="14"/>
        <v>205500</v>
      </c>
      <c r="BA19" s="58"/>
      <c r="BB19" s="58"/>
      <c r="BC19" s="15">
        <f t="shared" ref="BC19:BC42" si="18">F19</f>
        <v>0</v>
      </c>
      <c r="BD19" s="57">
        <f t="shared" si="15"/>
        <v>205500</v>
      </c>
      <c r="BE19" s="82" t="s">
        <v>186</v>
      </c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/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VLOOKUP(A21,[6]HISTOBQUEMARS25!$A$6:$H$48,5,0)</f>
        <v>50000</v>
      </c>
      <c r="E21" s="91">
        <f>VLOOKUP(A21,[6]HISTOBQUEMARS25!$A$6:$H$43,4,0)</f>
        <v>0</v>
      </c>
      <c r="F21" s="91">
        <f>VLOOKUP(A21,[6]HISTOBQUEMARS25!$A$6:$H$43,6,0)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IFERROR(VLOOKUP(A21,[7]TONTMARS25!$A$6:$R$41,12,0),0)</f>
        <v>0</v>
      </c>
      <c r="Q21" s="2">
        <f>IFERROR(VLOOKUP(A21,[8]TONTMARS25!$A$6:$R$41,10,0),0)</f>
        <v>0</v>
      </c>
      <c r="R21" s="2">
        <f>IFERROR(VLOOKUP(A21,[9]TONTMARS25!$A$6:$R$42,10,0),0)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-1000000</v>
      </c>
      <c r="D22" s="9">
        <f>VLOOKUP(A22,[6]HISTOBQUEMARS25!$A$6:$H$48,5,0)</f>
        <v>376000</v>
      </c>
      <c r="E22" s="91">
        <f>VLOOKUP(A22,[6]HISTOBQUEMARS25!$A$6:$H$43,4,0)</f>
        <v>0</v>
      </c>
      <c r="F22" s="91">
        <f>VLOOKUP(A22,[6]HISTOBQUEMARS25!$A$6:$H$43,6,0)</f>
        <v>0</v>
      </c>
      <c r="G22" s="91"/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IFERROR(VLOOKUP(A22,[7]TONTMARS25!$A$6:$R$41,12,0),0)</f>
        <v>0</v>
      </c>
      <c r="Q22" s="2">
        <f>IFERROR(VLOOKUP(A22,[8]TONTMARS25!$A$6:$R$41,10,0),0)</f>
        <v>51000</v>
      </c>
      <c r="R22" s="2">
        <f>IFERROR(VLOOKUP(A22,[9]TONTMARS25!$A$6:$R$42,10,0),0)</f>
        <v>0</v>
      </c>
      <c r="S22" s="20">
        <v>1000000</v>
      </c>
      <c r="T22" s="12" t="s">
        <v>277</v>
      </c>
      <c r="U22" s="17">
        <f t="shared" si="9"/>
        <v>1376000</v>
      </c>
      <c r="V22" s="12"/>
      <c r="W22" s="12"/>
      <c r="X22" s="12"/>
      <c r="Y22" s="92">
        <f t="shared" si="10"/>
        <v>325000</v>
      </c>
      <c r="Z22" s="12">
        <v>1000000</v>
      </c>
      <c r="AA22" s="12"/>
      <c r="AB22" s="12"/>
      <c r="AC22" s="12">
        <v>7500</v>
      </c>
      <c r="AD22" s="12"/>
      <c r="AE22" s="12"/>
      <c r="AF22" s="12" t="s">
        <v>8</v>
      </c>
      <c r="AG22" s="12"/>
      <c r="AH22" s="12"/>
      <c r="AI22" s="12"/>
      <c r="AJ22" s="12">
        <v>100000</v>
      </c>
      <c r="AK22" s="12">
        <v>200000</v>
      </c>
      <c r="AL22" s="12"/>
      <c r="AM22" s="12">
        <v>2000</v>
      </c>
      <c r="AN22" s="12">
        <v>2000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292500</v>
      </c>
      <c r="AX22" s="15">
        <f t="shared" si="12"/>
        <v>100000</v>
      </c>
      <c r="AY22" s="15">
        <f t="shared" si="13"/>
        <v>200000</v>
      </c>
      <c r="AZ22" s="16">
        <f t="shared" si="14"/>
        <v>1562500</v>
      </c>
      <c r="BA22" s="58">
        <v>166000</v>
      </c>
      <c r="BB22" s="58"/>
      <c r="BC22" s="15">
        <f t="shared" si="18"/>
        <v>0</v>
      </c>
      <c r="BD22" s="57">
        <f>IF(AZ22=0,(AZ22-BA22-BC22),(AZ22-BA22-BB22-BC22))-970000</f>
        <v>426500</v>
      </c>
      <c r="BE22" s="82" t="s">
        <v>186</v>
      </c>
      <c r="BF22" s="29">
        <f t="shared" si="6"/>
        <v>30000</v>
      </c>
      <c r="BG22" s="29">
        <v>3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VLOOKUP(A23,[6]HISTOBQUEMARS25!$A$6:$H$48,5,0)</f>
        <v>50000</v>
      </c>
      <c r="E23" s="91">
        <f>VLOOKUP(A23,[6]HISTOBQUEMARS25!$A$6:$H$43,4,0)</f>
        <v>0</v>
      </c>
      <c r="F23" s="91">
        <f>VLOOKUP(A23,[6]HISTOBQUEMARS25!$A$6:$H$43,6,0)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IFERROR(VLOOKUP(A23,[7]TONTMARS25!$A$6:$R$41,12,0),0)</f>
        <v>0</v>
      </c>
      <c r="Q23" s="2">
        <f>IFERROR(VLOOKUP(A23,[8]TONTMARS25!$A$6:$R$41,10,0),0)</f>
        <v>0</v>
      </c>
      <c r="R23" s="2">
        <f>IFERROR(VLOOKUP(A23,[9]TONTMARS25!$A$6:$R$42,10,0),0)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VLOOKUP(A24,[6]HISTOBQUEMARS25!$A$6:$H$48,5,0)</f>
        <v>125000</v>
      </c>
      <c r="E24" s="91">
        <f>VLOOKUP(A24,[6]HISTOBQUEMARS25!$A$6:$H$43,4,0)</f>
        <v>0</v>
      </c>
      <c r="F24" s="91">
        <f>VLOOKUP(A24,[6]HISTOBQUEMARS25!$A$6:$H$43,6,0)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IFERROR(VLOOKUP(A24,[7]TONTMARS25!$A$6:$R$41,12,0),0)</f>
        <v>0</v>
      </c>
      <c r="Q24" s="2">
        <f>IFERROR(VLOOKUP(A24,[8]TONTMARS25!$A$6:$R$41,10,0),0)</f>
        <v>0</v>
      </c>
      <c r="R24" s="2">
        <f>IFERROR(VLOOKUP(A24,[9]TONTMARS25!$A$6:$R$42,10,0),0)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>
        <v>600000</v>
      </c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600000</v>
      </c>
      <c r="BA24" s="58"/>
      <c r="BB24" s="58"/>
      <c r="BC24" s="15">
        <f t="shared" si="18"/>
        <v>0</v>
      </c>
      <c r="BD24" s="57">
        <f t="shared" si="15"/>
        <v>600000</v>
      </c>
      <c r="BE24" s="82" t="s">
        <v>186</v>
      </c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VLOOKUP(A25,[6]HISTOBQUEMARS25!$A$6:$H$48,5,0)</f>
        <v>361000</v>
      </c>
      <c r="E25" s="91">
        <f>VLOOKUP(A25,[6]HISTOBQUEMARS25!$A$6:$H$43,4,0)</f>
        <v>0</v>
      </c>
      <c r="F25" s="91">
        <f>VLOOKUP(A25,[6]HISTOBQUEMARS25!$A$6:$H$43,6,0)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IFERROR(VLOOKUP(A25,[7]TONTMARS25!$A$6:$R$41,12,0),0)</f>
        <v>0</v>
      </c>
      <c r="Q25" s="2">
        <f>IFERROR(VLOOKUP(A25,[8]TONTMARS25!$A$6:$R$41,10,0),0)</f>
        <v>0</v>
      </c>
      <c r="R25" s="2">
        <f>IFERROR(VLOOKUP(A25,[9]TONTMARS25!$A$6:$R$42,10,0),0)</f>
        <v>101000</v>
      </c>
      <c r="S25" s="20"/>
      <c r="T25" s="12"/>
      <c r="U25" s="17">
        <f t="shared" si="9"/>
        <v>361000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4"/>
        <v>100000</v>
      </c>
      <c r="BA25" s="58"/>
      <c r="BB25" s="58"/>
      <c r="BC25" s="15">
        <f t="shared" si="18"/>
        <v>0</v>
      </c>
      <c r="BD25" s="57">
        <f>IF(AZ25=0,(AZ25-BA25-BC25),(AZ25-BA25-BB25-BC25))-73000</f>
        <v>27000</v>
      </c>
      <c r="BE25" s="82" t="s">
        <v>186</v>
      </c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VLOOKUP(A26,[6]HISTOBQUEMARS25!$A$6:$H$48,5,0)</f>
        <v>240000</v>
      </c>
      <c r="E26" s="91">
        <f>VLOOKUP(A26,[6]HISTOBQUEMARS25!$A$6:$H$43,4,0)</f>
        <v>0</v>
      </c>
      <c r="F26" s="91">
        <f>VLOOKUP(A26,[6]HISTOBQUEMARS25!$A$6:$H$43,6,0)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IFERROR(VLOOKUP(A26,[7]TONTMARS25!$A$6:$R$41,12,0),0)</f>
        <v>0</v>
      </c>
      <c r="Q26" s="2">
        <f>IFERROR(VLOOKUP(A26,[8]TONTMARS25!$A$6:$R$41,10,0),0)</f>
        <v>0</v>
      </c>
      <c r="R26" s="2">
        <f>IFERROR(VLOOKUP(A26,[9]TONTMARS25!$A$6:$R$42,10,0),0)</f>
        <v>0</v>
      </c>
      <c r="S26" s="20"/>
      <c r="T26" s="12"/>
      <c r="U26" s="17">
        <f t="shared" si="9"/>
        <v>240000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>IF(AE26=0,AK26,(1*100000*12)+(AK26)-AE26)</f>
        <v>0</v>
      </c>
      <c r="AZ26" s="16">
        <f t="shared" si="14"/>
        <v>0</v>
      </c>
      <c r="BA26" s="58"/>
      <c r="BB26" s="58"/>
      <c r="BC26" s="15">
        <f t="shared" si="18"/>
        <v>0</v>
      </c>
      <c r="BD26" s="57">
        <f t="shared" si="15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VLOOKUP(A27,[6]HISTOBQUEMARS25!$A$6:$H$48,5,0)</f>
        <v>450000</v>
      </c>
      <c r="E27" s="91">
        <f>VLOOKUP(A27,[6]HISTOBQUEMARS25!$A$6:$H$43,4,0)</f>
        <v>0</v>
      </c>
      <c r="F27" s="91">
        <f>VLOOKUP(A27,[6]HISTOBQUEMARS25!$A$6:$H$43,6,0)</f>
        <v>0</v>
      </c>
      <c r="G27" s="91">
        <v>-6500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IFERROR(VLOOKUP(A27,[7]TONTMARS25!$A$6:$R$41,12,0),0)</f>
        <v>0</v>
      </c>
      <c r="Q27" s="2">
        <f>IFERROR(VLOOKUP(A27,[8]TONTMARS25!$A$6:$R$41,10,0),0)</f>
        <v>0</v>
      </c>
      <c r="R27" s="2">
        <f>IFERROR(VLOOKUP(A27,[9]TONTMARS25!$A$6:$R$42,10,0),0)</f>
        <v>206500</v>
      </c>
      <c r="S27" s="20"/>
      <c r="T27" s="12"/>
      <c r="U27" s="17">
        <f t="shared" si="9"/>
        <v>450000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v>200000</v>
      </c>
      <c r="AL27" s="12"/>
      <c r="AM27" s="12"/>
      <c r="AN27" s="12">
        <f>1000+1500</f>
        <v>2500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18500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200000</v>
      </c>
      <c r="AZ27" s="16">
        <f t="shared" si="14"/>
        <v>200000</v>
      </c>
      <c r="BA27" s="58">
        <v>100000</v>
      </c>
      <c r="BB27" s="58"/>
      <c r="BC27" s="15">
        <f t="shared" si="18"/>
        <v>0</v>
      </c>
      <c r="BD27" s="57">
        <f t="shared" si="15"/>
        <v>100000</v>
      </c>
      <c r="BE27" s="82" t="s">
        <v>186</v>
      </c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-970000</v>
      </c>
      <c r="D28" s="9">
        <f>VLOOKUP(A28,[6]HISTOBQUEMARS25!$A$6:$H$48,5,0)</f>
        <v>122000</v>
      </c>
      <c r="E28" s="91">
        <f>VLOOKUP(A28,[6]HISTOBQUEMARS25!$A$6:$H$43,4,0)</f>
        <v>0</v>
      </c>
      <c r="F28" s="91">
        <f>VLOOKUP(A28,[6]HISTOBQUEMARS25!$A$6:$H$43,6,0)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IFERROR(VLOOKUP(A28,[7]TONTMARS25!$A$6:$R$41,12,0),0)</f>
        <v>42000</v>
      </c>
      <c r="Q28" s="2">
        <f>IFERROR(VLOOKUP(A28,[8]TONTMARS25!$A$6:$R$41,10,0),0)</f>
        <v>0</v>
      </c>
      <c r="R28" s="2">
        <f>IFERROR(VLOOKUP(A28,[9]TONTMARS25!$A$6:$R$42,10,0),0)</f>
        <v>0</v>
      </c>
      <c r="S28" s="20">
        <v>1000000</v>
      </c>
      <c r="T28" s="12"/>
      <c r="U28" s="17">
        <f t="shared" si="9"/>
        <v>1092000</v>
      </c>
      <c r="V28" s="12"/>
      <c r="W28" s="12"/>
      <c r="X28" s="12"/>
      <c r="Y28" s="92">
        <f t="shared" si="10"/>
        <v>50000</v>
      </c>
      <c r="Z28" s="12">
        <v>1000000</v>
      </c>
      <c r="AA28" s="12" t="s">
        <v>277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 t="s">
        <v>8</v>
      </c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>SUM(AV28:AY28)-BF28+Z28+BH28+BI28+BJ28+BK28+BL28+BM28+BN28+30000</f>
        <v>1000000</v>
      </c>
      <c r="BA28" s="58"/>
      <c r="BB28" s="58"/>
      <c r="BC28" s="15">
        <f t="shared" si="18"/>
        <v>0</v>
      </c>
      <c r="BD28" s="57">
        <f>IF(AZ28=0,(AZ28-BA28-BC28),(AZ28-BA28-BB28-BC28))-1000000</f>
        <v>0</v>
      </c>
      <c r="BE28" s="82"/>
      <c r="BF28" s="29">
        <f>Z28*1/100*BG28</f>
        <v>30000</v>
      </c>
      <c r="BG28" s="29">
        <v>3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VLOOKUP(A29,[6]HISTOBQUEMARS25!$A$6:$H$48,5,0)</f>
        <v>50000</v>
      </c>
      <c r="E29" s="91">
        <f>VLOOKUP(A29,[6]HISTOBQUEMARS25!$A$6:$H$43,4,0)</f>
        <v>0</v>
      </c>
      <c r="F29" s="91">
        <f>VLOOKUP(A29,[6]HISTOBQUEMARS25!$A$6:$H$43,6,0)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IFERROR(VLOOKUP(A29,[7]TONTMARS25!$A$6:$R$41,12,0),0)</f>
        <v>0</v>
      </c>
      <c r="Q29" s="2">
        <f>IFERROR(VLOOKUP(A29,[8]TONTMARS25!$A$6:$R$41,10,0),0)</f>
        <v>0</v>
      </c>
      <c r="R29" s="2">
        <f>IFERROR(VLOOKUP(A29,[9]TONTMARS25!$A$6:$R$42,10,0),0)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>
        <v>150000</v>
      </c>
      <c r="AA29" s="12" t="s">
        <v>8</v>
      </c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136500</v>
      </c>
      <c r="BA29" s="58"/>
      <c r="BB29" s="58"/>
      <c r="BC29" s="15">
        <f t="shared" si="18"/>
        <v>0</v>
      </c>
      <c r="BD29" s="57">
        <f t="shared" si="15"/>
        <v>136500</v>
      </c>
      <c r="BE29" s="82" t="s">
        <v>186</v>
      </c>
      <c r="BF29" s="29">
        <f t="shared" si="6"/>
        <v>13500</v>
      </c>
      <c r="BG29" s="29">
        <v>9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VLOOKUP(A30,[6]HISTOBQUEMARS25!$A$6:$H$48,5,0)</f>
        <v>125000</v>
      </c>
      <c r="E30" s="91">
        <f>VLOOKUP(A30,[6]HISTOBQUEMARS25!$A$6:$H$43,4,0)</f>
        <v>0</v>
      </c>
      <c r="F30" s="91">
        <f>VLOOKUP(A30,[6]HISTOBQUEMARS25!$A$6:$H$43,6,0)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IFERROR(VLOOKUP(A30,[7]TONTMARS25!$A$6:$R$41,12,0),0)</f>
        <v>0</v>
      </c>
      <c r="Q30" s="2">
        <f>IFERROR(VLOOKUP(A30,[8]TONTMARS25!$A$6:$R$41,10,0),0)</f>
        <v>0</v>
      </c>
      <c r="R30" s="2">
        <f>IFERROR(VLOOKUP(A30,[9]TONTMARS25!$A$6:$R$42,10,0),0)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0</v>
      </c>
      <c r="D31" s="9">
        <f>VLOOKUP(A31,[6]HISTOBQUEMARS25!$A$6:$H$48,5,0)</f>
        <v>91000</v>
      </c>
      <c r="E31" s="91">
        <f>VLOOKUP(A31,[6]HISTOBQUEMARS25!$A$6:$H$43,4,0)</f>
        <v>0</v>
      </c>
      <c r="F31" s="91">
        <f>VLOOKUP(A31,[6]HISTOBQUEMARS25!$A$6:$H$43,6,0)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IFERROR(VLOOKUP(A31,[7]TONTMARS25!$A$6:$R$41,12,0),0)</f>
        <v>41000</v>
      </c>
      <c r="Q31" s="2">
        <f>IFERROR(VLOOKUP(A31,[8]TONTMARS25!$A$6:$R$41,10,0),0)</f>
        <v>0</v>
      </c>
      <c r="R31" s="2">
        <f>IFERROR(VLOOKUP(A31,[9]TONTMARS25!$A$6:$R$42,10,0),0)</f>
        <v>0</v>
      </c>
      <c r="S31" s="20"/>
      <c r="T31" s="12"/>
      <c r="U31" s="17">
        <f t="shared" si="9"/>
        <v>91000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80000</v>
      </c>
      <c r="AJ31" s="12"/>
      <c r="AK31" s="12"/>
      <c r="AL31" s="12">
        <v>3000</v>
      </c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80000</v>
      </c>
      <c r="AX31" s="15">
        <f t="shared" si="12"/>
        <v>0</v>
      </c>
      <c r="AY31" s="15">
        <f t="shared" si="13"/>
        <v>0</v>
      </c>
      <c r="AZ31" s="16">
        <f t="shared" si="14"/>
        <v>80000</v>
      </c>
      <c r="BA31" s="58">
        <v>80000</v>
      </c>
      <c r="BB31" s="58"/>
      <c r="BC31" s="15">
        <f t="shared" si="18"/>
        <v>0</v>
      </c>
      <c r="BD31" s="57">
        <f t="shared" si="15"/>
        <v>0</v>
      </c>
      <c r="BE31" s="82"/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-1000000</v>
      </c>
      <c r="D32" s="9">
        <f>VLOOKUP(A32,[6]HISTOBQUEMARS25!$A$6:$H$48,5,0)</f>
        <v>0</v>
      </c>
      <c r="E32" s="91">
        <f>VLOOKUP(A32,[6]HISTOBQUEMARS25!$A$6:$H$43,4,0)</f>
        <v>253000</v>
      </c>
      <c r="F32" s="91">
        <f>VLOOKUP(A32,[6]HISTOBQUEMARS25!$A$6:$H$43,6,0)</f>
        <v>0</v>
      </c>
      <c r="G32" s="91"/>
      <c r="H32" s="5">
        <f t="shared" si="16"/>
        <v>3000</v>
      </c>
      <c r="I32" s="10" t="str">
        <f t="shared" si="0"/>
        <v>ESPECES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IFERROR(VLOOKUP(A32,[7]TONTMARS25!$A$6:$R$41,12,0),0)</f>
        <v>0</v>
      </c>
      <c r="Q32" s="2">
        <f>IFERROR(VLOOKUP(A32,[8]TONTMARS25!$A$6:$R$41,10,0),0)</f>
        <v>0</v>
      </c>
      <c r="R32" s="2">
        <f>IFERROR(VLOOKUP(A32,[9]TONTMARS25!$A$6:$R$42,10,0),0)</f>
        <v>0</v>
      </c>
      <c r="S32" s="20">
        <v>1000000</v>
      </c>
      <c r="T32" s="12" t="s">
        <v>277</v>
      </c>
      <c r="U32" s="17">
        <f t="shared" si="9"/>
        <v>1253000</v>
      </c>
      <c r="V32" s="12"/>
      <c r="W32" s="12"/>
      <c r="X32" s="12"/>
      <c r="Y32" s="92">
        <f t="shared" si="10"/>
        <v>250000</v>
      </c>
      <c r="Z32" s="12">
        <v>1000000</v>
      </c>
      <c r="AA32" s="12" t="s">
        <v>277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970000</v>
      </c>
      <c r="BA32" s="58"/>
      <c r="BB32" s="58"/>
      <c r="BC32" s="15">
        <f t="shared" si="18"/>
        <v>0</v>
      </c>
      <c r="BD32" s="57">
        <f>IF(AZ32=0,(AZ32-BA32-BC32),(AZ32-BA32-BB32-BC32))-970000</f>
        <v>0</v>
      </c>
      <c r="BE32" s="82"/>
      <c r="BF32" s="29">
        <f t="shared" si="6"/>
        <v>30000</v>
      </c>
      <c r="BG32" s="29">
        <v>3</v>
      </c>
      <c r="BH32" s="15"/>
      <c r="BI32" s="15"/>
      <c r="BJ32" s="15"/>
      <c r="BK32" s="15"/>
      <c r="BL32" s="61"/>
      <c r="BO32" t="s">
        <v>272</v>
      </c>
      <c r="BP32" t="s">
        <v>50</v>
      </c>
      <c r="BQ32" s="6">
        <v>100000</v>
      </c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VLOOKUP(A33,[6]HISTOBQUEMARS25!$A$6:$H$48,5,0)</f>
        <v>50000</v>
      </c>
      <c r="E33" s="91">
        <f>VLOOKUP(A33,[6]HISTOBQUEMARS25!$A$6:$H$43,4,0)</f>
        <v>0</v>
      </c>
      <c r="F33" s="91">
        <f>VLOOKUP(A33,[6]HISTOBQUEMARS25!$A$6:$H$43,6,0)</f>
        <v>0</v>
      </c>
      <c r="G33" s="91"/>
      <c r="H33" s="5">
        <f t="shared" si="16"/>
        <v>0</v>
      </c>
      <c r="I33" s="10" t="str">
        <f t="shared" si="0"/>
        <v>BANQUE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IFERROR(VLOOKUP(A33,[7]TONTMARS25!$A$6:$R$41,12,0),0)</f>
        <v>0</v>
      </c>
      <c r="Q33" s="2">
        <f>IFERROR(VLOOKUP(A33,[8]TONTMARS25!$A$6:$R$41,10,0),0)</f>
        <v>0</v>
      </c>
      <c r="R33" s="2">
        <f>IFERROR(VLOOKUP(A33,[9]TONTMARS25!$A$6:$R$42,10,0),0)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O33" t="s">
        <v>273</v>
      </c>
      <c r="BQ33" s="6">
        <v>100000</v>
      </c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VLOOKUP(A34,[6]HISTOBQUEMARS25!$A$6:$H$48,5,0)</f>
        <v>150000</v>
      </c>
      <c r="E34" s="91">
        <f>VLOOKUP(A34,[6]HISTOBQUEMARS25!$A$6:$H$43,4,0)</f>
        <v>0</v>
      </c>
      <c r="F34" s="91">
        <f>VLOOKUP(A34,[6]HISTOBQUEMARS25!$A$6:$H$43,6,0)</f>
        <v>0</v>
      </c>
      <c r="G34" s="91"/>
      <c r="H34" s="5">
        <f t="shared" si="16"/>
        <v>0</v>
      </c>
      <c r="I34" s="10" t="str">
        <f t="shared" si="0"/>
        <v>BANQUE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f>IFERROR(VLOOKUP(A34,[7]TONTMARS25!$A$6:$R$41,12,0),0)</f>
        <v>0</v>
      </c>
      <c r="Q34" s="2">
        <f>IFERROR(VLOOKUP(A34,[8]TONTMARS25!$A$6:$R$41,10,0),0)</f>
        <v>0</v>
      </c>
      <c r="R34" s="2">
        <f>IFERROR(VLOOKUP(A34,[9]TONTMARS25!$A$6:$R$42,10,0),0)</f>
        <v>0</v>
      </c>
      <c r="S34" s="20"/>
      <c r="T34" s="12"/>
      <c r="U34" s="17">
        <f t="shared" si="9"/>
        <v>150000</v>
      </c>
      <c r="V34" s="12"/>
      <c r="W34" s="12"/>
      <c r="X34" s="12"/>
      <c r="Y34" s="92">
        <f t="shared" si="10"/>
        <v>150000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7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>
        <f t="shared" si="18"/>
        <v>0</v>
      </c>
      <c r="BD34" s="57">
        <f t="shared" si="15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  <c r="BO34" t="s">
        <v>274</v>
      </c>
      <c r="BQ34" s="6">
        <v>100000</v>
      </c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VLOOKUP(A35,[6]HISTOBQUEMARS25!$A$6:$H$48,5,0)</f>
        <v>125000</v>
      </c>
      <c r="E35" s="91">
        <f>VLOOKUP(A35,[6]HISTOBQUEMARS25!$A$6:$H$43,4,0)</f>
        <v>0</v>
      </c>
      <c r="F35" s="91">
        <f>VLOOKUP(A35,[6]HISTOBQUEMARS25!$A$6:$H$43,6,0)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IFERROR(VLOOKUP(A35,[7]TONTMARS25!$A$6:$R$41,12,0),0)</f>
        <v>0</v>
      </c>
      <c r="Q35" s="2">
        <f>IFERROR(VLOOKUP(A35,[8]TONTMARS25!$A$6:$R$41,10,0),0)</f>
        <v>0</v>
      </c>
      <c r="R35" s="2">
        <f>IFERROR(VLOOKUP(A35,[9]TONTMARS25!$A$6:$R$42,10,0),0)</f>
        <v>0</v>
      </c>
      <c r="S35" s="20"/>
      <c r="T35" s="12"/>
      <c r="U35" s="17">
        <f t="shared" si="9"/>
        <v>125000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v>100000</v>
      </c>
      <c r="AK35" s="12"/>
      <c r="AL35" s="12"/>
      <c r="AM35" s="12">
        <v>2000</v>
      </c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100000</v>
      </c>
      <c r="AY35" s="15">
        <f t="shared" si="13"/>
        <v>0</v>
      </c>
      <c r="AZ35" s="16">
        <f t="shared" si="14"/>
        <v>100000</v>
      </c>
      <c r="BA35" s="58"/>
      <c r="BB35" s="58"/>
      <c r="BC35" s="15">
        <f t="shared" si="18"/>
        <v>0</v>
      </c>
      <c r="BD35" s="57">
        <f t="shared" si="15"/>
        <v>100000</v>
      </c>
      <c r="BE35" s="82" t="s">
        <v>186</v>
      </c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VLOOKUP(A36,[6]HISTOBQUEMARS25!$A$6:$H$48,5,0)</f>
        <v>150000</v>
      </c>
      <c r="E36" s="91">
        <f>VLOOKUP(A36,[6]HISTOBQUEMARS25!$A$6:$H$43,4,0)</f>
        <v>0</v>
      </c>
      <c r="F36" s="91">
        <f>VLOOKUP(A36,[6]HISTOBQUEMARS25!$A$6:$H$43,6,0)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IFERROR(VLOOKUP(A36,[7]TONTMARS25!$A$6:$R$41,12,0),0)</f>
        <v>0</v>
      </c>
      <c r="Q36" s="2">
        <f>IFERROR(VLOOKUP(A36,[8]TONTMARS25!$A$6:$R$41,10,0),0)</f>
        <v>0</v>
      </c>
      <c r="R36" s="2">
        <f>IFERROR(VLOOKUP(A36,[9]TONTMARS25!$A$6:$R$42,10,0),0)</f>
        <v>0</v>
      </c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>
        <f t="shared" si="18"/>
        <v>0</v>
      </c>
      <c r="BD36" s="57">
        <f t="shared" si="15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300000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VLOOKUP(A37,[6]HISTOBQUEMARS25!$A$6:$H$48,5,0)</f>
        <v>50000</v>
      </c>
      <c r="E37" s="91">
        <f>VLOOKUP(A37,[6]HISTOBQUEMARS25!$A$6:$H$43,4,0)</f>
        <v>0</v>
      </c>
      <c r="F37" s="91">
        <f>VLOOKUP(A37,[6]HISTOBQUEMARS25!$A$6:$H$43,6,0)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IFERROR(VLOOKUP(A37,[7]TONTMARS25!$A$6:$R$41,12,0),0)</f>
        <v>0</v>
      </c>
      <c r="Q37" s="2">
        <f>IFERROR(VLOOKUP(A37,[8]TONTMARS25!$A$6:$R$41,10,0),0)</f>
        <v>0</v>
      </c>
      <c r="R37" s="2">
        <f>IFERROR(VLOOKUP(A37,[9]TONTMARS25!$A$6:$R$42,10,0),0)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9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400000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VLOOKUP(A38,[6]HISTOBQUEMARS25!$A$6:$H$48,5,0)</f>
        <v>0</v>
      </c>
      <c r="E38" s="91">
        <f>VLOOKUP(A38,[6]HISTOBQUEMARS25!$A$6:$H$43,4,0)</f>
        <v>50000</v>
      </c>
      <c r="F38" s="91">
        <f>VLOOKUP(A38,[6]HISTOBQUEMARS25!$A$6:$H$43,6,0)</f>
        <v>0</v>
      </c>
      <c r="G38" s="91">
        <v>-3000</v>
      </c>
      <c r="H38" s="5">
        <f t="shared" si="16"/>
        <v>3000</v>
      </c>
      <c r="I38" s="10" t="str">
        <f t="shared" si="0"/>
        <v>ESPECES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IFERROR(VLOOKUP(A38,[7]TONTMARS25!$A$6:$R$41,12,0),0)</f>
        <v>0</v>
      </c>
      <c r="Q38" s="2">
        <f>IFERROR(VLOOKUP(A38,[8]TONTMARS25!$A$6:$R$41,10,0),0)</f>
        <v>0</v>
      </c>
      <c r="R38" s="2">
        <f>IFERROR(VLOOKUP(A38,[9]TONTMARS25!$A$6:$R$42,10,0),0)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22000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9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VLOOKUP(A39,[6]HISTOBQUEMARS25!$A$6:$H$48,5,0)</f>
        <v>130000</v>
      </c>
      <c r="E39" s="91">
        <f>VLOOKUP(A39,[6]HISTOBQUEMARS25!$A$6:$H$43,4,0)</f>
        <v>0</v>
      </c>
      <c r="F39" s="91">
        <f>VLOOKUP(A39,[6]HISTOBQUEMARS25!$A$6:$H$43,6,0)</f>
        <v>0</v>
      </c>
      <c r="G39" s="91">
        <v>5000</v>
      </c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IFERROR(VLOOKUP(A39,[7]TONTMARS25!$A$6:$R$41,12,0),0)</f>
        <v>0</v>
      </c>
      <c r="Q39" s="2">
        <f>IFERROR(VLOOKUP(A39,[8]TONTMARS25!$A$6:$R$41,10,0),0)</f>
        <v>0</v>
      </c>
      <c r="R39" s="2">
        <f>IFERROR(VLOOKUP(A39,[9]TONTMARS25!$A$6:$R$42,10,0),0)</f>
        <v>0</v>
      </c>
      <c r="S39" s="20"/>
      <c r="T39" s="12"/>
      <c r="U39" s="17">
        <f t="shared" si="9"/>
        <v>130000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30000</v>
      </c>
      <c r="AT39" s="15"/>
      <c r="AV39" s="15"/>
      <c r="AW39" s="15">
        <f t="shared" si="11"/>
        <v>0</v>
      </c>
      <c r="AX39" s="15">
        <f t="shared" si="12"/>
        <v>0</v>
      </c>
      <c r="AY39" s="15">
        <f t="shared" si="13"/>
        <v>0</v>
      </c>
      <c r="AZ39" s="16">
        <f t="shared" si="14"/>
        <v>0</v>
      </c>
      <c r="BA39" s="58"/>
      <c r="BB39" s="58"/>
      <c r="BC39" s="15">
        <f t="shared" si="18"/>
        <v>0</v>
      </c>
      <c r="BD39" s="57">
        <f t="shared" si="15"/>
        <v>0</v>
      </c>
      <c r="BE39" s="82"/>
      <c r="BF39" s="29">
        <f t="shared" si="6"/>
        <v>0</v>
      </c>
      <c r="BG39" s="29">
        <v>9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VLOOKUP(A40,[6]HISTOBQUEMARS25!$A$6:$H$48,5,0)</f>
        <v>50000</v>
      </c>
      <c r="E40" s="91">
        <f>VLOOKUP(A40,[6]HISTOBQUEMARS25!$A$6:$H$43,4,0)</f>
        <v>0</v>
      </c>
      <c r="F40" s="91">
        <f>VLOOKUP(A40,[6]HISTOBQUEMARS25!$A$6:$H$43,6,0)</f>
        <v>0</v>
      </c>
      <c r="G40" s="91"/>
      <c r="H40" s="5">
        <f t="shared" si="16"/>
        <v>0</v>
      </c>
      <c r="I40" s="10" t="str">
        <f t="shared" si="0"/>
        <v>BANQUE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IFERROR(VLOOKUP(A40,[7]TONTMARS25!$A$6:$R$41,12,0),0)</f>
        <v>0</v>
      </c>
      <c r="Q40" s="2">
        <f>IFERROR(VLOOKUP(A40,[8]TONTMARS25!$A$6:$R$41,10,0),0)</f>
        <v>0</v>
      </c>
      <c r="R40" s="2">
        <f>IFERROR(VLOOKUP(A40,[9]TONTMARS25!$A$6:$R$42,10,0),0)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9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VLOOKUP(A41,[6]HISTOBQUEMARS25!$A$6:$H$48,5,0)</f>
        <v>0</v>
      </c>
      <c r="E41" s="91">
        <f>VLOOKUP(A41,[6]HISTOBQUEMARS25!$A$6:$H$43,4,0)</f>
        <v>253000</v>
      </c>
      <c r="F41" s="91">
        <f>VLOOKUP(A41,[6]HISTOBQUEMARS25!$A$6:$H$43,6,0)</f>
        <v>0</v>
      </c>
      <c r="G41" s="91"/>
      <c r="H41" s="5">
        <f t="shared" si="16"/>
        <v>3000</v>
      </c>
      <c r="I41" s="10" t="str">
        <f t="shared" si="0"/>
        <v>ESPECES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IFERROR(VLOOKUP(A41,[7]TONTMARS25!$A$6:$R$41,12,0),0)</f>
        <v>0</v>
      </c>
      <c r="Q41" s="2">
        <f>IFERROR(VLOOKUP(A41,[8]TONTMARS25!$A$6:$R$41,10,0),0)</f>
        <v>0</v>
      </c>
      <c r="R41" s="2">
        <f>IFERROR(VLOOKUP(A41,[9]TONTMARS25!$A$6:$R$42,10,0),0)</f>
        <v>0</v>
      </c>
      <c r="S41" s="6"/>
      <c r="T41" s="12"/>
      <c r="U41" s="17">
        <f t="shared" si="9"/>
        <v>253000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18"/>
        <v>0</v>
      </c>
      <c r="BD41" s="57">
        <f t="shared" si="15"/>
        <v>0</v>
      </c>
      <c r="BE41" s="82"/>
      <c r="BF41" s="29">
        <f t="shared" si="6"/>
        <v>0</v>
      </c>
      <c r="BG41" s="29">
        <v>9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VLOOKUP(A42,[6]HISTOBQUEMARS25!$A$6:$H$48,5,0)+73000</f>
        <v>725000</v>
      </c>
      <c r="E42" s="91">
        <f>VLOOKUP(A42,[6]HISTOBQUEMARS25!$A$6:$H$43,4,0)</f>
        <v>0</v>
      </c>
      <c r="F42" s="91">
        <f>VLOOKUP(A42,[6]HISTOBQUEMARS25!$A$6:$H$43,6,0)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IFERROR(VLOOKUP(A42,[7]TONTMARS25!$A$6:$R$41,12,0),0)</f>
        <v>0</v>
      </c>
      <c r="Q42" s="2">
        <f>IFERROR(VLOOKUP(A42,[8]TONTMARS25!$A$6:$R$41,10,0),0)</f>
        <v>0</v>
      </c>
      <c r="R42" s="2">
        <f>IFERROR(VLOOKUP(A42,[9]TONTMARS25!$A$6:$R$42,10,0),0)</f>
        <v>0</v>
      </c>
      <c r="S42" s="6">
        <v>500000</v>
      </c>
      <c r="T42" s="12" t="s">
        <v>8</v>
      </c>
      <c r="U42" s="17">
        <f t="shared" si="9"/>
        <v>725000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9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-4483500</v>
      </c>
      <c r="D44" s="5">
        <f>SUM(D6:D43)</f>
        <v>7358000</v>
      </c>
      <c r="E44" s="5">
        <f>SUM(E6:E43)+30000</f>
        <v>636000</v>
      </c>
      <c r="F44" s="5">
        <f>SUM(F6:F43)</f>
        <v>0</v>
      </c>
      <c r="G44" s="5">
        <f t="shared" ref="G44:S44" si="19">SUM(G6:G43)</f>
        <v>76500</v>
      </c>
      <c r="H44" s="5">
        <f t="shared" si="19"/>
        <v>9000</v>
      </c>
      <c r="I44" s="5">
        <f t="shared" si="19"/>
        <v>0</v>
      </c>
      <c r="J44" s="5">
        <f t="shared" si="19"/>
        <v>35</v>
      </c>
      <c r="K44" s="5">
        <f t="shared" si="19"/>
        <v>1750000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2400000</v>
      </c>
      <c r="P44" s="5">
        <f t="shared" si="19"/>
        <v>124000</v>
      </c>
      <c r="Q44" s="5">
        <f t="shared" si="19"/>
        <v>208500</v>
      </c>
      <c r="R44" s="5">
        <f t="shared" si="19"/>
        <v>719500</v>
      </c>
      <c r="S44" s="5">
        <f t="shared" si="19"/>
        <v>6185000</v>
      </c>
      <c r="T44" s="5"/>
      <c r="U44" s="5">
        <f t="shared" ref="U44:AA44" si="20">SUM(U6:U43)</f>
        <v>12447500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5125000</v>
      </c>
      <c r="Z44" s="5">
        <f t="shared" si="20"/>
        <v>4650000</v>
      </c>
      <c r="AA44" s="5">
        <f t="shared" si="20"/>
        <v>0</v>
      </c>
      <c r="AB44" s="5"/>
      <c r="AC44" s="5">
        <f>SUM(AC6:AC43)</f>
        <v>21000</v>
      </c>
      <c r="AD44" s="5">
        <f>SUM(AD6:AD43)</f>
        <v>7500</v>
      </c>
      <c r="AE44" s="5">
        <f>SUM(AE6:AE43)</f>
        <v>65000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120000</v>
      </c>
      <c r="AJ44" s="5">
        <f t="shared" si="21"/>
        <v>291125</v>
      </c>
      <c r="AK44" s="5">
        <f t="shared" si="21"/>
        <v>905500</v>
      </c>
      <c r="AL44" s="5">
        <f t="shared" si="21"/>
        <v>5000</v>
      </c>
      <c r="AM44" s="5">
        <f t="shared" si="21"/>
        <v>6000</v>
      </c>
      <c r="AN44" s="5">
        <f t="shared" si="21"/>
        <v>11000</v>
      </c>
      <c r="AO44" s="5">
        <f t="shared" si="21"/>
        <v>0</v>
      </c>
      <c r="AP44" s="5">
        <f t="shared" si="21"/>
        <v>0</v>
      </c>
      <c r="AQ44" s="5">
        <f t="shared" si="21"/>
        <v>0</v>
      </c>
      <c r="AR44" s="5">
        <f t="shared" si="21"/>
        <v>0</v>
      </c>
      <c r="AS44" s="5">
        <f t="shared" si="21"/>
        <v>951500</v>
      </c>
      <c r="AT44" s="5">
        <f t="shared" si="21"/>
        <v>0</v>
      </c>
      <c r="AU44" s="5">
        <f t="shared" si="21"/>
        <v>0</v>
      </c>
      <c r="AV44" s="5">
        <f t="shared" si="21"/>
        <v>600000</v>
      </c>
      <c r="AW44" s="5">
        <f t="shared" si="21"/>
        <v>999000</v>
      </c>
      <c r="AX44" s="5">
        <f t="shared" si="21"/>
        <v>1183625</v>
      </c>
      <c r="AY44" s="5">
        <f t="shared" si="21"/>
        <v>3240500</v>
      </c>
      <c r="AZ44" s="5">
        <f t="shared" si="21"/>
        <v>10656625</v>
      </c>
      <c r="BA44" s="5">
        <f t="shared" si="21"/>
        <v>636000</v>
      </c>
      <c r="BB44" s="5">
        <f t="shared" si="21"/>
        <v>0</v>
      </c>
      <c r="BC44" s="5">
        <f t="shared" si="21"/>
        <v>0</v>
      </c>
      <c r="BD44" s="5">
        <f t="shared" si="21"/>
        <v>5183125</v>
      </c>
      <c r="BE44" s="5">
        <f t="shared" si="21"/>
        <v>0</v>
      </c>
      <c r="BF44" s="5">
        <f t="shared" si="21"/>
        <v>498500</v>
      </c>
      <c r="BH44" s="5">
        <f t="shared" ref="BH44:BL44" si="22">SUM(BH6:BH43)</f>
        <v>52000</v>
      </c>
      <c r="BI44" s="5">
        <f t="shared" si="22"/>
        <v>0</v>
      </c>
      <c r="BJ44" s="5">
        <f t="shared" si="22"/>
        <v>300000</v>
      </c>
      <c r="BK44" s="5">
        <f t="shared" si="22"/>
        <v>100000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636000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5"/>
      <c r="E47" s="95"/>
      <c r="F47" s="95"/>
      <c r="G47" s="3" t="s">
        <v>9</v>
      </c>
      <c r="H47" s="95"/>
      <c r="I47" s="95"/>
      <c r="Z47" s="12"/>
      <c r="AI47" s="5"/>
      <c r="AV47" s="3"/>
      <c r="AW47" s="95"/>
      <c r="AX47" s="15"/>
      <c r="AY47" s="15"/>
      <c r="AZ47" s="16"/>
      <c r="BA47" s="14">
        <f>+BA46-BA44</f>
        <v>0</v>
      </c>
      <c r="BD47" s="14">
        <f>+BD46-BD44</f>
        <v>-5183125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5183125</v>
      </c>
      <c r="D50" s="9">
        <f>+D44</f>
        <v>7358000</v>
      </c>
      <c r="E50" s="9">
        <f>+C50-D50</f>
        <v>-2174875</v>
      </c>
      <c r="F50" s="9"/>
      <c r="G50" s="9">
        <f>E44</f>
        <v>636000</v>
      </c>
      <c r="H50" s="14">
        <f>+BA44</f>
        <v>636000</v>
      </c>
      <c r="I50" s="88">
        <f>+G50-H50</f>
        <v>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20961250</v>
      </c>
    </row>
  </sheetData>
  <autoFilter ref="A5:AF42" xr:uid="{00000000-0009-0000-0000-000004000000}"/>
  <mergeCells count="1">
    <mergeCell ref="B4:M4"/>
  </mergeCells>
  <dataValidations count="4">
    <dataValidation type="list" showInputMessage="1" showErrorMessage="1" sqref="AP42" xr:uid="{E3F5D020-362E-4D3E-8A1C-7D036F30D0F5}">
      <formula1>"BANQUE,ESPECES, "</formula1>
    </dataValidation>
    <dataValidation type="list" allowBlank="1" showInputMessage="1" showErrorMessage="1" sqref="AF42" xr:uid="{427F3637-61C5-44C8-8C4B-D363CC18D1EA}">
      <formula1>MODEVERSEMENTS</formula1>
    </dataValidation>
    <dataValidation type="list" showInputMessage="1" showErrorMessage="1" sqref="T6:T42 AF6:AF41 AP6:AP41" xr:uid="{20338B71-65AD-4523-B870-D79DA67A84E9}">
      <formula1>"BANQUE,ESPECES,EN COMPTE,AUTRES"</formula1>
    </dataValidation>
    <dataValidation type="list" showInputMessage="1" showErrorMessage="1" sqref="AA6:AA42" xr:uid="{164E17DD-2B2A-4E78-BBA4-1FC2DE935ED5}">
      <formula1>"BANQUE,ESPECES, 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EC56-7880-43BB-AA87-580F917FAB0B}">
  <dimension ref="A1:BQ88"/>
  <sheetViews>
    <sheetView zoomScale="87" zoomScaleNormal="87" workbookViewId="0">
      <pane xSplit="4" ySplit="5" topLeftCell="BN9" activePane="bottomRight" state="frozen"/>
      <selection pane="topRight" activeCell="E1" sqref="E1"/>
      <selection pane="bottomLeft" activeCell="A6" sqref="A6"/>
      <selection pane="bottomRight" activeCell="G38" sqref="G3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VLOOKUP($A6,[6]HISTOBQUEAVRIL25!$A$6:$H$48,5,0)</f>
        <v>250000</v>
      </c>
      <c r="E6" s="91">
        <f>VLOOKUP($A6,[6]HISTOBQUEAVRIL25!$A$6:$H$48,4,0)</f>
        <v>0</v>
      </c>
      <c r="F6" s="91">
        <f>VLOOKUP($A6,[6]HISTOBQUEAVRIL25!$A$6:$H$48,6,0)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IFERROR(VLOOKUP(A6,[7]TONTAVRIL25!$A$6:$R$41,12,0),0)</f>
        <v>0</v>
      </c>
      <c r="Q6" s="2">
        <f>IFERROR(VLOOKUP(A6,[8]TONTAVRIL25!$A$6:$R$38,10,0),0)</f>
        <v>0</v>
      </c>
      <c r="R6" s="2">
        <f>IFERROR(VLOOKUP(A6,[9]TONTAVRIL25!$A$6:$R$42,10,0),0)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406000</v>
      </c>
      <c r="BA6" s="58"/>
      <c r="BB6" s="58"/>
      <c r="BC6" s="15">
        <f t="shared" ref="BC6:BC17" si="5">F6</f>
        <v>0</v>
      </c>
      <c r="BD6" s="57">
        <f>IF(AZ6=0,(AZ6-BA6-BC6),(AZ6-BA6-BB6-BC6))</f>
        <v>406000</v>
      </c>
      <c r="BE6" s="82" t="s">
        <v>276</v>
      </c>
      <c r="BF6" s="29">
        <f t="shared" ref="BF6:BF42" si="6">Z6*1/100*BG6</f>
        <v>0</v>
      </c>
      <c r="BG6" s="29">
        <v>8</v>
      </c>
      <c r="BH6" s="15">
        <f>BQ17</f>
        <v>6000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400000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VLOOKUP($A7,[6]HISTOBQUEAVRIL25!$A$6:$H$48,5,0)</f>
        <v>0</v>
      </c>
      <c r="E7" s="91">
        <f>VLOOKUP($A7,[6]HISTOBQUEAVRIL25!$A$6:$H$48,4,0)</f>
        <v>0</v>
      </c>
      <c r="F7" s="91">
        <f>VLOOKUP($A7,[6]HISTOBQUEAVRIL25!$A$6:$H$48,6,0)</f>
        <v>0</v>
      </c>
      <c r="G7" s="91"/>
      <c r="H7" s="5">
        <f t="shared" ref="H7:H42" si="8">IF(I7="ESPECES",3000,0)</f>
        <v>0</v>
      </c>
      <c r="I7" s="10" t="str">
        <f t="shared" si="0"/>
        <v>ECHEC</v>
      </c>
      <c r="J7" s="11">
        <v>1</v>
      </c>
      <c r="K7" s="11">
        <f t="shared" ref="K7:K42" si="9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IFERROR(VLOOKUP(A7,[7]TONTAVRIL25!$A$6:$R$41,12,0),0)</f>
        <v>0</v>
      </c>
      <c r="Q7" s="2">
        <f>IFERROR(VLOOKUP(A7,[8]TONTAVRIL25!$A$6:$R$38,10,0),0)</f>
        <v>0</v>
      </c>
      <c r="R7" s="2">
        <f>IFERROR(VLOOKUP(A7,[9]TONTAVRIL25!$A$6:$R$42,10,0),0)</f>
        <v>0</v>
      </c>
      <c r="S7" s="20"/>
      <c r="T7" s="12"/>
      <c r="U7" s="17">
        <f t="shared" ref="U7:U42" si="10">G7+H7+S7+R7+P7+O7+M7+K7+Q7+V7+W7</f>
        <v>0</v>
      </c>
      <c r="V7" s="12"/>
      <c r="W7" s="12"/>
      <c r="X7" s="12"/>
      <c r="Y7" s="92">
        <f t="shared" ref="Y7:Y42" si="11">K7+M7+O7</f>
        <v>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0</v>
      </c>
      <c r="AT7" s="15"/>
      <c r="AV7" s="15"/>
      <c r="AW7" s="15">
        <f t="shared" ref="AW7:AW42" si="12">IF(AC7=0,AI7,(1*25000*12)+AI7-AC7)</f>
        <v>0</v>
      </c>
      <c r="AX7" s="15">
        <f t="shared" ref="AX7:AX42" si="13">IF(AD7=0,AJ7,(1*75000*12)+(AJ7)-AD7)</f>
        <v>0</v>
      </c>
      <c r="AY7" s="15">
        <f t="shared" ref="AY7:AY42" si="14">IF(AE7=0,AK7,(1*100000*12)+(AK7)-AE7)</f>
        <v>0</v>
      </c>
      <c r="AZ7" s="16">
        <f t="shared" ref="AZ7:AZ42" si="15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6">IF(AZ7=0,(AZ7-BA7-BC7),(AZ7-BA7-BB7-BC7))</f>
        <v>0</v>
      </c>
      <c r="BE7" s="82"/>
      <c r="BF7" s="29">
        <f t="shared" si="6"/>
        <v>0</v>
      </c>
      <c r="BG7" s="29">
        <v>8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VLOOKUP($A8,[6]HISTOBQUEAVRIL25!$A$6:$H$48,5,0)</f>
        <v>125000</v>
      </c>
      <c r="E8" s="91">
        <f>VLOOKUP($A8,[6]HISTOBQUEAVRIL25!$A$6:$H$48,4,0)</f>
        <v>0</v>
      </c>
      <c r="F8" s="91">
        <f>VLOOKUP($A8,[6]HISTOBQUEAVRIL25!$A$6:$H$48,6,0)</f>
        <v>0</v>
      </c>
      <c r="G8" s="91"/>
      <c r="H8" s="5">
        <f t="shared" si="8"/>
        <v>0</v>
      </c>
      <c r="I8" s="10" t="str">
        <f t="shared" si="0"/>
        <v>BANQUE</v>
      </c>
      <c r="J8" s="11">
        <v>1</v>
      </c>
      <c r="K8" s="11">
        <f t="shared" si="9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IFERROR(VLOOKUP(A8,[7]TONTAVRIL25!$A$6:$R$41,12,0),0)</f>
        <v>0</v>
      </c>
      <c r="Q8" s="2">
        <f>IFERROR(VLOOKUP(A8,[8]TONTAVRIL25!$A$6:$R$38,10,0),0)</f>
        <v>0</v>
      </c>
      <c r="R8" s="2">
        <f>IFERROR(VLOOKUP(A8,[9]TONTAVRIL25!$A$6:$R$42,10,0),0)</f>
        <v>0</v>
      </c>
      <c r="S8" s="20"/>
      <c r="T8" s="12"/>
      <c r="U8" s="17">
        <f t="shared" si="10"/>
        <v>125000</v>
      </c>
      <c r="V8" s="12"/>
      <c r="W8" s="12"/>
      <c r="X8" s="12"/>
      <c r="Y8" s="92">
        <f t="shared" si="11"/>
        <v>125000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2"/>
        <v>0</v>
      </c>
      <c r="AX8" s="15">
        <f t="shared" si="13"/>
        <v>0</v>
      </c>
      <c r="AY8" s="15">
        <f t="shared" si="14"/>
        <v>0</v>
      </c>
      <c r="AZ8" s="16">
        <f t="shared" si="15"/>
        <v>0</v>
      </c>
      <c r="BA8" s="58"/>
      <c r="BB8" s="58"/>
      <c r="BC8" s="15">
        <f t="shared" si="5"/>
        <v>0</v>
      </c>
      <c r="BD8" s="57">
        <f t="shared" si="16"/>
        <v>0</v>
      </c>
      <c r="BE8" s="82"/>
      <c r="BF8" s="29">
        <f t="shared" si="6"/>
        <v>0</v>
      </c>
      <c r="BG8" s="29">
        <v>8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-205000</v>
      </c>
      <c r="D9" s="9">
        <f>VLOOKUP($A9,[6]HISTOBQUEAVRIL25!$A$6:$H$48,5,0)</f>
        <v>0</v>
      </c>
      <c r="E9" s="91">
        <f>VLOOKUP($A9,[6]HISTOBQUEAVRIL25!$A$6:$H$48,4,0)</f>
        <v>253500</v>
      </c>
      <c r="F9" s="91">
        <f>VLOOKUP($A9,[6]HISTOBQUEAVRIL25!$A$6:$H$48,6,0)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9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IFERROR(VLOOKUP(A9,[7]TONTAVRIL25!$A$6:$R$41,12,0),0)</f>
        <v>0</v>
      </c>
      <c r="Q9" s="2">
        <f>IFERROR(VLOOKUP(A9,[8]TONTAVRIL25!$A$6:$R$38,10,0),0)</f>
        <v>0</v>
      </c>
      <c r="R9" s="2">
        <f>IFERROR(VLOOKUP(A9,[9]TONTAVRIL25!$A$6:$R$42,10,0),0)</f>
        <v>203500</v>
      </c>
      <c r="S9" s="20"/>
      <c r="T9" s="12"/>
      <c r="U9" s="17">
        <f t="shared" si="10"/>
        <v>458500</v>
      </c>
      <c r="V9" s="12">
        <v>5000</v>
      </c>
      <c r="W9" s="12"/>
      <c r="X9" s="12"/>
      <c r="Y9" s="92">
        <f t="shared" si="11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2"/>
        <v>0</v>
      </c>
      <c r="AX9" s="15">
        <f t="shared" si="13"/>
        <v>0</v>
      </c>
      <c r="AY9" s="15">
        <f t="shared" si="14"/>
        <v>200000</v>
      </c>
      <c r="AZ9" s="16">
        <f t="shared" si="15"/>
        <v>200000</v>
      </c>
      <c r="BA9" s="58"/>
      <c r="BB9" s="58"/>
      <c r="BC9" s="15">
        <f t="shared" si="5"/>
        <v>0</v>
      </c>
      <c r="BD9" s="57">
        <f t="shared" si="16"/>
        <v>200000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-42000</v>
      </c>
      <c r="D10" s="9">
        <f>VLOOKUP($A10,[6]HISTOBQUEAVRIL25!$A$6:$H$48,5,0)</f>
        <v>50000</v>
      </c>
      <c r="E10" s="91">
        <f>VLOOKUP($A10,[6]HISTOBQUEAVRIL25!$A$6:$H$48,4,0)</f>
        <v>0</v>
      </c>
      <c r="F10" s="91">
        <f>VLOOKUP($A10,[6]HISTOBQUEAVRIL25!$A$6:$H$48,6,0)</f>
        <v>0</v>
      </c>
      <c r="G10" s="91"/>
      <c r="H10" s="5">
        <f t="shared" si="8"/>
        <v>0</v>
      </c>
      <c r="I10" s="10" t="str">
        <f t="shared" si="0"/>
        <v>BANQUE</v>
      </c>
      <c r="J10" s="11">
        <v>1</v>
      </c>
      <c r="K10" s="11">
        <f t="shared" si="9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IFERROR(VLOOKUP(A10,[7]TONTAVRIL25!$A$6:$R$41,12,0),0)</f>
        <v>42000</v>
      </c>
      <c r="Q10" s="2">
        <f>IFERROR(VLOOKUP(A10,[8]TONTAVRIL25!$A$6:$R$38,10,0),0)</f>
        <v>0</v>
      </c>
      <c r="R10" s="2">
        <f>IFERROR(VLOOKUP(A10,[9]TONTAVRIL25!$A$6:$R$42,10,0),0)</f>
        <v>0</v>
      </c>
      <c r="S10" s="20"/>
      <c r="T10" s="12"/>
      <c r="U10" s="17">
        <f t="shared" si="10"/>
        <v>92000</v>
      </c>
      <c r="V10" s="12"/>
      <c r="W10" s="12"/>
      <c r="X10" s="12"/>
      <c r="Y10" s="92">
        <f t="shared" si="11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30000</v>
      </c>
      <c r="AJ10" s="12"/>
      <c r="AK10" s="12"/>
      <c r="AL10" s="12">
        <v>2500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2"/>
        <v>30000</v>
      </c>
      <c r="AX10" s="15">
        <f t="shared" si="13"/>
        <v>0</v>
      </c>
      <c r="AY10" s="15">
        <f t="shared" si="14"/>
        <v>0</v>
      </c>
      <c r="AZ10" s="16">
        <f t="shared" si="15"/>
        <v>30000</v>
      </c>
      <c r="BA10" s="58"/>
      <c r="BB10" s="58"/>
      <c r="BC10" s="15">
        <f t="shared" si="5"/>
        <v>0</v>
      </c>
      <c r="BD10" s="57">
        <f t="shared" si="16"/>
        <v>30000</v>
      </c>
      <c r="BE10" s="82"/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VLOOKUP($A11,[6]HISTOBQUEAVRIL25!$A$6:$H$48,5,0)</f>
        <v>50000</v>
      </c>
      <c r="E11" s="91">
        <f>VLOOKUP($A11,[6]HISTOBQUEAVRIL25!$A$6:$H$48,4,0)</f>
        <v>100000</v>
      </c>
      <c r="F11" s="91">
        <f>VLOOKUP($A11,[6]HISTOBQUEAVRIL25!$A$6:$H$48,6,0)</f>
        <v>0</v>
      </c>
      <c r="G11" s="91"/>
      <c r="H11" s="5">
        <f t="shared" si="8"/>
        <v>0</v>
      </c>
      <c r="I11" s="10" t="str">
        <f t="shared" si="0"/>
        <v>BANQUE</v>
      </c>
      <c r="J11" s="11">
        <v>1</v>
      </c>
      <c r="K11" s="11">
        <f t="shared" si="9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IFERROR(VLOOKUP(A11,[7]TONTAVRIL25!$A$6:$R$41,12,0),0)</f>
        <v>0</v>
      </c>
      <c r="Q11" s="2">
        <f>IFERROR(VLOOKUP(A11,[8]TONTAVRIL25!$A$6:$R$38,10,0),0)</f>
        <v>0</v>
      </c>
      <c r="R11" s="2">
        <f>IFERROR(VLOOKUP(A11,[9]TONTAVRIL25!$A$6:$R$42,10,0),0)</f>
        <v>0</v>
      </c>
      <c r="S11" s="20"/>
      <c r="T11" s="12"/>
      <c r="U11" s="17">
        <f t="shared" si="10"/>
        <v>150000</v>
      </c>
      <c r="V11" s="12"/>
      <c r="W11" s="12"/>
      <c r="X11" s="12"/>
      <c r="Y11" s="92">
        <f t="shared" si="11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2"/>
        <v>0</v>
      </c>
      <c r="AX11" s="15">
        <f t="shared" si="13"/>
        <v>0</v>
      </c>
      <c r="AY11" s="15">
        <f t="shared" si="14"/>
        <v>0</v>
      </c>
      <c r="AZ11" s="16">
        <f t="shared" si="15"/>
        <v>0</v>
      </c>
      <c r="BA11" s="58"/>
      <c r="BB11" s="58"/>
      <c r="BC11" s="15">
        <f t="shared" si="5"/>
        <v>0</v>
      </c>
      <c r="BD11" s="57">
        <f t="shared" si="16"/>
        <v>0</v>
      </c>
      <c r="BE11" s="82"/>
      <c r="BF11" s="29">
        <f t="shared" si="6"/>
        <v>0</v>
      </c>
      <c r="BG11" s="29">
        <v>8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VLOOKUP($A12,[6]HISTOBQUEAVRIL25!$A$6:$H$48,5,0)</f>
        <v>260000</v>
      </c>
      <c r="E12" s="91">
        <f>VLOOKUP($A12,[6]HISTOBQUEAVRIL25!$A$6:$H$48,4,0)</f>
        <v>0</v>
      </c>
      <c r="F12" s="91">
        <f>VLOOKUP($A12,[6]HISTOBQUEAVRIL25!$A$6:$H$48,6,0)</f>
        <v>0</v>
      </c>
      <c r="G12" s="91">
        <v>10000</v>
      </c>
      <c r="H12" s="5">
        <f t="shared" si="8"/>
        <v>0</v>
      </c>
      <c r="I12" s="10" t="str">
        <f t="shared" si="0"/>
        <v>BANQUE</v>
      </c>
      <c r="J12" s="11">
        <v>1</v>
      </c>
      <c r="K12" s="11">
        <f t="shared" si="9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IFERROR(VLOOKUP(A12,[7]TONTAVRIL25!$A$6:$R$41,12,0),0)</f>
        <v>0</v>
      </c>
      <c r="Q12" s="2">
        <f>IFERROR(VLOOKUP(A12,[8]TONTAVRIL25!$A$6:$R$38,10,0),0)</f>
        <v>0</v>
      </c>
      <c r="R12" s="2">
        <f>IFERROR(VLOOKUP(A12,[9]TONTAVRIL25!$A$6:$R$42,10,0),0)</f>
        <v>0</v>
      </c>
      <c r="S12" s="20"/>
      <c r="T12" s="12"/>
      <c r="U12" s="17">
        <f t="shared" si="10"/>
        <v>260000</v>
      </c>
      <c r="V12" s="12"/>
      <c r="W12" s="12"/>
      <c r="X12" s="12"/>
      <c r="Y12" s="92">
        <f t="shared" si="11"/>
        <v>250000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7"/>
        <v>35000</v>
      </c>
      <c r="AT12" s="15"/>
      <c r="AV12" s="15"/>
      <c r="AW12" s="15">
        <f t="shared" si="12"/>
        <v>0</v>
      </c>
      <c r="AX12" s="15">
        <f t="shared" si="13"/>
        <v>0</v>
      </c>
      <c r="AY12" s="15">
        <f t="shared" si="14"/>
        <v>0</v>
      </c>
      <c r="AZ12" s="16">
        <f t="shared" si="15"/>
        <v>0</v>
      </c>
      <c r="BA12" s="58"/>
      <c r="BB12" s="58"/>
      <c r="BC12" s="15">
        <f t="shared" si="5"/>
        <v>0</v>
      </c>
      <c r="BD12" s="57">
        <f t="shared" si="16"/>
        <v>0</v>
      </c>
      <c r="BE12" s="82"/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VLOOKUP($A13,[6]HISTOBQUEAVRIL25!$A$6:$H$48,5,0)</f>
        <v>50000</v>
      </c>
      <c r="E13" s="91">
        <f>VLOOKUP($A13,[6]HISTOBQUEAVRIL25!$A$6:$H$48,4,0)</f>
        <v>0</v>
      </c>
      <c r="F13" s="91">
        <f>VLOOKUP($A13,[6]HISTOBQUEAVRIL25!$A$6:$H$48,6,0)</f>
        <v>0</v>
      </c>
      <c r="G13" s="91"/>
      <c r="H13" s="5">
        <f t="shared" si="8"/>
        <v>0</v>
      </c>
      <c r="I13" s="10" t="str">
        <f t="shared" si="0"/>
        <v>BANQUE</v>
      </c>
      <c r="J13" s="11">
        <v>1</v>
      </c>
      <c r="K13" s="11">
        <f t="shared" si="9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IFERROR(VLOOKUP(A13,[7]TONTAVRIL25!$A$6:$R$41,12,0),0)</f>
        <v>0</v>
      </c>
      <c r="Q13" s="2">
        <f>IFERROR(VLOOKUP(A13,[8]TONTAVRIL25!$A$6:$R$38,10,0),0)</f>
        <v>0</v>
      </c>
      <c r="R13" s="2">
        <f>IFERROR(VLOOKUP(A13,[9]TONTAVRIL25!$A$6:$R$42,10,0),0)</f>
        <v>0</v>
      </c>
      <c r="S13" s="20"/>
      <c r="T13" s="12"/>
      <c r="U13" s="17">
        <f t="shared" si="10"/>
        <v>50000</v>
      </c>
      <c r="V13" s="12"/>
      <c r="W13" s="12"/>
      <c r="X13" s="12"/>
      <c r="Y13" s="92">
        <f t="shared" si="11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2"/>
        <v>0</v>
      </c>
      <c r="AX13" s="15">
        <f t="shared" si="13"/>
        <v>0</v>
      </c>
      <c r="AY13" s="15">
        <f t="shared" si="14"/>
        <v>0</v>
      </c>
      <c r="AZ13" s="16">
        <f t="shared" si="15"/>
        <v>0</v>
      </c>
      <c r="BA13" s="58"/>
      <c r="BB13" s="58"/>
      <c r="BC13" s="15">
        <f t="shared" si="5"/>
        <v>0</v>
      </c>
      <c r="BD13" s="57">
        <f t="shared" si="16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VLOOKUP($A14,[6]HISTOBQUEAVRIL25!$A$6:$H$48,5,0)</f>
        <v>50000</v>
      </c>
      <c r="E14" s="91">
        <f>VLOOKUP($A14,[6]HISTOBQUEAVRIL25!$A$6:$H$48,4,0)</f>
        <v>0</v>
      </c>
      <c r="F14" s="91">
        <f>VLOOKUP($A14,[6]HISTOBQUEAVRIL25!$A$6:$H$48,6,0)</f>
        <v>0</v>
      </c>
      <c r="G14" s="91"/>
      <c r="H14" s="5">
        <f t="shared" si="8"/>
        <v>0</v>
      </c>
      <c r="I14" s="10" t="str">
        <f t="shared" si="0"/>
        <v>BANQUE</v>
      </c>
      <c r="J14" s="11">
        <v>1</v>
      </c>
      <c r="K14" s="11">
        <f t="shared" si="9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IFERROR(VLOOKUP(A14,[7]TONTAVRIL25!$A$6:$R$41,12,0),0)</f>
        <v>0</v>
      </c>
      <c r="Q14" s="2">
        <f>IFERROR(VLOOKUP(A14,[8]TONTAVRIL25!$A$6:$R$38,10,0),0)</f>
        <v>0</v>
      </c>
      <c r="R14" s="2">
        <f>IFERROR(VLOOKUP(A14,[9]TONTAVRIL25!$A$6:$R$42,10,0),0)</f>
        <v>0</v>
      </c>
      <c r="S14" s="20"/>
      <c r="T14" s="12"/>
      <c r="U14" s="17">
        <f t="shared" si="10"/>
        <v>50000</v>
      </c>
      <c r="V14" s="12"/>
      <c r="W14" s="12"/>
      <c r="X14" s="12"/>
      <c r="Y14" s="92">
        <f t="shared" si="11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2"/>
        <v>0</v>
      </c>
      <c r="AX14" s="15">
        <f t="shared" si="13"/>
        <v>0</v>
      </c>
      <c r="AY14" s="15">
        <f t="shared" si="14"/>
        <v>0</v>
      </c>
      <c r="AZ14" s="16">
        <f t="shared" si="15"/>
        <v>0</v>
      </c>
      <c r="BA14" s="58"/>
      <c r="BB14" s="58"/>
      <c r="BC14" s="15">
        <f t="shared" si="5"/>
        <v>0</v>
      </c>
      <c r="BD14" s="57">
        <f t="shared" si="16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-26000</v>
      </c>
      <c r="D15" s="9">
        <f>VLOOKUP($A15,[6]HISTOBQUEAVRIL25!$A$6:$H$48,5,0)</f>
        <v>150000</v>
      </c>
      <c r="E15" s="91">
        <f>VLOOKUP($A15,[6]HISTOBQUEAVRIL25!$A$6:$H$48,4,0)</f>
        <v>0</v>
      </c>
      <c r="F15" s="91">
        <f>VLOOKUP($A15,[6]HISTOBQUEAVRIL25!$A$6:$H$48,6,0)</f>
        <v>0</v>
      </c>
      <c r="G15" s="91"/>
      <c r="H15" s="5">
        <f t="shared" si="8"/>
        <v>0</v>
      </c>
      <c r="I15" s="10" t="str">
        <f t="shared" si="0"/>
        <v>BANQUE</v>
      </c>
      <c r="J15" s="11">
        <v>1</v>
      </c>
      <c r="K15" s="11">
        <f t="shared" si="9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IFERROR(VLOOKUP(A15,[7]TONTAVRIL25!$A$6:$R$41,12,0),0)</f>
        <v>0</v>
      </c>
      <c r="Q15" s="2">
        <f>IFERROR(VLOOKUP(A15,[8]TONTAVRIL25!$A$6:$R$38,10,0),0)</f>
        <v>0</v>
      </c>
      <c r="R15" s="2">
        <f>IFERROR(VLOOKUP(A15,[9]TONTAVRIL25!$A$6:$R$42,10,0),0)</f>
        <v>26000</v>
      </c>
      <c r="S15" s="20"/>
      <c r="T15" s="12"/>
      <c r="U15" s="17">
        <f t="shared" si="10"/>
        <v>176000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2"/>
        <v>0</v>
      </c>
      <c r="AX15" s="15">
        <f t="shared" si="13"/>
        <v>0</v>
      </c>
      <c r="AY15" s="15">
        <f t="shared" si="14"/>
        <v>0</v>
      </c>
      <c r="AZ15" s="16">
        <f t="shared" si="15"/>
        <v>0</v>
      </c>
      <c r="BA15" s="58"/>
      <c r="BB15" s="58"/>
      <c r="BC15" s="15">
        <f t="shared" si="5"/>
        <v>0</v>
      </c>
      <c r="BD15" s="57">
        <f t="shared" si="16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14">
        <f t="shared" si="7"/>
        <v>5000</v>
      </c>
      <c r="D16" s="9">
        <f>VLOOKUP($A16,[6]HISTOBQUEAVRIL25!$A$6:$H$48,5,0)</f>
        <v>125000</v>
      </c>
      <c r="E16" s="91">
        <f>VLOOKUP($A16,[6]HISTOBQUEAVRIL25!$A$6:$H$48,4,0)</f>
        <v>0</v>
      </c>
      <c r="F16" s="91">
        <f>VLOOKUP($A16,[6]HISTOBQUEAVRIL25!$A$6:$H$48,6,0)</f>
        <v>0</v>
      </c>
      <c r="G16" s="91">
        <v>-5000</v>
      </c>
      <c r="H16" s="5">
        <f t="shared" si="8"/>
        <v>0</v>
      </c>
      <c r="I16" s="10" t="str">
        <f t="shared" si="0"/>
        <v>BANQUE</v>
      </c>
      <c r="J16" s="11">
        <v>1</v>
      </c>
      <c r="K16" s="11">
        <f t="shared" si="9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IFERROR(VLOOKUP(A16,[7]TONTAVRIL25!$A$6:$R$41,12,0),0)</f>
        <v>0</v>
      </c>
      <c r="Q16" s="2">
        <f>IFERROR(VLOOKUP(A16,[8]TONTAVRIL25!$A$6:$R$38,10,0),0)</f>
        <v>0</v>
      </c>
      <c r="R16" s="2">
        <f>IFERROR(VLOOKUP(A16,[9]TONTAVRIL25!$A$6:$R$42,10,0),0)</f>
        <v>0</v>
      </c>
      <c r="S16" s="20"/>
      <c r="T16" s="12"/>
      <c r="U16" s="17">
        <f t="shared" si="10"/>
        <v>120000</v>
      </c>
      <c r="V16" s="12"/>
      <c r="W16" s="12"/>
      <c r="X16" s="12"/>
      <c r="Y16" s="92">
        <f t="shared" si="11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20000</v>
      </c>
      <c r="AT16" s="15"/>
      <c r="AV16" s="15"/>
      <c r="AW16" s="15">
        <f t="shared" si="12"/>
        <v>0</v>
      </c>
      <c r="AX16" s="15">
        <f t="shared" si="13"/>
        <v>0</v>
      </c>
      <c r="AY16" s="15">
        <f t="shared" si="14"/>
        <v>0</v>
      </c>
      <c r="AZ16" s="16">
        <f t="shared" si="15"/>
        <v>150000</v>
      </c>
      <c r="BA16" s="58"/>
      <c r="BB16" s="58"/>
      <c r="BC16" s="15">
        <f t="shared" si="5"/>
        <v>0</v>
      </c>
      <c r="BD16" s="57">
        <f>IF(AZ16=0,(AZ16-BA16-BC16),(AZ16-BA16-BB16-BC16))-150000</f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>
        <v>150000</v>
      </c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-93125</v>
      </c>
      <c r="D17" s="9">
        <f>VLOOKUP($A17,[6]HISTOBQUEAVRIL25!$A$6:$H$48,5,0)</f>
        <v>220000</v>
      </c>
      <c r="E17" s="91">
        <f>VLOOKUP($A17,[6]HISTOBQUEAVRIL25!$A$6:$H$48,4,0)</f>
        <v>0</v>
      </c>
      <c r="F17" s="91">
        <f>VLOOKUP($A17,[6]HISTOBQUEAVRIL25!$A$6:$H$48,6,0)</f>
        <v>0</v>
      </c>
      <c r="G17" s="91">
        <v>-5000</v>
      </c>
      <c r="H17" s="5">
        <f t="shared" si="8"/>
        <v>0</v>
      </c>
      <c r="I17" s="10" t="str">
        <f t="shared" si="0"/>
        <v>BANQUE</v>
      </c>
      <c r="J17" s="11">
        <v>1</v>
      </c>
      <c r="K17" s="11">
        <f t="shared" si="9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IFERROR(VLOOKUP(A17,[7]TONTAVRIL25!$A$6:$R$41,12,0),0)</f>
        <v>0</v>
      </c>
      <c r="Q17" s="2">
        <f>IFERROR(VLOOKUP(A17,[8]TONTAVRIL25!$A$6:$R$38,10,0),0)</f>
        <v>93125</v>
      </c>
      <c r="R17" s="2">
        <f>IFERROR(VLOOKUP(A17,[9]TONTAVRIL25!$A$6:$R$42,10,0),0)</f>
        <v>0</v>
      </c>
      <c r="S17" s="20"/>
      <c r="T17" s="12"/>
      <c r="U17" s="17">
        <f t="shared" si="10"/>
        <v>313125</v>
      </c>
      <c r="V17" s="12"/>
      <c r="W17" s="12"/>
      <c r="X17" s="12"/>
      <c r="Y17" s="92">
        <f t="shared" si="11"/>
        <v>225000</v>
      </c>
      <c r="Z17" s="12"/>
      <c r="AA17" s="12"/>
      <c r="AB17" s="12"/>
      <c r="AC17" s="12"/>
      <c r="AD17" s="12"/>
      <c r="AE17" s="12">
        <v>30000</v>
      </c>
      <c r="AF17" s="12" t="s">
        <v>8</v>
      </c>
      <c r="AG17" s="12"/>
      <c r="AH17" s="12"/>
      <c r="AI17" s="12"/>
      <c r="AJ17" s="12">
        <v>50000</v>
      </c>
      <c r="AK17" s="12">
        <v>100000</v>
      </c>
      <c r="AL17" s="12"/>
      <c r="AM17" s="12">
        <v>1000</v>
      </c>
      <c r="AN17" s="12">
        <v>1000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20000</v>
      </c>
      <c r="AT17" s="15"/>
      <c r="AV17" s="15"/>
      <c r="AW17" s="15">
        <f t="shared" si="12"/>
        <v>0</v>
      </c>
      <c r="AX17" s="15">
        <f t="shared" si="13"/>
        <v>50000</v>
      </c>
      <c r="AY17" s="15">
        <f t="shared" si="14"/>
        <v>1270000</v>
      </c>
      <c r="AZ17" s="16">
        <f t="shared" si="15"/>
        <v>1320000</v>
      </c>
      <c r="BA17" s="58"/>
      <c r="BB17" s="58"/>
      <c r="BC17" s="15">
        <f t="shared" si="5"/>
        <v>0</v>
      </c>
      <c r="BD17" s="57">
        <f t="shared" si="16"/>
        <v>1320000</v>
      </c>
      <c r="BE17" s="82" t="s">
        <v>186</v>
      </c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O17" s="62" t="s">
        <v>142</v>
      </c>
      <c r="BQ17" s="62">
        <f>SUM(BQ6:BQ16)</f>
        <v>6000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VLOOKUP($A18,[6]HISTOBQUEAVRIL25!$A$6:$H$48,5,0)</f>
        <v>150000</v>
      </c>
      <c r="E18" s="91">
        <f>VLOOKUP($A18,[6]HISTOBQUEAVRIL25!$A$6:$H$48,4,0)</f>
        <v>0</v>
      </c>
      <c r="F18" s="91">
        <f>VLOOKUP($A18,[6]HISTOBQUEAVRIL25!$A$6:$H$48,6,0)</f>
        <v>0</v>
      </c>
      <c r="G18" s="91"/>
      <c r="H18" s="5">
        <f t="shared" si="8"/>
        <v>0</v>
      </c>
      <c r="I18" s="10" t="str">
        <f t="shared" si="0"/>
        <v>BANQUE</v>
      </c>
      <c r="J18" s="11">
        <v>1</v>
      </c>
      <c r="K18" s="11">
        <f t="shared" si="9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IFERROR(VLOOKUP(A18,[7]TONTAVRIL25!$A$6:$R$41,12,0),0)</f>
        <v>0</v>
      </c>
      <c r="Q18" s="2">
        <f>IFERROR(VLOOKUP(A18,[8]TONTAVRIL25!$A$6:$R$38,10,0),0)</f>
        <v>0</v>
      </c>
      <c r="R18" s="2">
        <f>IFERROR(VLOOKUP(A18,[9]TONTAVRIL25!$A$6:$R$42,10,0),0)</f>
        <v>0</v>
      </c>
      <c r="S18" s="20"/>
      <c r="T18" s="12"/>
      <c r="U18" s="17">
        <f t="shared" si="10"/>
        <v>150000</v>
      </c>
      <c r="V18" s="12"/>
      <c r="W18" s="12"/>
      <c r="X18" s="12"/>
      <c r="Y18" s="92">
        <f t="shared" si="11"/>
        <v>150000</v>
      </c>
      <c r="Z18" s="12"/>
      <c r="AA18" s="12"/>
      <c r="AB18" s="12"/>
      <c r="AC18" s="12">
        <v>20000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2"/>
        <v>280000</v>
      </c>
      <c r="AX18" s="15">
        <f t="shared" si="13"/>
        <v>0</v>
      </c>
      <c r="AY18" s="15">
        <f t="shared" si="14"/>
        <v>0</v>
      </c>
      <c r="AZ18" s="16">
        <f t="shared" si="15"/>
        <v>280000</v>
      </c>
      <c r="BA18" s="58"/>
      <c r="BB18" s="58"/>
      <c r="BC18" s="15">
        <f>F18</f>
        <v>0</v>
      </c>
      <c r="BD18" s="57">
        <f t="shared" si="16"/>
        <v>280000</v>
      </c>
      <c r="BE18" s="82"/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-290500</v>
      </c>
      <c r="D19" s="9">
        <f>VLOOKUP($A19,[6]HISTOBQUEAVRIL25!$A$6:$H$48,5,0)</f>
        <v>150000</v>
      </c>
      <c r="E19" s="91">
        <f>VLOOKUP($A19,[6]HISTOBQUEAVRIL25!$A$6:$H$48,4,0)</f>
        <v>0</v>
      </c>
      <c r="F19" s="91">
        <f>VLOOKUP($A19,[6]HISTOBQUEAVRIL25!$A$6:$H$48,6,0)</f>
        <v>0</v>
      </c>
      <c r="G19" s="91">
        <v>8000</v>
      </c>
      <c r="H19" s="5">
        <f t="shared" si="8"/>
        <v>0</v>
      </c>
      <c r="I19" s="10" t="str">
        <f t="shared" si="0"/>
        <v>BANQUE</v>
      </c>
      <c r="J19" s="11">
        <v>1</v>
      </c>
      <c r="K19" s="11">
        <f t="shared" si="9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IFERROR(VLOOKUP(A19,[7]TONTAVRIL25!$A$6:$R$41,12,0),0)</f>
        <v>0</v>
      </c>
      <c r="Q19" s="2">
        <f>IFERROR(VLOOKUP(A19,[8]TONTAVRIL25!$A$6:$R$38,10,0),0)</f>
        <v>0</v>
      </c>
      <c r="R19" s="2">
        <f>IFERROR(VLOOKUP(A19,[9]TONTAVRIL25!$A$6:$R$42,10,0),0)</f>
        <v>207500</v>
      </c>
      <c r="S19" s="20"/>
      <c r="T19" s="12"/>
      <c r="U19" s="17">
        <f t="shared" si="10"/>
        <v>440500</v>
      </c>
      <c r="V19" s="12"/>
      <c r="W19" s="12"/>
      <c r="X19" s="12"/>
      <c r="Y19" s="92">
        <f t="shared" si="11"/>
        <v>225000</v>
      </c>
      <c r="Z19" s="12"/>
      <c r="AA19" s="12"/>
      <c r="AB19" s="12"/>
      <c r="AC19" s="12"/>
      <c r="AD19" s="12">
        <v>7500</v>
      </c>
      <c r="AE19" s="12"/>
      <c r="AF19" s="12" t="s">
        <v>8</v>
      </c>
      <c r="AG19" s="12"/>
      <c r="AH19" s="12"/>
      <c r="AI19" s="12"/>
      <c r="AJ19" s="12"/>
      <c r="AK19" s="12">
        <v>100000</v>
      </c>
      <c r="AL19" s="12"/>
      <c r="AM19" s="12"/>
      <c r="AN19" s="12">
        <v>1000</v>
      </c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33000</v>
      </c>
      <c r="AT19" s="15"/>
      <c r="AV19" s="15"/>
      <c r="AW19" s="15">
        <f t="shared" si="12"/>
        <v>0</v>
      </c>
      <c r="AX19" s="15">
        <f t="shared" si="13"/>
        <v>892500</v>
      </c>
      <c r="AY19" s="15">
        <f t="shared" si="14"/>
        <v>100000</v>
      </c>
      <c r="AZ19" s="16">
        <f t="shared" si="15"/>
        <v>992500</v>
      </c>
      <c r="BA19" s="58"/>
      <c r="BB19" s="58"/>
      <c r="BC19" s="15">
        <f t="shared" ref="BC19:BC42" si="18">F19</f>
        <v>0</v>
      </c>
      <c r="BD19" s="57">
        <f t="shared" si="16"/>
        <v>992500</v>
      </c>
      <c r="BE19" s="82" t="s">
        <v>186</v>
      </c>
      <c r="BF19" s="29">
        <f t="shared" si="6"/>
        <v>0</v>
      </c>
      <c r="BG19" s="29">
        <v>8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>
        <v>50000</v>
      </c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>
        <v>200000</v>
      </c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VLOOKUP($A21,[6]HISTOBQUEAVRIL25!$A$6:$H$48,5,0)</f>
        <v>50000</v>
      </c>
      <c r="E21" s="91">
        <f>VLOOKUP($A21,[6]HISTOBQUEAVRIL25!$A$6:$H$48,4,0)</f>
        <v>0</v>
      </c>
      <c r="F21" s="91">
        <f>VLOOKUP($A21,[6]HISTOBQUEAVRIL25!$A$6:$H$48,6,0)</f>
        <v>0</v>
      </c>
      <c r="G21" s="91"/>
      <c r="H21" s="5">
        <f t="shared" si="8"/>
        <v>0</v>
      </c>
      <c r="I21" s="10" t="str">
        <f t="shared" si="0"/>
        <v>BANQUE</v>
      </c>
      <c r="J21" s="11">
        <v>1</v>
      </c>
      <c r="K21" s="11">
        <f t="shared" si="9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IFERROR(VLOOKUP(A21,[7]TONTAVRIL25!$A$6:$R$41,12,0),0)</f>
        <v>0</v>
      </c>
      <c r="Q21" s="2">
        <f>IFERROR(VLOOKUP(A21,[8]TONTAVRIL25!$A$6:$R$38,10,0),0)</f>
        <v>0</v>
      </c>
      <c r="R21" s="2">
        <f>IFERROR(VLOOKUP(A21,[9]TONTAVRIL25!$A$6:$R$42,10,0),0)</f>
        <v>0</v>
      </c>
      <c r="S21" s="20"/>
      <c r="T21" s="12"/>
      <c r="U21" s="17">
        <f t="shared" si="10"/>
        <v>50000</v>
      </c>
      <c r="V21" s="12"/>
      <c r="W21" s="12"/>
      <c r="X21" s="12"/>
      <c r="Y21" s="92">
        <f t="shared" si="11"/>
        <v>50000</v>
      </c>
      <c r="Z21" s="12">
        <v>300000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2"/>
        <v>0</v>
      </c>
      <c r="AX21" s="15">
        <f t="shared" si="13"/>
        <v>0</v>
      </c>
      <c r="AY21" s="15">
        <f t="shared" si="14"/>
        <v>0</v>
      </c>
      <c r="AZ21" s="16">
        <f t="shared" si="15"/>
        <v>291000</v>
      </c>
      <c r="BA21" s="58"/>
      <c r="BB21" s="58"/>
      <c r="BC21" s="15">
        <f t="shared" si="18"/>
        <v>0</v>
      </c>
      <c r="BD21" s="57">
        <f t="shared" si="16"/>
        <v>291000</v>
      </c>
      <c r="BE21" s="82" t="s">
        <v>186</v>
      </c>
      <c r="BF21" s="29">
        <f t="shared" si="6"/>
        <v>9000</v>
      </c>
      <c r="BG21" s="29">
        <v>3</v>
      </c>
      <c r="BH21" s="15"/>
      <c r="BI21" s="15"/>
      <c r="BJ21" s="15"/>
      <c r="BK21" s="15"/>
      <c r="BL21" s="61"/>
      <c r="BO21" t="s">
        <v>275</v>
      </c>
      <c r="BQ21" s="6">
        <v>350000</v>
      </c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-102000</v>
      </c>
      <c r="D22" s="9">
        <f>VLOOKUP($A22,[6]HISTOBQUEAVRIL25!$A$6:$H$48,5,0)</f>
        <v>325000</v>
      </c>
      <c r="E22" s="91">
        <f>VLOOKUP($A22,[6]HISTOBQUEAVRIL25!$A$6:$H$48,4,0)</f>
        <v>202000</v>
      </c>
      <c r="F22" s="91">
        <f>VLOOKUP($A22,[6]HISTOBQUEAVRIL25!$A$6:$H$48,6,0)</f>
        <v>0</v>
      </c>
      <c r="G22" s="91"/>
      <c r="H22" s="5">
        <f t="shared" si="8"/>
        <v>0</v>
      </c>
      <c r="I22" s="10" t="str">
        <f t="shared" si="0"/>
        <v>BANQUE</v>
      </c>
      <c r="J22" s="11">
        <v>1</v>
      </c>
      <c r="K22" s="11">
        <f t="shared" si="9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IFERROR(VLOOKUP(A22,[7]TONTAVRIL25!$A$6:$R$41,12,0),0)</f>
        <v>0</v>
      </c>
      <c r="Q22" s="2">
        <f>IFERROR(VLOOKUP(A22,[8]TONTAVRIL25!$A$6:$R$38,10,0),0)</f>
        <v>102000</v>
      </c>
      <c r="R22" s="2">
        <f>IFERROR(VLOOKUP(A22,[9]TONTAVRIL25!$A$6:$R$42,10,0),0)</f>
        <v>202000</v>
      </c>
      <c r="S22" s="20"/>
      <c r="T22" s="12"/>
      <c r="U22" s="17">
        <f t="shared" si="10"/>
        <v>629000</v>
      </c>
      <c r="V22" s="12"/>
      <c r="W22" s="12"/>
      <c r="X22" s="12"/>
      <c r="Y22" s="92">
        <f t="shared" si="11"/>
        <v>325000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>
        <v>100000</v>
      </c>
      <c r="AK22" s="12">
        <v>200000</v>
      </c>
      <c r="AL22" s="12"/>
      <c r="AM22" s="12">
        <v>2000</v>
      </c>
      <c r="AN22" s="12">
        <v>2000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2"/>
        <v>0</v>
      </c>
      <c r="AX22" s="15">
        <f t="shared" si="13"/>
        <v>100000</v>
      </c>
      <c r="AY22" s="15">
        <f t="shared" si="14"/>
        <v>200000</v>
      </c>
      <c r="AZ22" s="16">
        <f t="shared" si="15"/>
        <v>300000</v>
      </c>
      <c r="BA22" s="58"/>
      <c r="BB22" s="58"/>
      <c r="BC22" s="15">
        <f t="shared" si="18"/>
        <v>0</v>
      </c>
      <c r="BD22" s="57">
        <f t="shared" si="16"/>
        <v>300000</v>
      </c>
      <c r="BE22" s="82" t="s">
        <v>186</v>
      </c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VLOOKUP($A23,[6]HISTOBQUEAVRIL25!$A$6:$H$48,5,0)</f>
        <v>50000</v>
      </c>
      <c r="E23" s="91">
        <f>VLOOKUP($A23,[6]HISTOBQUEAVRIL25!$A$6:$H$48,4,0)</f>
        <v>0</v>
      </c>
      <c r="F23" s="91">
        <f>VLOOKUP($A23,[6]HISTOBQUEAVRIL25!$A$6:$H$48,6,0)</f>
        <v>0</v>
      </c>
      <c r="G23" s="91"/>
      <c r="H23" s="5">
        <f t="shared" si="8"/>
        <v>0</v>
      </c>
      <c r="I23" s="10" t="str">
        <f t="shared" si="0"/>
        <v>BANQUE</v>
      </c>
      <c r="J23" s="11">
        <v>1</v>
      </c>
      <c r="K23" s="11">
        <f t="shared" si="9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IFERROR(VLOOKUP(A23,[7]TONTAVRIL25!$A$6:$R$41,12,0),0)</f>
        <v>0</v>
      </c>
      <c r="Q23" s="2">
        <f>IFERROR(VLOOKUP(A23,[8]TONTAVRIL25!$A$6:$R$38,10,0),0)</f>
        <v>0</v>
      </c>
      <c r="R23" s="2">
        <f>IFERROR(VLOOKUP(A23,[9]TONTAVRIL25!$A$6:$R$42,10,0),0)</f>
        <v>0</v>
      </c>
      <c r="S23" s="20"/>
      <c r="T23" s="12"/>
      <c r="U23" s="17">
        <f t="shared" si="10"/>
        <v>50000</v>
      </c>
      <c r="V23" s="12"/>
      <c r="W23" s="12"/>
      <c r="X23" s="12"/>
      <c r="Y23" s="92">
        <f t="shared" si="11"/>
        <v>50000</v>
      </c>
      <c r="Z23" s="12"/>
      <c r="AA23" s="12"/>
      <c r="AB23" s="12"/>
      <c r="AC23" s="12">
        <v>10000</v>
      </c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2"/>
        <v>290000</v>
      </c>
      <c r="AX23" s="15">
        <f t="shared" si="13"/>
        <v>0</v>
      </c>
      <c r="AY23" s="15">
        <f t="shared" si="14"/>
        <v>0</v>
      </c>
      <c r="AZ23" s="16">
        <f t="shared" si="15"/>
        <v>290000</v>
      </c>
      <c r="BA23" s="58"/>
      <c r="BB23" s="58"/>
      <c r="BC23" s="15">
        <f t="shared" si="18"/>
        <v>0</v>
      </c>
      <c r="BD23" s="57">
        <f t="shared" si="16"/>
        <v>290000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VLOOKUP($A24,[6]HISTOBQUEAVRIL25!$A$6:$H$48,5,0)</f>
        <v>125000</v>
      </c>
      <c r="E24" s="91">
        <f>VLOOKUP($A24,[6]HISTOBQUEAVRIL25!$A$6:$H$48,4,0)</f>
        <v>0</v>
      </c>
      <c r="F24" s="91">
        <f>VLOOKUP($A24,[6]HISTOBQUEAVRIL25!$A$6:$H$48,6,0)</f>
        <v>0</v>
      </c>
      <c r="G24" s="91"/>
      <c r="H24" s="5">
        <f t="shared" si="8"/>
        <v>0</v>
      </c>
      <c r="I24" s="10" t="str">
        <f t="shared" si="0"/>
        <v>BANQUE</v>
      </c>
      <c r="J24" s="11">
        <v>1</v>
      </c>
      <c r="K24" s="11">
        <f t="shared" si="9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IFERROR(VLOOKUP(A24,[7]TONTAVRIL25!$A$6:$R$41,12,0),0)</f>
        <v>0</v>
      </c>
      <c r="Q24" s="2">
        <f>IFERROR(VLOOKUP(A24,[8]TONTAVRIL25!$A$6:$R$38,10,0),0)</f>
        <v>0</v>
      </c>
      <c r="R24" s="2">
        <f>IFERROR(VLOOKUP(A24,[9]TONTAVRIL25!$A$6:$R$42,10,0),0)</f>
        <v>0</v>
      </c>
      <c r="S24" s="20"/>
      <c r="T24" s="12"/>
      <c r="U24" s="17">
        <f t="shared" si="10"/>
        <v>125000</v>
      </c>
      <c r="V24" s="12"/>
      <c r="W24" s="12"/>
      <c r="X24" s="12"/>
      <c r="Y24" s="92">
        <f t="shared" si="11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2"/>
        <v>0</v>
      </c>
      <c r="AX24" s="15">
        <f t="shared" si="13"/>
        <v>0</v>
      </c>
      <c r="AY24" s="15">
        <f t="shared" si="14"/>
        <v>0</v>
      </c>
      <c r="AZ24" s="16">
        <f t="shared" si="15"/>
        <v>0</v>
      </c>
      <c r="BA24" s="58"/>
      <c r="BB24" s="58"/>
      <c r="BC24" s="15">
        <f t="shared" si="18"/>
        <v>0</v>
      </c>
      <c r="BD24" s="57">
        <f t="shared" si="16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400000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-101000</v>
      </c>
      <c r="D25" s="9">
        <f>VLOOKUP($A25,[6]HISTOBQUEAVRIL25!$A$6:$H$48,5,0)</f>
        <v>260000</v>
      </c>
      <c r="E25" s="91">
        <f>VLOOKUP($A25,[6]HISTOBQUEAVRIL25!$A$6:$H$48,4,0)</f>
        <v>0</v>
      </c>
      <c r="F25" s="91">
        <f>VLOOKUP($A25,[6]HISTOBQUEAVRIL25!$A$6:$H$48,6,0)</f>
        <v>0</v>
      </c>
      <c r="G25" s="91">
        <v>10000</v>
      </c>
      <c r="H25" s="5">
        <f t="shared" si="8"/>
        <v>0</v>
      </c>
      <c r="I25" s="10" t="str">
        <f t="shared" si="0"/>
        <v>BANQUE</v>
      </c>
      <c r="J25" s="11">
        <v>1</v>
      </c>
      <c r="K25" s="11">
        <f t="shared" si="9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IFERROR(VLOOKUP(A25,[7]TONTAVRIL25!$A$6:$R$41,12,0),0)</f>
        <v>0</v>
      </c>
      <c r="Q25" s="2">
        <f>IFERROR(VLOOKUP(A25,[8]TONTAVRIL25!$A$6:$R$38,10,0),0)</f>
        <v>0</v>
      </c>
      <c r="R25" s="2">
        <f>IFERROR(VLOOKUP(A25,[9]TONTAVRIL25!$A$6:$R$42,10,0),0)</f>
        <v>101000</v>
      </c>
      <c r="S25" s="20"/>
      <c r="T25" s="12"/>
      <c r="U25" s="17">
        <f t="shared" si="10"/>
        <v>361000</v>
      </c>
      <c r="V25" s="12"/>
      <c r="W25" s="12"/>
      <c r="X25" s="12"/>
      <c r="Y25" s="92">
        <f t="shared" si="11"/>
        <v>250000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193000</v>
      </c>
      <c r="AL25" s="12"/>
      <c r="AM25" s="12"/>
      <c r="AN25" s="12">
        <v>2500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2"/>
        <v>0</v>
      </c>
      <c r="AX25" s="15">
        <f t="shared" si="13"/>
        <v>0</v>
      </c>
      <c r="AY25" s="15">
        <f t="shared" si="14"/>
        <v>193000</v>
      </c>
      <c r="AZ25" s="16">
        <f t="shared" si="15"/>
        <v>193000</v>
      </c>
      <c r="BA25" s="58"/>
      <c r="BB25" s="58"/>
      <c r="BC25" s="15">
        <f t="shared" si="18"/>
        <v>0</v>
      </c>
      <c r="BD25" s="57">
        <f t="shared" si="16"/>
        <v>193000</v>
      </c>
      <c r="BE25" s="82" t="s">
        <v>186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VLOOKUP($A26,[6]HISTOBQUEAVRIL25!$A$6:$H$48,5,0)</f>
        <v>240000</v>
      </c>
      <c r="E26" s="91">
        <f>VLOOKUP($A26,[6]HISTOBQUEAVRIL25!$A$6:$H$48,4,0)</f>
        <v>0</v>
      </c>
      <c r="F26" s="91">
        <f>VLOOKUP($A26,[6]HISTOBQUEAVRIL25!$A$6:$H$48,6,0)</f>
        <v>0</v>
      </c>
      <c r="G26" s="91">
        <v>15000</v>
      </c>
      <c r="H26" s="5">
        <f t="shared" si="8"/>
        <v>0</v>
      </c>
      <c r="I26" s="10" t="str">
        <f t="shared" si="0"/>
        <v>BANQUE</v>
      </c>
      <c r="J26" s="11">
        <v>1</v>
      </c>
      <c r="K26" s="11">
        <f t="shared" si="9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IFERROR(VLOOKUP(A26,[7]TONTAVRIL25!$A$6:$R$41,12,0),0)</f>
        <v>0</v>
      </c>
      <c r="Q26" s="2">
        <f>IFERROR(VLOOKUP(A26,[8]TONTAVRIL25!$A$6:$R$38,10,0),0)</f>
        <v>0</v>
      </c>
      <c r="R26" s="2">
        <f>IFERROR(VLOOKUP(A26,[9]TONTAVRIL25!$A$6:$R$42,10,0),0)</f>
        <v>0</v>
      </c>
      <c r="S26" s="20"/>
      <c r="T26" s="12"/>
      <c r="U26" s="17">
        <f t="shared" si="10"/>
        <v>240000</v>
      </c>
      <c r="V26" s="12"/>
      <c r="W26" s="12"/>
      <c r="X26" s="12"/>
      <c r="Y26" s="92">
        <f t="shared" si="11"/>
        <v>225000</v>
      </c>
      <c r="Z26" s="12"/>
      <c r="AA26" s="12"/>
      <c r="AB26" s="12"/>
      <c r="AC26" s="12"/>
      <c r="AD26" s="12"/>
      <c r="AE26" s="12">
        <v>40000</v>
      </c>
      <c r="AF26" s="12" t="s">
        <v>8</v>
      </c>
      <c r="AG26" s="12"/>
      <c r="AH26" s="12"/>
      <c r="AI26" s="12"/>
      <c r="AJ26" s="12">
        <v>79625</v>
      </c>
      <c r="AK26" s="12">
        <v>200000</v>
      </c>
      <c r="AL26" s="12"/>
      <c r="AM26" s="12">
        <v>1000</v>
      </c>
      <c r="AN26" s="12">
        <f>2000+1000</f>
        <v>3000</v>
      </c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2"/>
        <v>0</v>
      </c>
      <c r="AX26" s="15">
        <f t="shared" si="13"/>
        <v>79625</v>
      </c>
      <c r="AY26" s="15">
        <f>IF(AE26=0,AK26,(1*100000*12)+(AK26)-AE26)</f>
        <v>1360000</v>
      </c>
      <c r="AZ26" s="16">
        <f t="shared" si="15"/>
        <v>1439625</v>
      </c>
      <c r="BA26" s="58"/>
      <c r="BB26" s="58"/>
      <c r="BC26" s="15">
        <f t="shared" si="18"/>
        <v>0</v>
      </c>
      <c r="BD26" s="57">
        <f t="shared" si="16"/>
        <v>1439625</v>
      </c>
      <c r="BE26" s="82" t="s">
        <v>186</v>
      </c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-118000</v>
      </c>
      <c r="D27" s="9">
        <f>VLOOKUP($A27,[6]HISTOBQUEAVRIL25!$A$6:$H$48,5,0)</f>
        <v>300000</v>
      </c>
      <c r="E27" s="91">
        <f>VLOOKUP($A27,[6]HISTOBQUEAVRIL25!$A$6:$H$48,4,0)</f>
        <v>35000</v>
      </c>
      <c r="F27" s="91">
        <f>VLOOKUP($A27,[6]HISTOBQUEAVRIL25!$A$6:$H$48,6,0)</f>
        <v>0</v>
      </c>
      <c r="G27" s="91">
        <v>500</v>
      </c>
      <c r="H27" s="5">
        <f t="shared" si="8"/>
        <v>0</v>
      </c>
      <c r="I27" s="10" t="str">
        <f t="shared" si="0"/>
        <v>BANQUE</v>
      </c>
      <c r="J27" s="11">
        <v>1</v>
      </c>
      <c r="K27" s="11">
        <f t="shared" si="9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IFERROR(VLOOKUP(A27,[7]TONTAVRIL25!$A$6:$R$41,12,0),0)</f>
        <v>0</v>
      </c>
      <c r="Q27" s="2">
        <f>IFERROR(VLOOKUP(A27,[8]TONTAVRIL25!$A$6:$R$38,10,0),0)</f>
        <v>0</v>
      </c>
      <c r="R27" s="2">
        <f>IFERROR(VLOOKUP(A27,[9]TONTAVRIL25!$A$6:$R$42,10,0),0)</f>
        <v>202500</v>
      </c>
      <c r="S27" s="20"/>
      <c r="T27" s="12"/>
      <c r="U27" s="17">
        <f t="shared" si="10"/>
        <v>453000</v>
      </c>
      <c r="V27" s="12"/>
      <c r="W27" s="12"/>
      <c r="X27" s="12"/>
      <c r="Y27" s="92">
        <f t="shared" si="11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>
        <v>32000</v>
      </c>
      <c r="AJ27" s="12"/>
      <c r="AK27" s="12"/>
      <c r="AL27" s="12">
        <v>3000</v>
      </c>
      <c r="AM27" s="12"/>
      <c r="AN27" s="12"/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25500</v>
      </c>
      <c r="AT27" s="15"/>
      <c r="AV27" s="15"/>
      <c r="AW27" s="15">
        <f t="shared" si="12"/>
        <v>32000</v>
      </c>
      <c r="AX27" s="15">
        <f t="shared" si="13"/>
        <v>0</v>
      </c>
      <c r="AY27" s="15">
        <f t="shared" si="14"/>
        <v>0</v>
      </c>
      <c r="AZ27" s="16">
        <f t="shared" si="15"/>
        <v>32000</v>
      </c>
      <c r="BA27" s="58"/>
      <c r="BB27" s="58"/>
      <c r="BC27" s="15">
        <f t="shared" si="18"/>
        <v>0</v>
      </c>
      <c r="BD27" s="57">
        <f t="shared" si="16"/>
        <v>32000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VLOOKUP($A28,[6]HISTOBQUEAVRIL25!$A$6:$H$48,5,0)</f>
        <v>50000</v>
      </c>
      <c r="E28" s="91">
        <f>VLOOKUP($A28,[6]HISTOBQUEAVRIL25!$A$6:$H$48,4,0)</f>
        <v>0</v>
      </c>
      <c r="F28" s="91">
        <f>VLOOKUP($A28,[6]HISTOBQUEAVRIL25!$A$6:$H$48,6,0)</f>
        <v>0</v>
      </c>
      <c r="G28" s="91"/>
      <c r="H28" s="5">
        <f t="shared" si="8"/>
        <v>0</v>
      </c>
      <c r="I28" s="10" t="str">
        <f t="shared" si="0"/>
        <v>BANQUE</v>
      </c>
      <c r="J28" s="11">
        <v>1</v>
      </c>
      <c r="K28" s="11">
        <f t="shared" si="9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IFERROR(VLOOKUP(A28,[7]TONTAVRIL25!$A$6:$R$41,12,0),0)</f>
        <v>0</v>
      </c>
      <c r="Q28" s="2">
        <f>IFERROR(VLOOKUP(A28,[8]TONTAVRIL25!$A$6:$R$38,10,0),0)</f>
        <v>0</v>
      </c>
      <c r="R28" s="2">
        <f>IFERROR(VLOOKUP(A28,[9]TONTAVRIL25!$A$6:$R$42,10,0),0)</f>
        <v>0</v>
      </c>
      <c r="S28" s="20"/>
      <c r="T28" s="12"/>
      <c r="U28" s="17">
        <f t="shared" si="10"/>
        <v>50000</v>
      </c>
      <c r="V28" s="12"/>
      <c r="W28" s="12"/>
      <c r="X28" s="12"/>
      <c r="Y28" s="92">
        <f t="shared" si="11"/>
        <v>50000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2"/>
        <v>0</v>
      </c>
      <c r="AX28" s="15">
        <f t="shared" si="13"/>
        <v>0</v>
      </c>
      <c r="AY28" s="15">
        <f t="shared" si="14"/>
        <v>0</v>
      </c>
      <c r="AZ28" s="16">
        <f t="shared" si="15"/>
        <v>0</v>
      </c>
      <c r="BA28" s="58"/>
      <c r="BB28" s="58"/>
      <c r="BC28" s="15">
        <f t="shared" si="18"/>
        <v>0</v>
      </c>
      <c r="BD28" s="57">
        <f t="shared" si="16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VLOOKUP($A29,[6]HISTOBQUEAVRIL25!$A$6:$H$48,5,0)</f>
        <v>50000</v>
      </c>
      <c r="E29" s="91">
        <f>VLOOKUP($A29,[6]HISTOBQUEAVRIL25!$A$6:$H$48,4,0)</f>
        <v>0</v>
      </c>
      <c r="F29" s="91">
        <f>VLOOKUP($A29,[6]HISTOBQUEAVRIL25!$A$6:$H$48,6,0)</f>
        <v>0</v>
      </c>
      <c r="G29" s="91"/>
      <c r="H29" s="5">
        <f t="shared" si="8"/>
        <v>0</v>
      </c>
      <c r="I29" s="10" t="str">
        <f t="shared" si="0"/>
        <v>BANQUE</v>
      </c>
      <c r="J29" s="11">
        <v>1</v>
      </c>
      <c r="K29" s="11">
        <f t="shared" si="9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IFERROR(VLOOKUP(A29,[7]TONTAVRIL25!$A$6:$R$41,12,0),0)</f>
        <v>0</v>
      </c>
      <c r="Q29" s="2">
        <f>IFERROR(VLOOKUP(A29,[8]TONTAVRIL25!$A$6:$R$38,10,0),0)</f>
        <v>0</v>
      </c>
      <c r="R29" s="2">
        <f>IFERROR(VLOOKUP(A29,[9]TONTAVRIL25!$A$6:$R$42,10,0),0)</f>
        <v>0</v>
      </c>
      <c r="S29" s="20"/>
      <c r="T29" s="12"/>
      <c r="U29" s="17">
        <f t="shared" si="10"/>
        <v>50000</v>
      </c>
      <c r="V29" s="12"/>
      <c r="W29" s="12"/>
      <c r="X29" s="12"/>
      <c r="Y29" s="92">
        <f t="shared" si="11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2"/>
        <v>0</v>
      </c>
      <c r="AX29" s="15">
        <f t="shared" si="13"/>
        <v>0</v>
      </c>
      <c r="AY29" s="15">
        <f t="shared" si="14"/>
        <v>0</v>
      </c>
      <c r="AZ29" s="16">
        <f t="shared" si="15"/>
        <v>0</v>
      </c>
      <c r="BA29" s="58"/>
      <c r="BB29" s="58"/>
      <c r="BC29" s="15">
        <f t="shared" si="18"/>
        <v>0</v>
      </c>
      <c r="BD29" s="57">
        <f t="shared" si="16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VLOOKUP($A30,[6]HISTOBQUEAVRIL25!$A$6:$H$48,5,0)</f>
        <v>125000</v>
      </c>
      <c r="E30" s="91">
        <f>VLOOKUP($A30,[6]HISTOBQUEAVRIL25!$A$6:$H$48,4,0)</f>
        <v>0</v>
      </c>
      <c r="F30" s="91">
        <f>VLOOKUP($A30,[6]HISTOBQUEAVRIL25!$A$6:$H$48,6,0)</f>
        <v>0</v>
      </c>
      <c r="G30" s="91"/>
      <c r="H30" s="5">
        <f t="shared" si="8"/>
        <v>0</v>
      </c>
      <c r="I30" s="10" t="str">
        <f t="shared" si="0"/>
        <v>BANQUE</v>
      </c>
      <c r="J30" s="11">
        <v>1</v>
      </c>
      <c r="K30" s="11">
        <f t="shared" si="9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IFERROR(VLOOKUP(A30,[7]TONTAVRIL25!$A$6:$R$41,12,0),0)</f>
        <v>0</v>
      </c>
      <c r="Q30" s="2">
        <f>IFERROR(VLOOKUP(A30,[8]TONTAVRIL25!$A$6:$R$38,10,0),0)</f>
        <v>0</v>
      </c>
      <c r="R30" s="2">
        <f>IFERROR(VLOOKUP(A30,[9]TONTAVRIL25!$A$6:$R$42,10,0),0)</f>
        <v>0</v>
      </c>
      <c r="S30" s="20"/>
      <c r="T30" s="12"/>
      <c r="U30" s="17">
        <f t="shared" si="10"/>
        <v>125000</v>
      </c>
      <c r="V30" s="12"/>
      <c r="W30" s="12"/>
      <c r="X30" s="12"/>
      <c r="Y30" s="92">
        <f t="shared" si="11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2"/>
        <v>0</v>
      </c>
      <c r="AX30" s="15">
        <f t="shared" si="13"/>
        <v>0</v>
      </c>
      <c r="AY30" s="15">
        <f t="shared" si="14"/>
        <v>0</v>
      </c>
      <c r="AZ30" s="16">
        <f t="shared" si="15"/>
        <v>0</v>
      </c>
      <c r="BA30" s="58"/>
      <c r="BB30" s="58"/>
      <c r="BC30" s="15">
        <f t="shared" si="18"/>
        <v>0</v>
      </c>
      <c r="BD30" s="57">
        <f t="shared" si="16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-83000</v>
      </c>
      <c r="D31" s="9">
        <f>VLOOKUP($A31,[6]HISTOBQUEAVRIL25!$A$6:$H$48,5,0)</f>
        <v>50000</v>
      </c>
      <c r="E31" s="91">
        <f>VLOOKUP($A31,[6]HISTOBQUEAVRIL25!$A$6:$H$48,4,0)</f>
        <v>0</v>
      </c>
      <c r="F31" s="91">
        <f>VLOOKUP($A31,[6]HISTOBQUEAVRIL25!$A$6:$H$48,6,0)</f>
        <v>0</v>
      </c>
      <c r="G31" s="91"/>
      <c r="H31" s="5">
        <f t="shared" si="8"/>
        <v>0</v>
      </c>
      <c r="I31" s="10" t="str">
        <f t="shared" si="0"/>
        <v>BANQUE</v>
      </c>
      <c r="J31" s="11">
        <v>1</v>
      </c>
      <c r="K31" s="11">
        <f t="shared" si="9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IFERROR(VLOOKUP(A31,[7]TONTAVRIL25!$A$6:$R$41,12,0),0)</f>
        <v>83000</v>
      </c>
      <c r="Q31" s="2">
        <f>IFERROR(VLOOKUP(A31,[8]TONTAVRIL25!$A$6:$R$38,10,0),0)</f>
        <v>0</v>
      </c>
      <c r="R31" s="2">
        <f>IFERROR(VLOOKUP(A31,[9]TONTAVRIL25!$A$6:$R$42,10,0),0)</f>
        <v>0</v>
      </c>
      <c r="S31" s="20"/>
      <c r="T31" s="12"/>
      <c r="U31" s="17">
        <f t="shared" si="10"/>
        <v>133000</v>
      </c>
      <c r="V31" s="12"/>
      <c r="W31" s="12"/>
      <c r="X31" s="12"/>
      <c r="Y31" s="92">
        <f t="shared" si="11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83000</v>
      </c>
      <c r="AJ31" s="12"/>
      <c r="AK31" s="12"/>
      <c r="AL31" s="12">
        <v>6000</v>
      </c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2"/>
        <v>83000</v>
      </c>
      <c r="AX31" s="15">
        <f t="shared" si="13"/>
        <v>0</v>
      </c>
      <c r="AY31" s="15">
        <f t="shared" si="14"/>
        <v>0</v>
      </c>
      <c r="AZ31" s="16">
        <f t="shared" si="15"/>
        <v>83000</v>
      </c>
      <c r="BA31" s="58"/>
      <c r="BB31" s="58"/>
      <c r="BC31" s="15">
        <f t="shared" si="18"/>
        <v>0</v>
      </c>
      <c r="BD31" s="57">
        <f t="shared" si="16"/>
        <v>83000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50000</v>
      </c>
      <c r="D32" s="9">
        <f>VLOOKUP($A32,[6]HISTOBQUEAVRIL25!$A$6:$H$48,5,0)</f>
        <v>250000</v>
      </c>
      <c r="E32" s="91">
        <f>VLOOKUP($A32,[6]HISTOBQUEAVRIL25!$A$6:$H$48,4,0)</f>
        <v>50000</v>
      </c>
      <c r="F32" s="91">
        <f>VLOOKUP($A32,[6]HISTOBQUEAVRIL25!$A$6:$H$48,6,0)</f>
        <v>0</v>
      </c>
      <c r="G32" s="91"/>
      <c r="H32" s="5">
        <f t="shared" si="8"/>
        <v>0</v>
      </c>
      <c r="I32" s="10" t="str">
        <f t="shared" si="0"/>
        <v>BANQUE</v>
      </c>
      <c r="J32" s="11">
        <v>1</v>
      </c>
      <c r="K32" s="11">
        <f t="shared" si="9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IFERROR(VLOOKUP(A32,[7]TONTAVRIL25!$A$6:$R$41,12,0),0)</f>
        <v>0</v>
      </c>
      <c r="Q32" s="2">
        <f>IFERROR(VLOOKUP(A32,[8]TONTAVRIL25!$A$6:$R$38,10,0),0)</f>
        <v>0</v>
      </c>
      <c r="R32" s="2">
        <f>IFERROR(VLOOKUP(A32,[9]TONTAVRIL25!$A$6:$R$42,10,0),0)</f>
        <v>0</v>
      </c>
      <c r="S32" s="20"/>
      <c r="T32" s="12"/>
      <c r="U32" s="17">
        <f t="shared" si="10"/>
        <v>250000</v>
      </c>
      <c r="V32" s="12"/>
      <c r="W32" s="12"/>
      <c r="X32" s="12"/>
      <c r="Y32" s="92">
        <f t="shared" si="11"/>
        <v>250000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2"/>
        <v>0</v>
      </c>
      <c r="AX32" s="15">
        <f t="shared" si="13"/>
        <v>0</v>
      </c>
      <c r="AY32" s="15">
        <f t="shared" si="14"/>
        <v>0</v>
      </c>
      <c r="AZ32" s="16">
        <f t="shared" si="15"/>
        <v>100000</v>
      </c>
      <c r="BA32" s="58"/>
      <c r="BB32" s="58"/>
      <c r="BC32" s="15">
        <f t="shared" si="18"/>
        <v>0</v>
      </c>
      <c r="BD32" s="57">
        <f t="shared" si="16"/>
        <v>100000</v>
      </c>
      <c r="BE32" s="82" t="s">
        <v>276</v>
      </c>
      <c r="BF32" s="29">
        <f t="shared" si="6"/>
        <v>0</v>
      </c>
      <c r="BG32" s="29">
        <v>8</v>
      </c>
      <c r="BH32" s="15"/>
      <c r="BI32" s="15"/>
      <c r="BJ32" s="15"/>
      <c r="BK32" s="15">
        <v>100000</v>
      </c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VLOOKUP($A33,[6]HISTOBQUEAVRIL25!$A$6:$H$48,5,0)</f>
        <v>0</v>
      </c>
      <c r="E33" s="91">
        <f>VLOOKUP($A33,[6]HISTOBQUEAVRIL25!$A$6:$H$48,4,0)</f>
        <v>50000</v>
      </c>
      <c r="F33" s="91">
        <f>VLOOKUP($A33,[6]HISTOBQUEAVRIL25!$A$6:$H$48,6,0)</f>
        <v>0</v>
      </c>
      <c r="G33" s="91">
        <v>-3000</v>
      </c>
      <c r="H33" s="5">
        <f t="shared" si="8"/>
        <v>3000</v>
      </c>
      <c r="I33" s="10" t="str">
        <f t="shared" si="0"/>
        <v>ESPECES</v>
      </c>
      <c r="J33" s="11">
        <v>1</v>
      </c>
      <c r="K33" s="11">
        <f t="shared" si="9"/>
        <v>50000</v>
      </c>
      <c r="L33" s="6"/>
      <c r="M33" s="11"/>
      <c r="N33" s="6"/>
      <c r="O33" s="11"/>
      <c r="P33" s="2">
        <f>IFERROR(VLOOKUP(A33,[7]TONTAVRIL25!$A$6:$R$41,12,0),0)</f>
        <v>0</v>
      </c>
      <c r="Q33" s="2">
        <f>IFERROR(VLOOKUP(A33,[8]TONTAVRIL25!$A$6:$R$38,10,0),0)</f>
        <v>0</v>
      </c>
      <c r="R33" s="2">
        <f>IFERROR(VLOOKUP(A33,[9]TONTAVRIL25!$A$6:$R$42,10,0),0)</f>
        <v>0</v>
      </c>
      <c r="S33" s="20"/>
      <c r="T33" s="12"/>
      <c r="U33" s="17">
        <f t="shared" si="10"/>
        <v>50000</v>
      </c>
      <c r="V33" s="12"/>
      <c r="W33" s="12"/>
      <c r="X33" s="12"/>
      <c r="Y33" s="92">
        <f t="shared" si="11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22000</v>
      </c>
      <c r="AT33" s="15"/>
      <c r="AV33" s="15"/>
      <c r="AW33" s="15">
        <f t="shared" si="12"/>
        <v>0</v>
      </c>
      <c r="AX33" s="15">
        <f t="shared" si="13"/>
        <v>0</v>
      </c>
      <c r="AY33" s="15">
        <f t="shared" si="14"/>
        <v>0</v>
      </c>
      <c r="AZ33" s="16">
        <f t="shared" si="15"/>
        <v>0</v>
      </c>
      <c r="BA33" s="58"/>
      <c r="BB33" s="58"/>
      <c r="BC33" s="15">
        <f t="shared" si="18"/>
        <v>0</v>
      </c>
      <c r="BD33" s="57">
        <f t="shared" si="16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-50000</v>
      </c>
      <c r="D34" s="9">
        <f>VLOOKUP($A34,[6]HISTOBQUEAVRIL25!$A$6:$H$48,5,0)</f>
        <v>100000</v>
      </c>
      <c r="E34" s="91">
        <f>VLOOKUP($A34,[6]HISTOBQUEAVRIL25!$A$6:$H$48,4,0)</f>
        <v>0</v>
      </c>
      <c r="F34" s="91">
        <f>VLOOKUP($A34,[6]HISTOBQUEAVRIL25!$A$6:$H$48,6,0)</f>
        <v>0</v>
      </c>
      <c r="G34" s="91"/>
      <c r="H34" s="5">
        <f t="shared" si="8"/>
        <v>0</v>
      </c>
      <c r="I34" s="10" t="str">
        <f t="shared" si="0"/>
        <v>BANQUE</v>
      </c>
      <c r="J34" s="11">
        <v>1</v>
      </c>
      <c r="K34" s="11">
        <f t="shared" si="9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f>IFERROR(VLOOKUP(A34,[7]TONTAVRIL25!$A$6:$R$41,12,0),0)</f>
        <v>0</v>
      </c>
      <c r="Q34" s="2">
        <f>IFERROR(VLOOKUP(A34,[8]TONTAVRIL25!$A$6:$R$38,10,0),0)</f>
        <v>0</v>
      </c>
      <c r="R34" s="2">
        <f>IFERROR(VLOOKUP(A34,[9]TONTAVRIL25!$A$6:$R$42,10,0),0)</f>
        <v>0</v>
      </c>
      <c r="S34" s="20"/>
      <c r="T34" s="12"/>
      <c r="U34" s="17">
        <f t="shared" si="10"/>
        <v>150000</v>
      </c>
      <c r="V34" s="12"/>
      <c r="W34" s="12"/>
      <c r="X34" s="12"/>
      <c r="Y34" s="92">
        <f t="shared" si="11"/>
        <v>150000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7"/>
        <v>25000</v>
      </c>
      <c r="AT34" s="15"/>
      <c r="AV34" s="15"/>
      <c r="AW34" s="15">
        <f t="shared" si="12"/>
        <v>0</v>
      </c>
      <c r="AX34" s="15">
        <f t="shared" si="13"/>
        <v>0</v>
      </c>
      <c r="AY34" s="15">
        <f t="shared" si="14"/>
        <v>0</v>
      </c>
      <c r="AZ34" s="16">
        <f t="shared" si="15"/>
        <v>0</v>
      </c>
      <c r="BA34" s="58"/>
      <c r="BB34" s="58"/>
      <c r="BC34" s="15">
        <f t="shared" si="18"/>
        <v>0</v>
      </c>
      <c r="BD34" s="57">
        <f t="shared" si="16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-102000</v>
      </c>
      <c r="D35" s="9">
        <f>VLOOKUP($A35,[6]HISTOBQUEAVRIL25!$A$6:$H$48,5,0)</f>
        <v>125000</v>
      </c>
      <c r="E35" s="91">
        <f>VLOOKUP($A35,[6]HISTOBQUEAVRIL25!$A$6:$H$48,4,0)</f>
        <v>0</v>
      </c>
      <c r="F35" s="91">
        <f>VLOOKUP($A35,[6]HISTOBQUEAVRIL25!$A$6:$H$48,6,0)</f>
        <v>0</v>
      </c>
      <c r="G35" s="91"/>
      <c r="H35" s="5">
        <f t="shared" si="8"/>
        <v>0</v>
      </c>
      <c r="I35" s="10" t="str">
        <f t="shared" si="0"/>
        <v>BANQUE</v>
      </c>
      <c r="J35" s="11">
        <v>1</v>
      </c>
      <c r="K35" s="11">
        <f t="shared" si="9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IFERROR(VLOOKUP(A35,[7]TONTAVRIL25!$A$6:$R$41,12,0),0)</f>
        <v>0</v>
      </c>
      <c r="Q35" s="2">
        <f>IFERROR(VLOOKUP(A35,[8]TONTAVRIL25!$A$6:$R$38,10,0),0)</f>
        <v>102000</v>
      </c>
      <c r="R35" s="2">
        <f>IFERROR(VLOOKUP(A35,[9]TONTAVRIL25!$A$6:$R$42,10,0),0)</f>
        <v>0</v>
      </c>
      <c r="S35" s="20"/>
      <c r="T35" s="12"/>
      <c r="U35" s="17">
        <f t="shared" si="10"/>
        <v>227000</v>
      </c>
      <c r="V35" s="12"/>
      <c r="W35" s="12"/>
      <c r="X35" s="12"/>
      <c r="Y35" s="92">
        <f t="shared" si="11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v>50000</v>
      </c>
      <c r="AK35" s="12"/>
      <c r="AL35" s="12"/>
      <c r="AM35" s="12">
        <v>1000</v>
      </c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2"/>
        <v>0</v>
      </c>
      <c r="AX35" s="15">
        <f t="shared" si="13"/>
        <v>50000</v>
      </c>
      <c r="AY35" s="15">
        <f t="shared" si="14"/>
        <v>0</v>
      </c>
      <c r="AZ35" s="16">
        <f t="shared" si="15"/>
        <v>50000</v>
      </c>
      <c r="BA35" s="58"/>
      <c r="BB35" s="58"/>
      <c r="BC35" s="15">
        <f t="shared" si="18"/>
        <v>0</v>
      </c>
      <c r="BD35" s="57">
        <f t="shared" si="16"/>
        <v>50000</v>
      </c>
      <c r="BE35" s="82" t="s">
        <v>186</v>
      </c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102000</v>
      </c>
      <c r="D36" s="9">
        <f>VLOOKUP($A36,[6]HISTOBQUEAVRIL25!$A$6:$H$48,5,0)</f>
        <v>150000</v>
      </c>
      <c r="E36" s="91">
        <f>VLOOKUP($A36,[6]HISTOBQUEAVRIL25!$A$6:$H$48,4,0)</f>
        <v>102000</v>
      </c>
      <c r="F36" s="91">
        <f>VLOOKUP($A36,[6]HISTOBQUEAVRIL25!$A$6:$H$48,6,0)</f>
        <v>0</v>
      </c>
      <c r="G36" s="91"/>
      <c r="H36" s="5">
        <f t="shared" si="8"/>
        <v>0</v>
      </c>
      <c r="I36" s="10" t="str">
        <f t="shared" si="0"/>
        <v>BANQUE</v>
      </c>
      <c r="J36" s="11">
        <v>1</v>
      </c>
      <c r="K36" s="11">
        <f t="shared" si="9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IFERROR(VLOOKUP(A36,[7]TONTAVRIL25!$A$6:$R$41,12,0),0)</f>
        <v>0</v>
      </c>
      <c r="Q36" s="2">
        <f>IFERROR(VLOOKUP(A36,[8]TONTAVRIL25!$A$6:$R$38,10,0),0)</f>
        <v>0</v>
      </c>
      <c r="R36" s="2">
        <f>IFERROR(VLOOKUP(A36,[9]TONTAVRIL25!$A$6:$R$42,10,0),0)</f>
        <v>0</v>
      </c>
      <c r="S36" s="20"/>
      <c r="T36" s="12"/>
      <c r="U36" s="17">
        <f t="shared" si="10"/>
        <v>150000</v>
      </c>
      <c r="V36" s="12"/>
      <c r="W36" s="12"/>
      <c r="X36" s="12"/>
      <c r="Y36" s="92">
        <f t="shared" si="11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>
        <v>100000</v>
      </c>
      <c r="AL36" s="12"/>
      <c r="AM36" s="12"/>
      <c r="AN36" s="12">
        <v>1000</v>
      </c>
      <c r="AO36" s="12"/>
      <c r="AP36" s="12" t="s">
        <v>8</v>
      </c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2"/>
        <v>0</v>
      </c>
      <c r="AX36" s="15">
        <f t="shared" si="13"/>
        <v>0</v>
      </c>
      <c r="AY36" s="15">
        <f t="shared" si="14"/>
        <v>100000</v>
      </c>
      <c r="AZ36" s="16">
        <f t="shared" si="15"/>
        <v>100000</v>
      </c>
      <c r="BA36" s="58"/>
      <c r="BB36" s="58"/>
      <c r="BC36" s="15">
        <f t="shared" si="18"/>
        <v>0</v>
      </c>
      <c r="BD36" s="57">
        <f t="shared" si="16"/>
        <v>100000</v>
      </c>
      <c r="BE36" s="82" t="s">
        <v>186</v>
      </c>
      <c r="BF36" s="29">
        <f t="shared" si="6"/>
        <v>0</v>
      </c>
      <c r="BG36" s="29">
        <v>8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3000</v>
      </c>
      <c r="D37" s="9">
        <f>VLOOKUP($A37,[6]HISTOBQUEAVRIL25!$A$6:$H$48,5,0)</f>
        <v>50000</v>
      </c>
      <c r="E37" s="91">
        <f>VLOOKUP($A37,[6]HISTOBQUEAVRIL25!$A$6:$H$48,4,0)</f>
        <v>0</v>
      </c>
      <c r="F37" s="91">
        <f>VLOOKUP($A37,[6]HISTOBQUEAVRIL25!$A$6:$H$48,6,0)</f>
        <v>0</v>
      </c>
      <c r="G37" s="91">
        <v>-3000</v>
      </c>
      <c r="H37" s="5">
        <f t="shared" si="8"/>
        <v>0</v>
      </c>
      <c r="I37" s="10" t="str">
        <f t="shared" si="0"/>
        <v>BANQUE</v>
      </c>
      <c r="J37" s="11">
        <v>1</v>
      </c>
      <c r="K37" s="11">
        <f t="shared" si="9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IFERROR(VLOOKUP(A37,[7]TONTAVRIL25!$A$6:$R$41,12,0),0)</f>
        <v>0</v>
      </c>
      <c r="Q37" s="2">
        <f>IFERROR(VLOOKUP(A37,[8]TONTAVRIL25!$A$6:$R$38,10,0),0)</f>
        <v>0</v>
      </c>
      <c r="R37" s="2">
        <f>IFERROR(VLOOKUP(A37,[9]TONTAVRIL25!$A$6:$R$42,10,0),0)</f>
        <v>0</v>
      </c>
      <c r="S37" s="20"/>
      <c r="T37" s="12"/>
      <c r="U37" s="17">
        <f t="shared" si="10"/>
        <v>47000</v>
      </c>
      <c r="V37" s="12"/>
      <c r="W37" s="12"/>
      <c r="X37" s="12"/>
      <c r="Y37" s="92">
        <f t="shared" si="11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22000</v>
      </c>
      <c r="AT37" s="15"/>
      <c r="AV37" s="15"/>
      <c r="AW37" s="15">
        <f t="shared" si="12"/>
        <v>0</v>
      </c>
      <c r="AX37" s="15">
        <f t="shared" si="13"/>
        <v>0</v>
      </c>
      <c r="AY37" s="15">
        <f t="shared" si="14"/>
        <v>0</v>
      </c>
      <c r="AZ37" s="16">
        <f t="shared" si="15"/>
        <v>0</v>
      </c>
      <c r="BA37" s="58"/>
      <c r="BB37" s="58"/>
      <c r="BC37" s="15">
        <f t="shared" si="18"/>
        <v>0</v>
      </c>
      <c r="BD37" s="57">
        <f t="shared" si="16"/>
        <v>0</v>
      </c>
      <c r="BE37" s="82"/>
      <c r="BF37" s="29">
        <f t="shared" si="6"/>
        <v>0</v>
      </c>
      <c r="BG37" s="29">
        <v>8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VLOOKUP($A38,[6]HISTOBQUEAVRIL25!$A$6:$H$48,5,0)</f>
        <v>0</v>
      </c>
      <c r="E38" s="91">
        <f>VLOOKUP($A38,[6]HISTOBQUEAVRIL25!$A$6:$H$48,4,0)</f>
        <v>50000</v>
      </c>
      <c r="F38" s="91">
        <f>VLOOKUP($A38,[6]HISTOBQUEAVRIL25!$A$6:$H$48,6,0)</f>
        <v>0</v>
      </c>
      <c r="G38" s="91">
        <v>-3000</v>
      </c>
      <c r="H38" s="5">
        <f t="shared" si="8"/>
        <v>3000</v>
      </c>
      <c r="I38" s="10" t="str">
        <f t="shared" si="0"/>
        <v>ESPECES</v>
      </c>
      <c r="J38" s="11">
        <v>1</v>
      </c>
      <c r="K38" s="11">
        <f t="shared" si="9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IFERROR(VLOOKUP(A38,[7]TONTAVRIL25!$A$6:$R$41,12,0),0)</f>
        <v>0</v>
      </c>
      <c r="Q38" s="2">
        <f>IFERROR(VLOOKUP(A38,[8]TONTAVRIL25!$A$6:$R$38,10,0),0)</f>
        <v>0</v>
      </c>
      <c r="R38" s="2">
        <f>IFERROR(VLOOKUP(A38,[9]TONTAVRIL25!$A$6:$R$42,10,0),0)</f>
        <v>0</v>
      </c>
      <c r="S38" s="20"/>
      <c r="T38" s="12"/>
      <c r="U38" s="17">
        <f t="shared" si="10"/>
        <v>50000</v>
      </c>
      <c r="V38" s="12"/>
      <c r="W38" s="12"/>
      <c r="X38" s="12"/>
      <c r="Y38" s="92">
        <f t="shared" si="11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22000</v>
      </c>
      <c r="AT38" s="15"/>
      <c r="AV38" s="15"/>
      <c r="AW38" s="15">
        <f t="shared" si="12"/>
        <v>0</v>
      </c>
      <c r="AX38" s="15">
        <f t="shared" si="13"/>
        <v>0</v>
      </c>
      <c r="AY38" s="15">
        <f t="shared" si="14"/>
        <v>0</v>
      </c>
      <c r="AZ38" s="16">
        <f t="shared" si="15"/>
        <v>0</v>
      </c>
      <c r="BA38" s="58"/>
      <c r="BB38" s="58"/>
      <c r="BC38" s="15">
        <f t="shared" si="18"/>
        <v>0</v>
      </c>
      <c r="BD38" s="57">
        <f t="shared" si="16"/>
        <v>0</v>
      </c>
      <c r="BE38" s="82"/>
      <c r="BF38" s="29">
        <f t="shared" si="6"/>
        <v>0</v>
      </c>
      <c r="BG38" s="29">
        <v>8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VLOOKUP($A39,[6]HISTOBQUEAVRIL25!$A$6:$H$48,5,0)</f>
        <v>125000</v>
      </c>
      <c r="E39" s="91">
        <f>VLOOKUP($A39,[6]HISTOBQUEAVRIL25!$A$6:$H$48,4,0)</f>
        <v>0</v>
      </c>
      <c r="F39" s="91">
        <f>VLOOKUP($A39,[6]HISTOBQUEAVRIL25!$A$6:$H$48,6,0)</f>
        <v>0</v>
      </c>
      <c r="G39" s="91"/>
      <c r="H39" s="5">
        <f t="shared" si="8"/>
        <v>0</v>
      </c>
      <c r="I39" s="10" t="str">
        <f t="shared" si="0"/>
        <v>BANQUE</v>
      </c>
      <c r="J39" s="11">
        <v>1</v>
      </c>
      <c r="K39" s="11">
        <f t="shared" si="9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IFERROR(VLOOKUP(A39,[7]TONTAVRIL25!$A$6:$R$41,12,0),0)</f>
        <v>0</v>
      </c>
      <c r="Q39" s="2">
        <f>IFERROR(VLOOKUP(A39,[8]TONTAVRIL25!$A$6:$R$38,10,0),0)</f>
        <v>0</v>
      </c>
      <c r="R39" s="2">
        <f>IFERROR(VLOOKUP(A39,[9]TONTAVRIL25!$A$6:$R$42,10,0),0)</f>
        <v>0</v>
      </c>
      <c r="S39" s="20"/>
      <c r="T39" s="12"/>
      <c r="U39" s="17">
        <f t="shared" si="10"/>
        <v>125000</v>
      </c>
      <c r="V39" s="12"/>
      <c r="W39" s="12"/>
      <c r="X39" s="12"/>
      <c r="Y39" s="92">
        <f t="shared" si="11"/>
        <v>125000</v>
      </c>
      <c r="Z39" s="12"/>
      <c r="AA39" s="12"/>
      <c r="AB39" s="12"/>
      <c r="AC39" s="12">
        <v>40000</v>
      </c>
      <c r="AD39" s="12"/>
      <c r="AE39" s="12"/>
      <c r="AF39" s="12"/>
      <c r="AG39" s="12"/>
      <c r="AH39" s="12"/>
      <c r="AI39" s="12"/>
      <c r="AJ39" s="12">
        <v>100000</v>
      </c>
      <c r="AK39" s="12"/>
      <c r="AL39" s="12"/>
      <c r="AM39" s="12">
        <v>2000</v>
      </c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2"/>
        <v>260000</v>
      </c>
      <c r="AX39" s="15">
        <f t="shared" si="13"/>
        <v>100000</v>
      </c>
      <c r="AY39" s="15">
        <f t="shared" si="14"/>
        <v>0</v>
      </c>
      <c r="AZ39" s="16">
        <f t="shared" si="15"/>
        <v>360000</v>
      </c>
      <c r="BA39" s="58"/>
      <c r="BB39" s="58"/>
      <c r="BC39" s="15">
        <f t="shared" si="18"/>
        <v>0</v>
      </c>
      <c r="BD39" s="57">
        <f t="shared" si="16"/>
        <v>360000</v>
      </c>
      <c r="BE39" s="82" t="s">
        <v>186</v>
      </c>
      <c r="BF39" s="29">
        <f t="shared" si="6"/>
        <v>0</v>
      </c>
      <c r="BG39" s="29">
        <v>8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-3000</v>
      </c>
      <c r="D40" s="9">
        <f>VLOOKUP($A40,[6]HISTOBQUEAVRIL25!$A$6:$H$48,5,0)</f>
        <v>0</v>
      </c>
      <c r="E40" s="91">
        <f>VLOOKUP($A40,[6]HISTOBQUEAVRIL25!$A$6:$H$48,4,0)</f>
        <v>50000</v>
      </c>
      <c r="F40" s="91">
        <f>VLOOKUP($A40,[6]HISTOBQUEAVRIL25!$A$6:$H$48,6,0)</f>
        <v>0</v>
      </c>
      <c r="G40" s="91"/>
      <c r="H40" s="5">
        <f t="shared" si="8"/>
        <v>3000</v>
      </c>
      <c r="I40" s="10" t="str">
        <f t="shared" si="0"/>
        <v>ESPECES</v>
      </c>
      <c r="J40" s="11">
        <v>1</v>
      </c>
      <c r="K40" s="11">
        <f t="shared" si="9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IFERROR(VLOOKUP(A40,[7]TONTAVRIL25!$A$6:$R$41,12,0),0)</f>
        <v>0</v>
      </c>
      <c r="Q40" s="2">
        <f>IFERROR(VLOOKUP(A40,[8]TONTAVRIL25!$A$6:$R$38,10,0),0)</f>
        <v>0</v>
      </c>
      <c r="R40" s="2">
        <f>IFERROR(VLOOKUP(A40,[9]TONTAVRIL25!$A$6:$R$42,10,0),0)</f>
        <v>0</v>
      </c>
      <c r="S40" s="20"/>
      <c r="T40" s="12"/>
      <c r="U40" s="17">
        <f t="shared" si="10"/>
        <v>53000</v>
      </c>
      <c r="V40" s="12"/>
      <c r="W40" s="12"/>
      <c r="X40" s="12"/>
      <c r="Y40" s="92">
        <f t="shared" si="11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2"/>
        <v>0</v>
      </c>
      <c r="AX40" s="15">
        <f t="shared" si="13"/>
        <v>0</v>
      </c>
      <c r="AY40" s="15">
        <f t="shared" si="14"/>
        <v>0</v>
      </c>
      <c r="AZ40" s="16">
        <f t="shared" si="15"/>
        <v>0</v>
      </c>
      <c r="BA40" s="58"/>
      <c r="BB40" s="58"/>
      <c r="BC40" s="15">
        <f t="shared" si="18"/>
        <v>0</v>
      </c>
      <c r="BD40" s="57">
        <f t="shared" si="16"/>
        <v>0</v>
      </c>
      <c r="BE40" s="82"/>
      <c r="BF40" s="29">
        <f t="shared" si="6"/>
        <v>0</v>
      </c>
      <c r="BG40" s="29">
        <v>8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VLOOKUP($A41,[6]HISTOBQUEAVRIL25!$A$6:$H$48,5,0)</f>
        <v>0</v>
      </c>
      <c r="E41" s="91">
        <f>VLOOKUP($A41,[6]HISTOBQUEAVRIL25!$A$6:$H$48,4,0)+3000</f>
        <v>253000</v>
      </c>
      <c r="F41" s="91">
        <f>VLOOKUP($A41,[6]HISTOBQUEAVRIL25!$A$6:$H$48,6,0)</f>
        <v>0</v>
      </c>
      <c r="G41" s="91"/>
      <c r="H41" s="5">
        <f t="shared" si="8"/>
        <v>3000</v>
      </c>
      <c r="I41" s="10" t="str">
        <f t="shared" si="0"/>
        <v>ESPECES</v>
      </c>
      <c r="J41" s="11">
        <v>1</v>
      </c>
      <c r="K41" s="11">
        <f t="shared" si="9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IFERROR(VLOOKUP(A41,[7]TONTAVRIL25!$A$6:$R$41,12,0),0)</f>
        <v>0</v>
      </c>
      <c r="Q41" s="2">
        <f>IFERROR(VLOOKUP(A41,[8]TONTAVRIL25!$A$6:$R$38,10,0),0)</f>
        <v>0</v>
      </c>
      <c r="R41" s="2">
        <f>IFERROR(VLOOKUP(A41,[9]TONTAVRIL25!$A$6:$R$42,10,0),0)</f>
        <v>0</v>
      </c>
      <c r="S41" s="6"/>
      <c r="T41" s="12"/>
      <c r="U41" s="17">
        <f t="shared" si="10"/>
        <v>253000</v>
      </c>
      <c r="V41" s="12"/>
      <c r="W41" s="12"/>
      <c r="X41" s="12"/>
      <c r="Y41" s="92">
        <f t="shared" si="11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2"/>
        <v>0</v>
      </c>
      <c r="AX41" s="15">
        <f t="shared" si="13"/>
        <v>0</v>
      </c>
      <c r="AY41" s="15">
        <f t="shared" si="14"/>
        <v>0</v>
      </c>
      <c r="AZ41" s="16">
        <f t="shared" si="15"/>
        <v>0</v>
      </c>
      <c r="BA41" s="58"/>
      <c r="BB41" s="58"/>
      <c r="BC41" s="15">
        <f t="shared" si="18"/>
        <v>0</v>
      </c>
      <c r="BD41" s="57">
        <f t="shared" si="16"/>
        <v>0</v>
      </c>
      <c r="BE41" s="82"/>
      <c r="BF41" s="29">
        <f t="shared" si="6"/>
        <v>0</v>
      </c>
      <c r="BG41" s="29">
        <v>8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VLOOKUP($A42,[6]HISTOBQUEAVRIL25!$A$6:$H$48,5,0)</f>
        <v>225000</v>
      </c>
      <c r="E42" s="91">
        <f>VLOOKUP($A42,[6]HISTOBQUEAVRIL25!$A$6:$H$48,4,0)</f>
        <v>0</v>
      </c>
      <c r="F42" s="91">
        <f>VLOOKUP($A42,[6]HISTOBQUEAVRIL25!$A$6:$H$48,6,0)</f>
        <v>0</v>
      </c>
      <c r="G42" s="91"/>
      <c r="H42" s="5">
        <f t="shared" si="8"/>
        <v>0</v>
      </c>
      <c r="I42" s="10" t="str">
        <f t="shared" si="0"/>
        <v>BANQUE</v>
      </c>
      <c r="J42" s="11">
        <v>1</v>
      </c>
      <c r="K42" s="11">
        <f t="shared" si="9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IFERROR(VLOOKUP(A42,[7]TONTAVRIL25!$A$6:$R$41,12,0),0)</f>
        <v>0</v>
      </c>
      <c r="Q42" s="2">
        <f>IFERROR(VLOOKUP(A42,[8]TONTAVRIL25!$A$6:$R$38,10,0),0)</f>
        <v>0</v>
      </c>
      <c r="R42" s="2">
        <f>IFERROR(VLOOKUP(A42,[9]TONTAVRIL25!$A$6:$R$42,10,0),0)</f>
        <v>0</v>
      </c>
      <c r="S42" s="6"/>
      <c r="T42" s="12"/>
      <c r="U42" s="17">
        <f t="shared" si="10"/>
        <v>225000</v>
      </c>
      <c r="V42" s="12"/>
      <c r="W42" s="12"/>
      <c r="X42" s="12"/>
      <c r="Y42" s="92">
        <f t="shared" si="11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2"/>
        <v>0</v>
      </c>
      <c r="AX42" s="15">
        <f t="shared" si="13"/>
        <v>0</v>
      </c>
      <c r="AY42" s="15">
        <f t="shared" si="14"/>
        <v>0</v>
      </c>
      <c r="AZ42" s="16">
        <f t="shared" si="15"/>
        <v>0</v>
      </c>
      <c r="BA42" s="58"/>
      <c r="BB42" s="58"/>
      <c r="BC42" s="15">
        <f t="shared" si="18"/>
        <v>0</v>
      </c>
      <c r="BD42" s="57">
        <f t="shared" si="16"/>
        <v>0</v>
      </c>
      <c r="BE42" s="82"/>
      <c r="BF42" s="29">
        <f t="shared" si="6"/>
        <v>0</v>
      </c>
      <c r="BG42" s="29">
        <v>8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-1055625</v>
      </c>
      <c r="D44" s="5">
        <f>SUM(D6:D43)</f>
        <v>4280000</v>
      </c>
      <c r="E44" s="5">
        <f>SUM(E6:E43)</f>
        <v>1145500</v>
      </c>
      <c r="F44" s="5">
        <f>SUM(F6:F43)</f>
        <v>0</v>
      </c>
      <c r="G44" s="5">
        <f t="shared" ref="G44:S44" si="19">SUM(G6:G43)</f>
        <v>224500</v>
      </c>
      <c r="H44" s="5">
        <f t="shared" si="19"/>
        <v>12000</v>
      </c>
      <c r="I44" s="5">
        <f t="shared" si="19"/>
        <v>0</v>
      </c>
      <c r="J44" s="5">
        <f t="shared" si="19"/>
        <v>35</v>
      </c>
      <c r="K44" s="5">
        <f t="shared" si="19"/>
        <v>1700000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2400000</v>
      </c>
      <c r="P44" s="5">
        <f t="shared" si="19"/>
        <v>125000</v>
      </c>
      <c r="Q44" s="5">
        <f t="shared" si="19"/>
        <v>297125</v>
      </c>
      <c r="R44" s="5">
        <f t="shared" si="19"/>
        <v>942500</v>
      </c>
      <c r="S44" s="5">
        <f t="shared" si="19"/>
        <v>0</v>
      </c>
      <c r="T44" s="5"/>
      <c r="U44" s="5">
        <f t="shared" ref="U44:AA44" si="20">SUM(U6:U43)</f>
        <v>6481125</v>
      </c>
      <c r="V44" s="5">
        <f t="shared" si="20"/>
        <v>5000</v>
      </c>
      <c r="W44" s="5">
        <f t="shared" si="20"/>
        <v>0</v>
      </c>
      <c r="X44" s="5">
        <f t="shared" si="20"/>
        <v>0</v>
      </c>
      <c r="Y44" s="5">
        <f t="shared" si="20"/>
        <v>5075000</v>
      </c>
      <c r="Z44" s="5">
        <f t="shared" si="20"/>
        <v>300000</v>
      </c>
      <c r="AA44" s="5">
        <f t="shared" si="20"/>
        <v>0</v>
      </c>
      <c r="AB44" s="5"/>
      <c r="AC44" s="5">
        <f>SUM(AC6:AC43)</f>
        <v>70000</v>
      </c>
      <c r="AD44" s="5">
        <f>SUM(AD6:AD43)</f>
        <v>7500</v>
      </c>
      <c r="AE44" s="5">
        <f>SUM(AE6:AE43)</f>
        <v>70000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145000</v>
      </c>
      <c r="AJ44" s="5">
        <f t="shared" si="21"/>
        <v>379625</v>
      </c>
      <c r="AK44" s="5">
        <f t="shared" si="21"/>
        <v>1093000</v>
      </c>
      <c r="AL44" s="5">
        <f t="shared" si="21"/>
        <v>11500</v>
      </c>
      <c r="AM44" s="5">
        <f t="shared" si="21"/>
        <v>7000</v>
      </c>
      <c r="AN44" s="5">
        <f t="shared" si="21"/>
        <v>12500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874500</v>
      </c>
      <c r="AT44" s="5">
        <f t="shared" si="21"/>
        <v>0</v>
      </c>
      <c r="AU44" s="5">
        <f t="shared" si="21"/>
        <v>0</v>
      </c>
      <c r="AV44" s="5">
        <f t="shared" si="21"/>
        <v>0</v>
      </c>
      <c r="AW44" s="5">
        <f t="shared" si="21"/>
        <v>975000</v>
      </c>
      <c r="AX44" s="5">
        <f t="shared" si="21"/>
        <v>1272125</v>
      </c>
      <c r="AY44" s="5">
        <f t="shared" si="21"/>
        <v>3423000</v>
      </c>
      <c r="AZ44" s="5">
        <f t="shared" si="21"/>
        <v>6617125</v>
      </c>
      <c r="BA44" s="5">
        <f t="shared" si="21"/>
        <v>0</v>
      </c>
      <c r="BB44" s="5">
        <f t="shared" si="21"/>
        <v>0</v>
      </c>
      <c r="BC44" s="5">
        <f t="shared" si="21"/>
        <v>0</v>
      </c>
      <c r="BD44" s="5">
        <f t="shared" si="21"/>
        <v>6467125</v>
      </c>
      <c r="BE44" s="5">
        <f t="shared" si="21"/>
        <v>0</v>
      </c>
      <c r="BF44" s="5">
        <f t="shared" si="21"/>
        <v>9000</v>
      </c>
      <c r="BH44" s="5">
        <f t="shared" ref="BH44:BL44" si="22">SUM(BH6:BH43)</f>
        <v>6000</v>
      </c>
      <c r="BI44" s="5">
        <f t="shared" si="22"/>
        <v>0</v>
      </c>
      <c r="BJ44" s="5">
        <f t="shared" si="22"/>
        <v>0</v>
      </c>
      <c r="BK44" s="5">
        <f t="shared" si="22"/>
        <v>100000</v>
      </c>
      <c r="BL44" s="5">
        <f t="shared" si="22"/>
        <v>150000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1145500</v>
      </c>
      <c r="BB46" t="s">
        <v>232</v>
      </c>
      <c r="BD46" s="9">
        <v>5069625</v>
      </c>
      <c r="BE46" t="s">
        <v>233</v>
      </c>
    </row>
    <row r="47" spans="1:69" ht="18.5" x14ac:dyDescent="0.45">
      <c r="B47" s="1" t="s">
        <v>74</v>
      </c>
      <c r="C47" s="3" t="s">
        <v>8</v>
      </c>
      <c r="D47" s="96"/>
      <c r="E47" s="96"/>
      <c r="F47" s="96"/>
      <c r="G47" s="3" t="s">
        <v>9</v>
      </c>
      <c r="H47" s="96"/>
      <c r="I47" s="96"/>
      <c r="Z47" s="12"/>
      <c r="AI47" s="5"/>
      <c r="AV47" s="3"/>
      <c r="AW47" s="96"/>
      <c r="AX47" s="15"/>
      <c r="AY47" s="15"/>
      <c r="AZ47" s="16"/>
      <c r="BA47" s="14">
        <f>+BA46-BA44</f>
        <v>1145500</v>
      </c>
      <c r="BD47" s="14">
        <f>+BD46-BD44</f>
        <v>-1397500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6467125</v>
      </c>
      <c r="D50" s="9">
        <f>+D44</f>
        <v>4280000</v>
      </c>
      <c r="E50" s="9">
        <f>+C50-D50</f>
        <v>2187125</v>
      </c>
      <c r="F50" s="9"/>
      <c r="G50" s="9">
        <f>E44</f>
        <v>1145500</v>
      </c>
      <c r="H50" s="14">
        <f>+BA44</f>
        <v>0</v>
      </c>
      <c r="I50" s="88">
        <f>+G50-H50</f>
        <v>1145500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12828250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T6:T42 AP6:AP43 AF6:AF42" xr:uid="{F046BF4D-D9BF-4025-A0D3-FD0D7660B1A1}">
      <formula1>"BANQUE,ESPECES,EN COMPTE,AUTRES"</formula1>
    </dataValidation>
    <dataValidation type="list" showInputMessage="1" showErrorMessage="1" sqref="AA6:AA42" xr:uid="{E78909D5-A5F8-4BD3-8B07-CE4D425AC7DC}">
      <formula1>"BANQUE,ESPECES, 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54E3-FB59-4027-A2CC-F257209B9F46}">
  <dimension ref="A1:BQ88"/>
  <sheetViews>
    <sheetView zoomScale="87" zoomScaleNormal="87"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G20" sqref="G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VLOOKUP($A6,[6]HISTOBQUEMAI25!$A$6:$H$48,5,0)</f>
        <v>250000</v>
      </c>
      <c r="E6" s="91">
        <f>VLOOKUP($A6,[6]HISTOBQUEMAI25!$A$6:$H$48,4,0)</f>
        <v>0</v>
      </c>
      <c r="F6" s="91">
        <f>VLOOKUP($A6,[6]HISTOBQUEMAI25!$A$6:$H$48,6,0)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IFERROR(VLOOKUP(A6,[7]TONTMAI25!$A$6:$R$41,12,0),0)</f>
        <v>0</v>
      </c>
      <c r="Q6" s="2">
        <f>IFERROR(VLOOKUP(A6,[8]TONTMAI25!$A$6:$R$38,10,0),0)</f>
        <v>0</v>
      </c>
      <c r="R6" s="2">
        <f>IFERROR(VLOOKUP(A6,[9]TONTMAI25!$A$6:$R$42,10,0),0)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6000</v>
      </c>
      <c r="BA6" s="58"/>
      <c r="BB6" s="58"/>
      <c r="BC6" s="15">
        <f t="shared" ref="BC6:BC17" si="5">F6</f>
        <v>0</v>
      </c>
      <c r="BD6" s="57">
        <f>IF(AZ6=0,(AZ6-BA6-BC6),(AZ6-BA6-BB6-BC6))</f>
        <v>6000</v>
      </c>
      <c r="BE6" s="82"/>
      <c r="BF6" s="29">
        <f t="shared" ref="BF6:BF42" si="6">Z6*1/100*BG6</f>
        <v>0</v>
      </c>
      <c r="BG6" s="29">
        <v>7</v>
      </c>
      <c r="BH6" s="15">
        <f>BQ17</f>
        <v>6000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98">
        <f t="shared" ref="C7:C42" si="7">IF(I7&lt;&gt;"ECHEC",D7+E7+F7-U7,0)</f>
        <v>50000</v>
      </c>
      <c r="D7" s="9">
        <f>VLOOKUP($A7,[6]HISTOBQUEMAI25!$A$6:$H$48,5,0)</f>
        <v>100000</v>
      </c>
      <c r="E7" s="91">
        <f>VLOOKUP($A7,[6]HISTOBQUEMAI25!$A$6:$H$48,4,0)</f>
        <v>0</v>
      </c>
      <c r="F7" s="91">
        <f>VLOOKUP($A7,[6]HISTOBQUEMAI25!$A$6:$H$48,6,0)</f>
        <v>0</v>
      </c>
      <c r="G7" s="91">
        <v>-5000</v>
      </c>
      <c r="H7" s="5">
        <f>IF(I7="ESPECES",3000,0)+5000</f>
        <v>5000</v>
      </c>
      <c r="I7" s="10" t="str">
        <f t="shared" si="0"/>
        <v>BANQUE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IFERROR(VLOOKUP(A7,[7]TONTMAI25!$A$6:$R$41,12,0),0)</f>
        <v>0</v>
      </c>
      <c r="Q7" s="2">
        <f>IFERROR(VLOOKUP(A7,[8]TONTMAI25!$A$6:$R$38,10,0),0)</f>
        <v>0</v>
      </c>
      <c r="R7" s="2">
        <f>IFERROR(VLOOKUP(A7,[9]TONTMAI25!$A$6:$R$42,10,0),0)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IF(I7="ECHEC",0,(K7+G7-25000))+25000</f>
        <v>45000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7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VLOOKUP($A8,[6]HISTOBQUEMAI25!$A$6:$H$48,5,0)</f>
        <v>125000</v>
      </c>
      <c r="E8" s="91">
        <f>VLOOKUP($A8,[6]HISTOBQUEMAI25!$A$6:$H$48,4,0)</f>
        <v>0</v>
      </c>
      <c r="F8" s="91">
        <f>VLOOKUP($A8,[6]HISTOBQUEMAI25!$A$6:$H$48,6,0)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IFERROR(VLOOKUP(A8,[7]TONTMAI25!$A$6:$R$41,12,0),0)</f>
        <v>0</v>
      </c>
      <c r="Q8" s="2">
        <f>IFERROR(VLOOKUP(A8,[8]TONTMAI25!$A$6:$R$38,10,0),0)</f>
        <v>0</v>
      </c>
      <c r="R8" s="2">
        <f>IFERROR(VLOOKUP(A8,[9]TONTMAI25!$A$6:$R$42,10,0),0)</f>
        <v>0</v>
      </c>
      <c r="S8" s="20"/>
      <c r="T8" s="12"/>
      <c r="U8" s="17">
        <f t="shared" si="9"/>
        <v>125000</v>
      </c>
      <c r="V8" s="12"/>
      <c r="W8" s="12"/>
      <c r="X8" s="12"/>
      <c r="Y8" s="92">
        <f t="shared" si="10"/>
        <v>125000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>
        <f t="shared" si="5"/>
        <v>0</v>
      </c>
      <c r="BD8" s="57">
        <f t="shared" si="15"/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50000</v>
      </c>
      <c r="D9" s="9">
        <f>VLOOKUP($A9,[6]HISTOBQUEMAI25!$A$6:$H$48,5,0)</f>
        <v>250000</v>
      </c>
      <c r="E9" s="91">
        <f>VLOOKUP($A9,[6]HISTOBQUEMAI25!$A$6:$H$48,4,0)</f>
        <v>252000</v>
      </c>
      <c r="F9" s="91">
        <f>VLOOKUP($A9,[6]HISTOBQUEMAI25!$A$6:$H$48,6,0)</f>
        <v>0</v>
      </c>
      <c r="G9" s="91"/>
      <c r="H9" s="5">
        <f t="shared" si="16"/>
        <v>0</v>
      </c>
      <c r="I9" s="10" t="str">
        <f t="shared" si="0"/>
        <v>BANQUE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IFERROR(VLOOKUP(A9,[7]TONTMAI25!$A$6:$R$41,12,0),0)</f>
        <v>0</v>
      </c>
      <c r="Q9" s="2">
        <f>IFERROR(VLOOKUP(A9,[8]TONTMAI25!$A$6:$R$38,10,0),0)</f>
        <v>0</v>
      </c>
      <c r="R9" s="2">
        <f>IFERROR(VLOOKUP(A9,[9]TONTMAI25!$A$6:$R$42,10,0),0)</f>
        <v>202000</v>
      </c>
      <c r="S9" s="20"/>
      <c r="T9" s="12"/>
      <c r="U9" s="17">
        <f t="shared" si="9"/>
        <v>452000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100000</v>
      </c>
      <c r="AL9" s="12"/>
      <c r="AM9" s="12"/>
      <c r="AN9" s="12">
        <v>1000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100000</v>
      </c>
      <c r="AZ9" s="16">
        <f t="shared" si="14"/>
        <v>100000</v>
      </c>
      <c r="BA9" s="58"/>
      <c r="BB9" s="58"/>
      <c r="BC9" s="15">
        <f t="shared" si="5"/>
        <v>0</v>
      </c>
      <c r="BD9" s="57">
        <f t="shared" si="15"/>
        <v>100000</v>
      </c>
      <c r="BE9" s="82"/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VLOOKUP($A10,[6]HISTOBQUEMAI25!$A$6:$H$48,5,0)</f>
        <v>81000</v>
      </c>
      <c r="E10" s="91">
        <f>VLOOKUP($A10,[6]HISTOBQUEMAI25!$A$6:$H$48,4,0)</f>
        <v>1500</v>
      </c>
      <c r="F10" s="91">
        <f>VLOOKUP($A10,[6]HISTOBQUEMAI25!$A$6:$H$48,6,0)</f>
        <v>0</v>
      </c>
      <c r="G10" s="91"/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IFERROR(VLOOKUP(A10,[7]TONTMAI25!$A$6:$R$41,12,0),0)</f>
        <v>32500</v>
      </c>
      <c r="Q10" s="2">
        <f>IFERROR(VLOOKUP(A10,[8]TONTMAI25!$A$6:$R$38,10,0),0)</f>
        <v>0</v>
      </c>
      <c r="R10" s="2">
        <f>IFERROR(VLOOKUP(A10,[9]TONTMAI25!$A$6:$R$42,10,0),0)</f>
        <v>0</v>
      </c>
      <c r="S10" s="20"/>
      <c r="T10" s="12"/>
      <c r="U10" s="17">
        <f t="shared" si="9"/>
        <v>82500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30000</v>
      </c>
      <c r="AJ10" s="12"/>
      <c r="AK10" s="12"/>
      <c r="AL10" s="12">
        <v>500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30000</v>
      </c>
      <c r="AX10" s="15">
        <f t="shared" si="12"/>
        <v>0</v>
      </c>
      <c r="AY10" s="15">
        <f t="shared" si="13"/>
        <v>0</v>
      </c>
      <c r="AZ10" s="16">
        <f t="shared" si="14"/>
        <v>30000</v>
      </c>
      <c r="BA10" s="58"/>
      <c r="BB10" s="58"/>
      <c r="BC10" s="15">
        <f t="shared" si="5"/>
        <v>0</v>
      </c>
      <c r="BD10" s="57">
        <f t="shared" si="15"/>
        <v>30000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VLOOKUP($A11,[6]HISTOBQUEMAI25!$A$6:$H$48,5,0)</f>
        <v>150000</v>
      </c>
      <c r="E11" s="91">
        <f>VLOOKUP($A11,[6]HISTOBQUEMAI25!$A$6:$H$48,4,0)</f>
        <v>0</v>
      </c>
      <c r="F11" s="91">
        <f>VLOOKUP($A11,[6]HISTOBQUEMAI25!$A$6:$H$48,6,0)</f>
        <v>0</v>
      </c>
      <c r="G11" s="91"/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IFERROR(VLOOKUP(A11,[7]TONTMAI25!$A$6:$R$41,12,0),0)</f>
        <v>0</v>
      </c>
      <c r="Q11" s="2">
        <f>IFERROR(VLOOKUP(A11,[8]TONTMAI25!$A$6:$R$38,10,0),0)</f>
        <v>0</v>
      </c>
      <c r="R11" s="2">
        <f>IFERROR(VLOOKUP(A11,[9]TONTMAI25!$A$6:$R$42,10,0),0)</f>
        <v>0</v>
      </c>
      <c r="S11" s="20"/>
      <c r="T11" s="12"/>
      <c r="U11" s="17">
        <f t="shared" si="9"/>
        <v>150000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>
        <v>100000</v>
      </c>
      <c r="AL11" s="12"/>
      <c r="AM11" s="12"/>
      <c r="AN11" s="12">
        <v>1000</v>
      </c>
      <c r="AO11" s="12"/>
      <c r="AP11" s="12"/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100000</v>
      </c>
      <c r="AZ11" s="16">
        <f t="shared" si="14"/>
        <v>100000</v>
      </c>
      <c r="BA11" s="58"/>
      <c r="BB11" s="58"/>
      <c r="BC11" s="15">
        <f t="shared" si="5"/>
        <v>0</v>
      </c>
      <c r="BD11" s="57">
        <f t="shared" si="15"/>
        <v>100000</v>
      </c>
      <c r="BE11" s="82"/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VLOOKUP($A12,[6]HISTOBQUEMAI25!$A$6:$H$48,5,0)</f>
        <v>260000</v>
      </c>
      <c r="E12" s="91">
        <f>VLOOKUP($A12,[6]HISTOBQUEMAI25!$A$6:$H$48,4,0)</f>
        <v>0</v>
      </c>
      <c r="F12" s="91">
        <f>VLOOKUP($A12,[6]HISTOBQUEMAI25!$A$6:$H$48,6,0)</f>
        <v>0</v>
      </c>
      <c r="G12" s="91">
        <v>10000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IFERROR(VLOOKUP(A12,[7]TONTMAI25!$A$6:$R$41,12,0),0)</f>
        <v>0</v>
      </c>
      <c r="Q12" s="2">
        <f>IFERROR(VLOOKUP(A12,[8]TONTMAI25!$A$6:$R$38,10,0),0)</f>
        <v>0</v>
      </c>
      <c r="R12" s="2">
        <f>IFERROR(VLOOKUP(A12,[9]TONTMAI25!$A$6:$R$42,10,0),0)</f>
        <v>0</v>
      </c>
      <c r="S12" s="20"/>
      <c r="T12" s="12"/>
      <c r="U12" s="17">
        <f t="shared" si="9"/>
        <v>260000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>
        <v>53000</v>
      </c>
      <c r="AJ12" s="12"/>
      <c r="AK12" s="12"/>
      <c r="AL12" s="12">
        <v>1000</v>
      </c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7"/>
        <v>35000</v>
      </c>
      <c r="AT12" s="15"/>
      <c r="AV12" s="15"/>
      <c r="AW12" s="15">
        <f t="shared" si="11"/>
        <v>53000</v>
      </c>
      <c r="AX12" s="15">
        <f t="shared" si="12"/>
        <v>0</v>
      </c>
      <c r="AY12" s="15">
        <f t="shared" si="13"/>
        <v>0</v>
      </c>
      <c r="AZ12" s="16">
        <f t="shared" si="14"/>
        <v>53000</v>
      </c>
      <c r="BA12" s="58"/>
      <c r="BB12" s="58"/>
      <c r="BC12" s="15">
        <f t="shared" si="5"/>
        <v>0</v>
      </c>
      <c r="BD12" s="57">
        <f t="shared" si="15"/>
        <v>53000</v>
      </c>
      <c r="BE12" s="82"/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VLOOKUP($A13,[6]HISTOBQUEMAI25!$A$6:$H$48,5,0)</f>
        <v>50000</v>
      </c>
      <c r="E13" s="91">
        <f>VLOOKUP($A13,[6]HISTOBQUEMAI25!$A$6:$H$48,4,0)</f>
        <v>0</v>
      </c>
      <c r="F13" s="91">
        <f>VLOOKUP($A13,[6]HISTOBQUEMAI25!$A$6:$H$48,6,0)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IFERROR(VLOOKUP(A13,[7]TONTMAI25!$A$6:$R$41,12,0),0)</f>
        <v>0</v>
      </c>
      <c r="Q13" s="2">
        <f>IFERROR(VLOOKUP(A13,[8]TONTMAI25!$A$6:$R$38,10,0),0)</f>
        <v>0</v>
      </c>
      <c r="R13" s="2">
        <f>IFERROR(VLOOKUP(A13,[9]TONTMAI25!$A$6:$R$42,10,0),0)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>
        <v>5500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294500</v>
      </c>
      <c r="AX13" s="15">
        <f t="shared" si="12"/>
        <v>0</v>
      </c>
      <c r="AY13" s="15">
        <f t="shared" si="13"/>
        <v>0</v>
      </c>
      <c r="AZ13" s="16">
        <f t="shared" si="14"/>
        <v>294500</v>
      </c>
      <c r="BA13" s="58"/>
      <c r="BB13" s="58"/>
      <c r="BC13" s="15">
        <f t="shared" si="5"/>
        <v>0</v>
      </c>
      <c r="BD13" s="57">
        <f t="shared" si="15"/>
        <v>294500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VLOOKUP($A14,[6]HISTOBQUEMAI25!$A$6:$H$48,5,0)</f>
        <v>50000</v>
      </c>
      <c r="E14" s="91">
        <f>VLOOKUP($A14,[6]HISTOBQUEMAI25!$A$6:$H$48,4,0)</f>
        <v>0</v>
      </c>
      <c r="F14" s="91">
        <f>VLOOKUP($A14,[6]HISTOBQUEMAI25!$A$6:$H$48,6,0)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IFERROR(VLOOKUP(A14,[7]TONTMAI25!$A$6:$R$41,12,0),0)</f>
        <v>0</v>
      </c>
      <c r="Q14" s="2">
        <f>IFERROR(VLOOKUP(A14,[8]TONTMAI25!$A$6:$R$38,10,0),0)</f>
        <v>0</v>
      </c>
      <c r="R14" s="2">
        <f>IFERROR(VLOOKUP(A14,[9]TONTMAI25!$A$6:$R$42,10,0),0)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VLOOKUP($A15,[6]HISTOBQUEMAI25!$A$6:$H$48,5,0)</f>
        <v>150000</v>
      </c>
      <c r="E15" s="91">
        <f>VLOOKUP($A15,[6]HISTOBQUEMAI25!$A$6:$H$48,4,0)</f>
        <v>0</v>
      </c>
      <c r="F15" s="91">
        <f>VLOOKUP($A15,[6]HISTOBQUEMAI25!$A$6:$H$48,6,0)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IFERROR(VLOOKUP(A15,[7]TONTMAI25!$A$6:$R$41,12,0),0)</f>
        <v>0</v>
      </c>
      <c r="Q15" s="2">
        <f>IFERROR(VLOOKUP(A15,[8]TONTMAI25!$A$6:$R$38,10,0),0)</f>
        <v>0</v>
      </c>
      <c r="R15" s="2">
        <f>IFERROR(VLOOKUP(A15,[9]TONTMAI25!$A$6:$R$42,10,0),0)</f>
        <v>0</v>
      </c>
      <c r="S15" s="20"/>
      <c r="T15" s="12"/>
      <c r="U15" s="17">
        <f t="shared" si="9"/>
        <v>150000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>
        <f t="shared" si="5"/>
        <v>0</v>
      </c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VLOOKUP($A16,[6]HISTOBQUEMAI25!$A$6:$H$48,5,0)</f>
        <v>125000</v>
      </c>
      <c r="E16" s="91">
        <f>VLOOKUP($A16,[6]HISTOBQUEMAI25!$A$6:$H$48,4,0)</f>
        <v>0</v>
      </c>
      <c r="F16" s="91">
        <f>VLOOKUP($A16,[6]HISTOBQUEMAI25!$A$6:$H$48,6,0)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IFERROR(VLOOKUP(A16,[7]TONTMAI25!$A$6:$R$41,12,0),0)</f>
        <v>0</v>
      </c>
      <c r="Q16" s="2">
        <f>IFERROR(VLOOKUP(A16,[8]TONTMAI25!$A$6:$R$38,10,0),0)</f>
        <v>0</v>
      </c>
      <c r="R16" s="2">
        <f>IFERROR(VLOOKUP(A16,[9]TONTMAI25!$A$6:$R$42,10,0),0)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-152000</v>
      </c>
      <c r="D17" s="9">
        <f>VLOOKUP($A17,[6]HISTOBQUEMAI25!$A$6:$H$48,5,0)</f>
        <v>250000</v>
      </c>
      <c r="E17" s="91">
        <f>VLOOKUP($A17,[6]HISTOBQUEMAI25!$A$6:$H$48,4,0)</f>
        <v>0</v>
      </c>
      <c r="F17" s="91">
        <f>VLOOKUP($A17,[6]HISTOBQUEMAI25!$A$6:$H$48,6,0)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IFERROR(VLOOKUP(A17,[7]TONTMAI25!$A$6:$R$41,12,0),0)</f>
        <v>0</v>
      </c>
      <c r="Q17" s="2">
        <f>IFERROR(VLOOKUP(A17,[8]TONTMAI25!$A$6:$R$38,10,0),0)</f>
        <v>51000</v>
      </c>
      <c r="R17" s="2">
        <f>IFERROR(VLOOKUP(A17,[9]TONTMAI25!$A$6:$R$42,10,0),0)</f>
        <v>101000</v>
      </c>
      <c r="S17" s="20"/>
      <c r="T17" s="12"/>
      <c r="U17" s="17">
        <f t="shared" si="9"/>
        <v>402000</v>
      </c>
      <c r="V17" s="12"/>
      <c r="W17" s="12"/>
      <c r="X17" s="12"/>
      <c r="Y17" s="92">
        <f t="shared" si="10"/>
        <v>225000</v>
      </c>
      <c r="Z17" s="12"/>
      <c r="AA17" s="12"/>
      <c r="AB17" s="12"/>
      <c r="AC17" s="12">
        <v>4500</v>
      </c>
      <c r="AD17" s="12"/>
      <c r="AE17" s="12"/>
      <c r="AF17" s="12"/>
      <c r="AG17" s="12"/>
      <c r="AH17" s="12"/>
      <c r="AI17" s="12"/>
      <c r="AJ17" s="12">
        <v>50000</v>
      </c>
      <c r="AK17" s="12"/>
      <c r="AL17" s="12"/>
      <c r="AM17" s="12">
        <v>1000</v>
      </c>
      <c r="AN17" s="12"/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295500</v>
      </c>
      <c r="AX17" s="15">
        <f t="shared" si="12"/>
        <v>50000</v>
      </c>
      <c r="AY17" s="15">
        <f t="shared" si="13"/>
        <v>0</v>
      </c>
      <c r="AZ17" s="16">
        <f t="shared" si="14"/>
        <v>345500</v>
      </c>
      <c r="BA17" s="58"/>
      <c r="BB17" s="58"/>
      <c r="BC17" s="15">
        <f t="shared" si="5"/>
        <v>0</v>
      </c>
      <c r="BD17" s="57">
        <f t="shared" si="15"/>
        <v>345500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O17" s="62" t="s">
        <v>142</v>
      </c>
      <c r="BQ17" s="62">
        <f>SUM(BQ6:BQ16)</f>
        <v>6000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102000</v>
      </c>
      <c r="D18" s="9">
        <f>VLOOKUP($A18,[6]HISTOBQUEMAI25!$A$6:$H$48,5,0)</f>
        <v>150000</v>
      </c>
      <c r="E18" s="91">
        <f>VLOOKUP($A18,[6]HISTOBQUEMAI25!$A$6:$H$48,4,0)</f>
        <v>102000</v>
      </c>
      <c r="F18" s="91">
        <f>VLOOKUP($A18,[6]HISTOBQUEMAI25!$A$6:$H$48,6,0)</f>
        <v>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IFERROR(VLOOKUP(A18,[7]TONTMAI25!$A$6:$R$41,12,0),0)</f>
        <v>0</v>
      </c>
      <c r="Q18" s="2">
        <f>IFERROR(VLOOKUP(A18,[8]TONTMAI25!$A$6:$R$38,10,0),0)</f>
        <v>0</v>
      </c>
      <c r="R18" s="2">
        <f>IFERROR(VLOOKUP(A18,[9]TONTMAI25!$A$6:$R$42,10,0),0)</f>
        <v>0</v>
      </c>
      <c r="S18" s="20"/>
      <c r="T18" s="12"/>
      <c r="U18" s="17">
        <f t="shared" si="9"/>
        <v>150000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100000</v>
      </c>
      <c r="AZ18" s="16">
        <f t="shared" si="14"/>
        <v>100000</v>
      </c>
      <c r="BA18" s="58"/>
      <c r="BB18" s="58"/>
      <c r="BC18" s="15">
        <f>F18</f>
        <v>0</v>
      </c>
      <c r="BD18" s="57">
        <f t="shared" si="15"/>
        <v>100000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-500</v>
      </c>
      <c r="D19" s="9">
        <f>VLOOKUP($A19,[6]HISTOBQUEMAI25!$A$6:$H$48,5,0)</f>
        <v>298500</v>
      </c>
      <c r="E19" s="91">
        <f>VLOOKUP($A19,[6]HISTOBQUEMAI25!$A$6:$H$48,4,0)</f>
        <v>27000</v>
      </c>
      <c r="F19" s="91">
        <f>VLOOKUP($A19,[6]HISTOBQUEMAI25!$A$6:$H$48,6,0)</f>
        <v>0</v>
      </c>
      <c r="G19" s="91"/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IFERROR(VLOOKUP(A19,[7]TONTMAI25!$A$6:$R$41,12,0),0)</f>
        <v>0</v>
      </c>
      <c r="Q19" s="2">
        <f>IFERROR(VLOOKUP(A19,[8]TONTMAI25!$A$6:$R$38,10,0),0)</f>
        <v>0</v>
      </c>
      <c r="R19" s="2">
        <f>IFERROR(VLOOKUP(A19,[9]TONTMAI25!$A$6:$R$42,10,0),0)</f>
        <v>101000</v>
      </c>
      <c r="S19" s="20"/>
      <c r="T19" s="12"/>
      <c r="U19" s="17">
        <f t="shared" si="9"/>
        <v>326000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>
        <v>100000</v>
      </c>
      <c r="AL19" s="12"/>
      <c r="AM19" s="12"/>
      <c r="AN19" s="12">
        <v>1000</v>
      </c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100000</v>
      </c>
      <c r="AZ19" s="16">
        <f t="shared" si="14"/>
        <v>100000</v>
      </c>
      <c r="BA19" s="58"/>
      <c r="BB19" s="58"/>
      <c r="BC19" s="15">
        <f t="shared" ref="BC19:BC42" si="18">F19</f>
        <v>0</v>
      </c>
      <c r="BD19" s="57">
        <f t="shared" si="15"/>
        <v>100000</v>
      </c>
      <c r="BE19" s="82"/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/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VLOOKUP($A21,[6]HISTOBQUEMAI25!$A$6:$H$48,5,0)</f>
        <v>50000</v>
      </c>
      <c r="E21" s="91">
        <f>VLOOKUP($A21,[6]HISTOBQUEMAI25!$A$6:$H$48,4,0)</f>
        <v>0</v>
      </c>
      <c r="F21" s="91">
        <f>VLOOKUP($A21,[6]HISTOBQUEMAI25!$A$6:$H$48,6,0)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IFERROR(VLOOKUP(A21,[7]TONTMAI25!$A$6:$R$41,12,0),0)</f>
        <v>0</v>
      </c>
      <c r="Q21" s="2">
        <f>IFERROR(VLOOKUP(A21,[8]TONTMAI25!$A$6:$R$38,10,0),0)</f>
        <v>0</v>
      </c>
      <c r="R21" s="2">
        <f>IFERROR(VLOOKUP(A21,[9]TONTMAI25!$A$6:$R$42,10,0),0)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-102000</v>
      </c>
      <c r="D22" s="9">
        <f>VLOOKUP($A22,[6]HISTOBQUEMAI25!$A$6:$H$48,5,0)</f>
        <v>325000</v>
      </c>
      <c r="E22" s="91">
        <f>VLOOKUP($A22,[6]HISTOBQUEMAI25!$A$6:$H$48,4,0)</f>
        <v>202000</v>
      </c>
      <c r="F22" s="91">
        <f>VLOOKUP($A22,[6]HISTOBQUEMAI25!$A$6:$H$48,6,0)</f>
        <v>0</v>
      </c>
      <c r="G22" s="91"/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IFERROR(VLOOKUP(A22,[7]TONTMAI25!$A$6:$R$41,12,0),0)</f>
        <v>0</v>
      </c>
      <c r="Q22" s="2">
        <f>IFERROR(VLOOKUP(A22,[8]TONTMAI25!$A$6:$R$38,10,0),0)</f>
        <v>102000</v>
      </c>
      <c r="R22" s="2">
        <f>IFERROR(VLOOKUP(A22,[9]TONTMAI25!$A$6:$R$42,10,0),0)</f>
        <v>202000</v>
      </c>
      <c r="S22" s="20"/>
      <c r="T22" s="12"/>
      <c r="U22" s="17">
        <f t="shared" si="9"/>
        <v>629000</v>
      </c>
      <c r="V22" s="12"/>
      <c r="W22" s="12"/>
      <c r="X22" s="12"/>
      <c r="Y22" s="92">
        <f t="shared" si="10"/>
        <v>325000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>
        <v>100000</v>
      </c>
      <c r="AK22" s="12">
        <v>200000</v>
      </c>
      <c r="AL22" s="12"/>
      <c r="AM22" s="12">
        <v>2000</v>
      </c>
      <c r="AN22" s="12">
        <v>2000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0</v>
      </c>
      <c r="AX22" s="15">
        <f t="shared" si="12"/>
        <v>100000</v>
      </c>
      <c r="AY22" s="15">
        <f t="shared" si="13"/>
        <v>200000</v>
      </c>
      <c r="AZ22" s="16">
        <f t="shared" si="14"/>
        <v>300000</v>
      </c>
      <c r="BA22" s="58"/>
      <c r="BB22" s="58"/>
      <c r="BC22" s="15">
        <f t="shared" si="18"/>
        <v>0</v>
      </c>
      <c r="BD22" s="57">
        <f t="shared" si="15"/>
        <v>300000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150000</v>
      </c>
      <c r="D23" s="9">
        <f>VLOOKUP($A23,[6]HISTOBQUEMAI25!$A$6:$H$48,5,0)</f>
        <v>0</v>
      </c>
      <c r="E23" s="91">
        <f>VLOOKUP($A23,[6]HISTOBQUEMAI25!$A$6:$H$48,4,0)</f>
        <v>203000</v>
      </c>
      <c r="F23" s="91">
        <f>VLOOKUP($A23,[6]HISTOBQUEMAI25!$A$6:$H$48,6,0)</f>
        <v>0</v>
      </c>
      <c r="G23" s="91"/>
      <c r="H23" s="5">
        <f t="shared" si="16"/>
        <v>3000</v>
      </c>
      <c r="I23" s="10" t="str">
        <f t="shared" si="0"/>
        <v>ESPECES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IFERROR(VLOOKUP(A23,[7]TONTMAI25!$A$6:$R$41,12,0),0)</f>
        <v>0</v>
      </c>
      <c r="Q23" s="2">
        <f>IFERROR(VLOOKUP(A23,[8]TONTMAI25!$A$6:$R$38,10,0),0)</f>
        <v>0</v>
      </c>
      <c r="R23" s="2">
        <f>IFERROR(VLOOKUP(A23,[9]TONTMAI25!$A$6:$R$42,10,0),0)</f>
        <v>0</v>
      </c>
      <c r="S23" s="20"/>
      <c r="T23" s="12"/>
      <c r="U23" s="17">
        <f t="shared" si="9"/>
        <v>53000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VLOOKUP($A24,[6]HISTOBQUEMAI25!$A$6:$H$48,5,0)</f>
        <v>125000</v>
      </c>
      <c r="E24" s="91">
        <f>VLOOKUP($A24,[6]HISTOBQUEMAI25!$A$6:$H$48,4,0)</f>
        <v>0</v>
      </c>
      <c r="F24" s="91">
        <f>VLOOKUP($A24,[6]HISTOBQUEMAI25!$A$6:$H$48,6,0)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IFERROR(VLOOKUP(A24,[7]TONTMAI25!$A$6:$R$41,12,0),0)</f>
        <v>0</v>
      </c>
      <c r="Q24" s="2">
        <f>IFERROR(VLOOKUP(A24,[8]TONTMAI25!$A$6:$R$38,10,0),0)</f>
        <v>0</v>
      </c>
      <c r="R24" s="2">
        <f>IFERROR(VLOOKUP(A24,[9]TONTMAI25!$A$6:$R$42,10,0),0)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0</v>
      </c>
      <c r="BA24" s="58"/>
      <c r="BB24" s="58"/>
      <c r="BC24" s="15">
        <f t="shared" si="18"/>
        <v>0</v>
      </c>
      <c r="BD24" s="57">
        <f t="shared" si="15"/>
        <v>0</v>
      </c>
      <c r="BE24" s="82"/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-195500</v>
      </c>
      <c r="D25" s="9">
        <f>VLOOKUP($A25,[6]HISTOBQUEMAI25!$A$6:$H$48,5,0)</f>
        <v>260000</v>
      </c>
      <c r="E25" s="91">
        <f>VLOOKUP($A25,[6]HISTOBQUEMAI25!$A$6:$H$48,4,0)</f>
        <v>0</v>
      </c>
      <c r="F25" s="91">
        <f>VLOOKUP($A25,[6]HISTOBQUEMAI25!$A$6:$H$48,6,0)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IFERROR(VLOOKUP(A25,[7]TONTMAI25!$A$6:$R$41,12,0),0)</f>
        <v>0</v>
      </c>
      <c r="Q25" s="2">
        <f>IFERROR(VLOOKUP(A25,[8]TONTMAI25!$A$6:$R$38,10,0),0)</f>
        <v>0</v>
      </c>
      <c r="R25" s="2">
        <f>IFERROR(VLOOKUP(A25,[9]TONTMAI25!$A$6:$R$42,10,0),0)</f>
        <v>195500</v>
      </c>
      <c r="S25" s="20"/>
      <c r="T25" s="12"/>
      <c r="U25" s="17">
        <f t="shared" si="9"/>
        <v>455500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>
        <v>10000</v>
      </c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1390000</v>
      </c>
      <c r="AZ25" s="16">
        <f t="shared" si="14"/>
        <v>1390000</v>
      </c>
      <c r="BA25" s="58"/>
      <c r="BB25" s="58"/>
      <c r="BC25" s="15">
        <f t="shared" si="18"/>
        <v>0</v>
      </c>
      <c r="BD25" s="57">
        <f t="shared" si="15"/>
        <v>1390000</v>
      </c>
      <c r="BE25" s="82"/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VLOOKUP($A26,[6]HISTOBQUEMAI25!$A$6:$H$48,5,0)</f>
        <v>240000</v>
      </c>
      <c r="E26" s="91">
        <f>VLOOKUP($A26,[6]HISTOBQUEMAI25!$A$6:$H$48,4,0)</f>
        <v>283625</v>
      </c>
      <c r="F26" s="91">
        <f>VLOOKUP($A26,[6]HISTOBQUEMAI25!$A$6:$H$48,6,0)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IFERROR(VLOOKUP(A26,[7]TONTMAI25!$A$6:$R$41,12,0),0)</f>
        <v>0</v>
      </c>
      <c r="Q26" s="2">
        <f>IFERROR(VLOOKUP(A26,[8]TONTMAI25!$A$6:$R$38,10,0),0)</f>
        <v>80625</v>
      </c>
      <c r="R26" s="2">
        <f>IFERROR(VLOOKUP(A26,[9]TONTMAI25!$A$6:$R$42,10,0),0)</f>
        <v>203000</v>
      </c>
      <c r="S26" s="20"/>
      <c r="T26" s="12"/>
      <c r="U26" s="17">
        <f t="shared" si="9"/>
        <v>523625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>
        <v>119125</v>
      </c>
      <c r="AK26" s="12">
        <v>130500</v>
      </c>
      <c r="AL26" s="12"/>
      <c r="AM26" s="12">
        <v>2000</v>
      </c>
      <c r="AN26" s="12">
        <v>2000</v>
      </c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119125</v>
      </c>
      <c r="AY26" s="15">
        <f>IF(AE26=0,AK26,(1*100000*12)+(AK26)-AE26)</f>
        <v>130500</v>
      </c>
      <c r="AZ26" s="16">
        <f t="shared" si="14"/>
        <v>249625</v>
      </c>
      <c r="BA26" s="58"/>
      <c r="BB26" s="58"/>
      <c r="BC26" s="15">
        <f t="shared" si="18"/>
        <v>0</v>
      </c>
      <c r="BD26" s="57">
        <f t="shared" si="15"/>
        <v>249625</v>
      </c>
      <c r="BE26" s="82"/>
      <c r="BF26" s="29">
        <f t="shared" si="6"/>
        <v>0</v>
      </c>
      <c r="BG26" s="29">
        <v>7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-35000</v>
      </c>
      <c r="D27" s="9">
        <f>VLOOKUP($A27,[6]HISTOBQUEMAI25!$A$6:$H$48,5,0)</f>
        <v>250000</v>
      </c>
      <c r="E27" s="91">
        <f>VLOOKUP($A27,[6]HISTOBQUEMAI25!$A$6:$H$48,4,0)</f>
        <v>0</v>
      </c>
      <c r="F27" s="91">
        <f>VLOOKUP($A27,[6]HISTOBQUEMAI25!$A$6:$H$48,6,0)</f>
        <v>0</v>
      </c>
      <c r="G27" s="91"/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IFERROR(VLOOKUP(A27,[7]TONTMAI25!$A$6:$R$41,12,0),0)</f>
        <v>35000</v>
      </c>
      <c r="Q27" s="2">
        <f>IFERROR(VLOOKUP(A27,[8]TONTMAI25!$A$6:$R$38,10,0),0)</f>
        <v>0</v>
      </c>
      <c r="R27" s="2">
        <f>IFERROR(VLOOKUP(A27,[9]TONTMAI25!$A$6:$R$42,10,0),0)</f>
        <v>0</v>
      </c>
      <c r="S27" s="20"/>
      <c r="T27" s="12"/>
      <c r="U27" s="17">
        <f t="shared" si="9"/>
        <v>285000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v>200000</v>
      </c>
      <c r="AL27" s="12"/>
      <c r="AM27" s="12"/>
      <c r="AN27" s="12">
        <v>2500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200000</v>
      </c>
      <c r="AZ27" s="16">
        <f t="shared" si="14"/>
        <v>300000</v>
      </c>
      <c r="BA27" s="58"/>
      <c r="BB27" s="58"/>
      <c r="BC27" s="15">
        <f t="shared" si="18"/>
        <v>0</v>
      </c>
      <c r="BD27" s="57">
        <f t="shared" si="15"/>
        <v>300000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>
        <v>100000</v>
      </c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295000</v>
      </c>
      <c r="D28" s="9">
        <f>VLOOKUP($A28,[6]HISTOBQUEMAI25!$A$6:$H$48,5,0)</f>
        <v>345000</v>
      </c>
      <c r="E28" s="91">
        <f>VLOOKUP($A28,[6]HISTOBQUEMAI25!$A$6:$H$48,4,0)</f>
        <v>0</v>
      </c>
      <c r="F28" s="91">
        <f>VLOOKUP($A28,[6]HISTOBQUEMAI25!$A$6:$H$48,6,0)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IFERROR(VLOOKUP(A28,[7]TONTMAI25!$A$6:$R$41,12,0),0)</f>
        <v>0</v>
      </c>
      <c r="Q28" s="2">
        <f>IFERROR(VLOOKUP(A28,[8]TONTMAI25!$A$6:$R$38,10,0),0)</f>
        <v>0</v>
      </c>
      <c r="R28" s="2">
        <f>IFERROR(VLOOKUP(A28,[9]TONTMAI25!$A$6:$R$42,10,0),0)</f>
        <v>0</v>
      </c>
      <c r="S28" s="20"/>
      <c r="T28" s="12"/>
      <c r="U28" s="17">
        <f t="shared" si="9"/>
        <v>50000</v>
      </c>
      <c r="V28" s="12"/>
      <c r="W28" s="12"/>
      <c r="X28" s="12"/>
      <c r="Y28" s="92">
        <f t="shared" si="10"/>
        <v>50000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>
        <f t="shared" si="18"/>
        <v>0</v>
      </c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VLOOKUP($A29,[6]HISTOBQUEMAI25!$A$6:$H$48,5,0)</f>
        <v>50000</v>
      </c>
      <c r="E29" s="91">
        <f>VLOOKUP($A29,[6]HISTOBQUEMAI25!$A$6:$H$48,4,0)</f>
        <v>0</v>
      </c>
      <c r="F29" s="91">
        <f>VLOOKUP($A29,[6]HISTOBQUEMAI25!$A$6:$H$48,6,0)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IFERROR(VLOOKUP(A29,[7]TONTMAI25!$A$6:$R$41,12,0),0)</f>
        <v>0</v>
      </c>
      <c r="Q29" s="2">
        <f>IFERROR(VLOOKUP(A29,[8]TONTMAI25!$A$6:$R$38,10,0),0)</f>
        <v>0</v>
      </c>
      <c r="R29" s="2">
        <f>IFERROR(VLOOKUP(A29,[9]TONTMAI25!$A$6:$R$42,10,0),0)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VLOOKUP($A30,[6]HISTOBQUEMAI25!$A$6:$H$48,5,0)</f>
        <v>125000</v>
      </c>
      <c r="E30" s="91">
        <f>VLOOKUP($A30,[6]HISTOBQUEMAI25!$A$6:$H$48,4,0)</f>
        <v>0</v>
      </c>
      <c r="F30" s="91">
        <f>VLOOKUP($A30,[6]HISTOBQUEMAI25!$A$6:$H$48,6,0)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IFERROR(VLOOKUP(A30,[7]TONTMAI25!$A$6:$R$41,12,0),0)</f>
        <v>0</v>
      </c>
      <c r="Q30" s="2">
        <f>IFERROR(VLOOKUP(A30,[8]TONTMAI25!$A$6:$R$38,10,0),0)</f>
        <v>0</v>
      </c>
      <c r="R30" s="2">
        <f>IFERROR(VLOOKUP(A30,[9]TONTMAI25!$A$6:$R$42,10,0),0)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>
        <v>7500</v>
      </c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892500</v>
      </c>
      <c r="AY30" s="15">
        <f t="shared" si="13"/>
        <v>0</v>
      </c>
      <c r="AZ30" s="16">
        <f t="shared" si="14"/>
        <v>892500</v>
      </c>
      <c r="BA30" s="58"/>
      <c r="BB30" s="58"/>
      <c r="BC30" s="15">
        <f t="shared" si="18"/>
        <v>0</v>
      </c>
      <c r="BD30" s="57">
        <f t="shared" si="15"/>
        <v>892500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14">
        <f t="shared" si="7"/>
        <v>-59000</v>
      </c>
      <c r="D31" s="9">
        <f>VLOOKUP($A31,[6]HISTOBQUEMAI25!$A$6:$H$48,5,0)</f>
        <v>50000</v>
      </c>
      <c r="E31" s="91">
        <f>VLOOKUP($A31,[6]HISTOBQUEMAI25!$A$6:$H$48,4,0)</f>
        <v>30000</v>
      </c>
      <c r="F31" s="91">
        <f>VLOOKUP($A31,[6]HISTOBQUEMAI25!$A$6:$H$48,6,0)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IFERROR(VLOOKUP(A31,[7]TONTMAI25!$A$6:$R$41,12,0),0)</f>
        <v>89000</v>
      </c>
      <c r="Q31" s="2">
        <f>IFERROR(VLOOKUP(A31,[8]TONTMAI25!$A$6:$R$38,10,0),0)</f>
        <v>0</v>
      </c>
      <c r="R31" s="2">
        <f>IFERROR(VLOOKUP(A31,[9]TONTMAI25!$A$6:$R$42,10,0),0)</f>
        <v>0</v>
      </c>
      <c r="S31" s="20"/>
      <c r="T31" s="12"/>
      <c r="U31" s="17">
        <f t="shared" si="9"/>
        <v>139000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59000</v>
      </c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59000</v>
      </c>
      <c r="AX31" s="15">
        <f t="shared" si="12"/>
        <v>0</v>
      </c>
      <c r="AY31" s="15">
        <f t="shared" si="13"/>
        <v>0</v>
      </c>
      <c r="AZ31" s="16">
        <f t="shared" si="14"/>
        <v>59000</v>
      </c>
      <c r="BA31" s="58"/>
      <c r="BB31" s="58"/>
      <c r="BC31" s="15">
        <f t="shared" si="18"/>
        <v>0</v>
      </c>
      <c r="BD31" s="57">
        <f t="shared" si="15"/>
        <v>59000</v>
      </c>
      <c r="BE31" s="82"/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VLOOKUP($A32,[6]HISTOBQUEMAI25!$A$6:$H$48,5,0)</f>
        <v>250000</v>
      </c>
      <c r="E32" s="91">
        <f>VLOOKUP($A32,[6]HISTOBQUEMAI25!$A$6:$H$48,4,0)</f>
        <v>0</v>
      </c>
      <c r="F32" s="91">
        <f>VLOOKUP($A32,[6]HISTOBQUEMAI25!$A$6:$H$48,6,0)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IFERROR(VLOOKUP(A32,[7]TONTMAI25!$A$6:$R$41,12,0),0)</f>
        <v>0</v>
      </c>
      <c r="Q32" s="2">
        <f>IFERROR(VLOOKUP(A32,[8]TONTMAI25!$A$6:$R$38,10,0),0)</f>
        <v>0</v>
      </c>
      <c r="R32" s="2">
        <f>IFERROR(VLOOKUP(A32,[9]TONTMAI25!$A$6:$R$42,10,0),0)</f>
        <v>0</v>
      </c>
      <c r="S32" s="20"/>
      <c r="T32" s="12"/>
      <c r="U32" s="17">
        <f t="shared" si="9"/>
        <v>250000</v>
      </c>
      <c r="V32" s="12"/>
      <c r="W32" s="12"/>
      <c r="X32" s="12"/>
      <c r="Y32" s="92">
        <f t="shared" si="10"/>
        <v>250000</v>
      </c>
      <c r="Z32" s="12"/>
      <c r="AA32" s="12"/>
      <c r="AB32" s="12"/>
      <c r="AC32" s="12">
        <v>5500</v>
      </c>
      <c r="AD32" s="12"/>
      <c r="AE32" s="12">
        <v>15000</v>
      </c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294500</v>
      </c>
      <c r="AX32" s="15">
        <f t="shared" si="12"/>
        <v>0</v>
      </c>
      <c r="AY32" s="15">
        <f t="shared" si="13"/>
        <v>1185000</v>
      </c>
      <c r="AZ32" s="16">
        <f t="shared" si="14"/>
        <v>1479500</v>
      </c>
      <c r="BA32" s="58"/>
      <c r="BB32" s="58"/>
      <c r="BC32" s="15">
        <f t="shared" si="18"/>
        <v>0</v>
      </c>
      <c r="BD32" s="57">
        <f t="shared" si="15"/>
        <v>1479500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VLOOKUP($A33,[6]HISTOBQUEMAI25!$A$6:$H$48,5,0)</f>
        <v>0</v>
      </c>
      <c r="E33" s="91">
        <f>VLOOKUP($A33,[6]HISTOBQUEMAI25!$A$6:$H$48,4,0)</f>
        <v>53000</v>
      </c>
      <c r="F33" s="91">
        <f>VLOOKUP($A33,[6]HISTOBQUEMAI25!$A$6:$H$48,6,0)</f>
        <v>0</v>
      </c>
      <c r="G33" s="91"/>
      <c r="H33" s="5">
        <f t="shared" si="16"/>
        <v>3000</v>
      </c>
      <c r="I33" s="10" t="str">
        <f t="shared" si="0"/>
        <v>ESPECES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IFERROR(VLOOKUP(A33,[7]TONTMAI25!$A$6:$R$41,12,0),0)</f>
        <v>0</v>
      </c>
      <c r="Q33" s="2">
        <f>IFERROR(VLOOKUP(A33,[8]TONTMAI25!$A$6:$R$38,10,0),0)</f>
        <v>0</v>
      </c>
      <c r="R33" s="2">
        <f>IFERROR(VLOOKUP(A33,[9]TONTMAI25!$A$6:$R$42,10,0),0)</f>
        <v>0</v>
      </c>
      <c r="S33" s="20"/>
      <c r="T33" s="12"/>
      <c r="U33" s="17">
        <f t="shared" si="9"/>
        <v>53000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VLOOKUP($A34,[6]HISTOBQUEMAI25!$A$6:$H$48,5,0)</f>
        <v>150000</v>
      </c>
      <c r="E34" s="91">
        <f>VLOOKUP($A34,[6]HISTOBQUEMAI25!$A$6:$H$48,4,0)</f>
        <v>0</v>
      </c>
      <c r="F34" s="91">
        <f>VLOOKUP($A34,[6]HISTOBQUEMAI25!$A$6:$H$48,6,0)</f>
        <v>0</v>
      </c>
      <c r="G34" s="91"/>
      <c r="H34" s="5">
        <f t="shared" si="16"/>
        <v>0</v>
      </c>
      <c r="I34" s="10" t="str">
        <f t="shared" si="0"/>
        <v>BANQUE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f>IFERROR(VLOOKUP(A34,[7]TONTMAI25!$A$6:$R$41,12,0),0)</f>
        <v>0</v>
      </c>
      <c r="Q34" s="2">
        <f>IFERROR(VLOOKUP(A34,[8]TONTMAI25!$A$6:$R$38,10,0),0)</f>
        <v>0</v>
      </c>
      <c r="R34" s="2">
        <f>IFERROR(VLOOKUP(A34,[9]TONTMAI25!$A$6:$R$42,10,0),0)</f>
        <v>0</v>
      </c>
      <c r="S34" s="20"/>
      <c r="T34" s="12"/>
      <c r="U34" s="17">
        <f t="shared" si="9"/>
        <v>150000</v>
      </c>
      <c r="V34" s="12"/>
      <c r="W34" s="12"/>
      <c r="X34" s="12"/>
      <c r="Y34" s="92">
        <f t="shared" si="10"/>
        <v>150000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>
        <v>30000</v>
      </c>
      <c r="AJ34" s="12"/>
      <c r="AK34" s="12"/>
      <c r="AL34" s="12">
        <v>500</v>
      </c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7"/>
        <v>25000</v>
      </c>
      <c r="AT34" s="15"/>
      <c r="AV34" s="15"/>
      <c r="AW34" s="15">
        <f t="shared" si="11"/>
        <v>30000</v>
      </c>
      <c r="AX34" s="15">
        <f t="shared" si="12"/>
        <v>0</v>
      </c>
      <c r="AY34" s="15">
        <f t="shared" si="13"/>
        <v>0</v>
      </c>
      <c r="AZ34" s="16">
        <f t="shared" si="14"/>
        <v>30000</v>
      </c>
      <c r="BA34" s="58"/>
      <c r="BB34" s="58"/>
      <c r="BC34" s="15">
        <f t="shared" si="18"/>
        <v>0</v>
      </c>
      <c r="BD34" s="57">
        <f t="shared" si="15"/>
        <v>30000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-51000</v>
      </c>
      <c r="D35" s="9">
        <f>VLOOKUP($A35,[6]HISTOBQUEMAI25!$A$6:$H$48,5,0)</f>
        <v>125000</v>
      </c>
      <c r="E35" s="91">
        <f>VLOOKUP($A35,[6]HISTOBQUEMAI25!$A$6:$H$48,4,0)</f>
        <v>0</v>
      </c>
      <c r="F35" s="91">
        <f>VLOOKUP($A35,[6]HISTOBQUEMAI25!$A$6:$H$48,6,0)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IFERROR(VLOOKUP(A35,[7]TONTMAI25!$A$6:$R$41,12,0),0)</f>
        <v>0</v>
      </c>
      <c r="Q35" s="2">
        <f>IFERROR(VLOOKUP(A35,[8]TONTMAI25!$A$6:$R$38,10,0),0)</f>
        <v>51000</v>
      </c>
      <c r="R35" s="2">
        <f>IFERROR(VLOOKUP(A35,[9]TONTMAI25!$A$6:$R$42,10,0),0)</f>
        <v>0</v>
      </c>
      <c r="S35" s="20"/>
      <c r="T35" s="12"/>
      <c r="U35" s="17">
        <f t="shared" si="9"/>
        <v>176000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v>100000</v>
      </c>
      <c r="AK35" s="12"/>
      <c r="AL35" s="12"/>
      <c r="AM35" s="12">
        <v>2000</v>
      </c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100000</v>
      </c>
      <c r="AY35" s="15">
        <f t="shared" si="13"/>
        <v>0</v>
      </c>
      <c r="AZ35" s="16">
        <f t="shared" si="14"/>
        <v>100000</v>
      </c>
      <c r="BA35" s="58"/>
      <c r="BB35" s="58"/>
      <c r="BC35" s="15">
        <f t="shared" si="18"/>
        <v>0</v>
      </c>
      <c r="BD35" s="57">
        <f t="shared" si="15"/>
        <v>100000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-101000</v>
      </c>
      <c r="D36" s="9">
        <f>VLOOKUP($A36,[6]HISTOBQUEMAI25!$A$6:$H$48,5,0)</f>
        <v>150000</v>
      </c>
      <c r="E36" s="91">
        <f>VLOOKUP($A36,[6]HISTOBQUEMAI25!$A$6:$H$48,4,0)</f>
        <v>0</v>
      </c>
      <c r="F36" s="91">
        <f>VLOOKUP($A36,[6]HISTOBQUEMAI25!$A$6:$H$48,6,0)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IFERROR(VLOOKUP(A36,[7]TONTMAI25!$A$6:$R$41,12,0),0)</f>
        <v>0</v>
      </c>
      <c r="Q36" s="2">
        <f>IFERROR(VLOOKUP(A36,[8]TONTMAI25!$A$6:$R$38,10,0),0)</f>
        <v>0</v>
      </c>
      <c r="R36" s="2">
        <f>IFERROR(VLOOKUP(A36,[9]TONTMAI25!$A$6:$R$42,10,0),0)</f>
        <v>101000</v>
      </c>
      <c r="S36" s="20"/>
      <c r="T36" s="12"/>
      <c r="U36" s="17">
        <f t="shared" si="9"/>
        <v>251000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 t="s">
        <v>8</v>
      </c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>
        <f t="shared" si="18"/>
        <v>0</v>
      </c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VLOOKUP($A37,[6]HISTOBQUEMAI25!$A$6:$H$48,5,0)</f>
        <v>50000</v>
      </c>
      <c r="E37" s="91">
        <f>VLOOKUP($A37,[6]HISTOBQUEMAI25!$A$6:$H$48,4,0)</f>
        <v>0</v>
      </c>
      <c r="F37" s="91">
        <f>VLOOKUP($A37,[6]HISTOBQUEMAI25!$A$6:$H$48,6,0)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IFERROR(VLOOKUP(A37,[7]TONTMAI25!$A$6:$R$41,12,0),0)</f>
        <v>0</v>
      </c>
      <c r="Q37" s="2">
        <f>IFERROR(VLOOKUP(A37,[8]TONTMAI25!$A$6:$R$38,10,0),0)</f>
        <v>0</v>
      </c>
      <c r="R37" s="2">
        <f>IFERROR(VLOOKUP(A37,[9]TONTMAI25!$A$6:$R$42,10,0),0)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7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VLOOKUP($A38,[6]HISTOBQUEMAI25!$A$6:$H$48,5,0)</f>
        <v>0</v>
      </c>
      <c r="E38" s="91">
        <f>VLOOKUP($A38,[6]HISTOBQUEMAI25!$A$6:$H$48,4,0)</f>
        <v>50000</v>
      </c>
      <c r="F38" s="91">
        <f>VLOOKUP($A38,[6]HISTOBQUEMAI25!$A$6:$H$48,6,0)</f>
        <v>0</v>
      </c>
      <c r="G38" s="91">
        <v>-3000</v>
      </c>
      <c r="H38" s="5">
        <f t="shared" si="16"/>
        <v>3000</v>
      </c>
      <c r="I38" s="10" t="str">
        <f t="shared" si="0"/>
        <v>ESPECES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IFERROR(VLOOKUP(A38,[7]TONTMAI25!$A$6:$R$41,12,0),0)</f>
        <v>0</v>
      </c>
      <c r="Q38" s="2">
        <f>IFERROR(VLOOKUP(A38,[8]TONTMAI25!$A$6:$R$38,10,0),0)</f>
        <v>0</v>
      </c>
      <c r="R38" s="2">
        <f>IFERROR(VLOOKUP(A38,[9]TONTMAI25!$A$6:$R$42,10,0),0)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22000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7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-102000</v>
      </c>
      <c r="D39" s="9">
        <f>VLOOKUP($A39,[6]HISTOBQUEMAI25!$A$6:$H$48,5,0)</f>
        <v>125000</v>
      </c>
      <c r="E39" s="91">
        <f>VLOOKUP($A39,[6]HISTOBQUEMAI25!$A$6:$H$48,4,0)</f>
        <v>0</v>
      </c>
      <c r="F39" s="91">
        <f>VLOOKUP($A39,[6]HISTOBQUEMAI25!$A$6:$H$48,6,0)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IFERROR(VLOOKUP(A39,[7]TONTMAI25!$A$6:$R$41,12,0),0)</f>
        <v>0</v>
      </c>
      <c r="Q39" s="2">
        <f>IFERROR(VLOOKUP(A39,[8]TONTMAI25!$A$6:$R$38,10,0),0)</f>
        <v>102000</v>
      </c>
      <c r="R39" s="2">
        <f>IFERROR(VLOOKUP(A39,[9]TONTMAI25!$A$6:$R$42,10,0),0)</f>
        <v>0</v>
      </c>
      <c r="S39" s="20"/>
      <c r="T39" s="12"/>
      <c r="U39" s="17">
        <f t="shared" si="9"/>
        <v>227000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v>100000</v>
      </c>
      <c r="AK39" s="12"/>
      <c r="AL39" s="12"/>
      <c r="AM39" s="12">
        <v>2000</v>
      </c>
      <c r="AN39" s="12"/>
      <c r="AO39" s="12"/>
      <c r="AP39" s="12" t="s">
        <v>8</v>
      </c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100000</v>
      </c>
      <c r="AY39" s="15">
        <f t="shared" si="13"/>
        <v>0</v>
      </c>
      <c r="AZ39" s="16">
        <f t="shared" si="14"/>
        <v>100000</v>
      </c>
      <c r="BA39" s="58"/>
      <c r="BB39" s="58"/>
      <c r="BC39" s="15">
        <f t="shared" si="18"/>
        <v>0</v>
      </c>
      <c r="BD39" s="57">
        <f t="shared" si="15"/>
        <v>100000</v>
      </c>
      <c r="BE39" s="82"/>
      <c r="BF39" s="29">
        <f t="shared" si="6"/>
        <v>0</v>
      </c>
      <c r="BG39" s="29">
        <v>7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VLOOKUP($A40,[6]HISTOBQUEMAI25!$A$6:$H$48,5,0)</f>
        <v>50000</v>
      </c>
      <c r="E40" s="91">
        <f>VLOOKUP($A40,[6]HISTOBQUEMAI25!$A$6:$H$48,4,0)</f>
        <v>0</v>
      </c>
      <c r="F40" s="91">
        <f>VLOOKUP($A40,[6]HISTOBQUEMAI25!$A$6:$H$48,6,0)</f>
        <v>0</v>
      </c>
      <c r="G40" s="91"/>
      <c r="H40" s="5">
        <f t="shared" si="16"/>
        <v>0</v>
      </c>
      <c r="I40" s="10" t="str">
        <f t="shared" si="0"/>
        <v>BANQUE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IFERROR(VLOOKUP(A40,[7]TONTMAI25!$A$6:$R$41,12,0),0)</f>
        <v>0</v>
      </c>
      <c r="Q40" s="2">
        <f>IFERROR(VLOOKUP(A40,[8]TONTMAI25!$A$6:$R$38,10,0),0)</f>
        <v>0</v>
      </c>
      <c r="R40" s="2">
        <f>IFERROR(VLOOKUP(A40,[9]TONTMAI25!$A$6:$R$42,10,0),0)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7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VLOOKUP($A41,[6]HISTOBQUEMAI25!$A$6:$H$48,5,0)</f>
        <v>250000</v>
      </c>
      <c r="E41" s="91">
        <f>VLOOKUP($A41,[6]HISTOBQUEMAI25!$A$6:$H$48,4,0)</f>
        <v>0</v>
      </c>
      <c r="F41" s="91">
        <f>VLOOKUP($A41,[6]HISTOBQUEMAI25!$A$6:$H$48,6,0)</f>
        <v>0</v>
      </c>
      <c r="G41" s="91"/>
      <c r="H41" s="5">
        <f t="shared" si="16"/>
        <v>0</v>
      </c>
      <c r="I41" s="10" t="str">
        <f t="shared" si="0"/>
        <v>BANQUE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IFERROR(VLOOKUP(A41,[7]TONTMAI25!$A$6:$R$41,12,0),0)</f>
        <v>0</v>
      </c>
      <c r="Q41" s="2">
        <f>IFERROR(VLOOKUP(A41,[8]TONTMAI25!$A$6:$R$38,10,0),0)</f>
        <v>0</v>
      </c>
      <c r="R41" s="2">
        <f>IFERROR(VLOOKUP(A41,[9]TONTMAI25!$A$6:$R$42,10,0),0)</f>
        <v>0</v>
      </c>
      <c r="S41" s="6"/>
      <c r="T41" s="12"/>
      <c r="U41" s="17">
        <f t="shared" si="9"/>
        <v>250000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18"/>
        <v>0</v>
      </c>
      <c r="BD41" s="57">
        <f t="shared" si="15"/>
        <v>0</v>
      </c>
      <c r="BE41" s="82"/>
      <c r="BF41" s="29">
        <f t="shared" si="6"/>
        <v>0</v>
      </c>
      <c r="BG41" s="29">
        <v>7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VLOOKUP($A42,[6]HISTOBQUEMAI25!$A$6:$H$48,5,0)</f>
        <v>225000</v>
      </c>
      <c r="E42" s="91">
        <f>VLOOKUP($A42,[6]HISTOBQUEMAI25!$A$6:$H$48,4,0)</f>
        <v>0</v>
      </c>
      <c r="F42" s="91">
        <f>VLOOKUP($A42,[6]HISTOBQUEMAI25!$A$6:$H$48,6,0)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IFERROR(VLOOKUP(A42,[7]TONTMAI25!$A$6:$R$41,12,0),0)</f>
        <v>0</v>
      </c>
      <c r="Q42" s="2">
        <f>IFERROR(VLOOKUP(A42,[8]TONTMAI25!$A$6:$R$38,10,0),0)</f>
        <v>0</v>
      </c>
      <c r="R42" s="2">
        <f>IFERROR(VLOOKUP(A42,[9]TONTMAI25!$A$6:$R$42,10,0),0)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7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-151000</v>
      </c>
      <c r="D44" s="5">
        <f>SUM(D6:D43)</f>
        <v>5484500</v>
      </c>
      <c r="E44" s="5">
        <f>SUM(E6:E43)</f>
        <v>1204125</v>
      </c>
      <c r="F44" s="5">
        <f>SUM(F6:F43)</f>
        <v>0</v>
      </c>
      <c r="G44" s="5">
        <f t="shared" ref="G44:S44" si="19">SUM(G6:G43)</f>
        <v>52000</v>
      </c>
      <c r="H44" s="5">
        <f t="shared" si="19"/>
        <v>14000</v>
      </c>
      <c r="I44" s="5">
        <f t="shared" si="19"/>
        <v>0</v>
      </c>
      <c r="J44" s="5">
        <f t="shared" si="19"/>
        <v>35</v>
      </c>
      <c r="K44" s="5">
        <f t="shared" si="19"/>
        <v>1750000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2400000</v>
      </c>
      <c r="P44" s="5">
        <f t="shared" si="19"/>
        <v>156500</v>
      </c>
      <c r="Q44" s="5">
        <f t="shared" si="19"/>
        <v>386625</v>
      </c>
      <c r="R44" s="5">
        <f t="shared" si="19"/>
        <v>1105500</v>
      </c>
      <c r="S44" s="5">
        <f t="shared" si="19"/>
        <v>0</v>
      </c>
      <c r="T44" s="5"/>
      <c r="U44" s="5">
        <f t="shared" ref="U44:AA44" si="20">SUM(U6:U43)</f>
        <v>6839625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5125000</v>
      </c>
      <c r="Z44" s="5">
        <f t="shared" si="20"/>
        <v>0</v>
      </c>
      <c r="AA44" s="5">
        <f t="shared" si="20"/>
        <v>0</v>
      </c>
      <c r="AB44" s="5"/>
      <c r="AC44" s="5">
        <f>SUM(AC6:AC43)</f>
        <v>15500</v>
      </c>
      <c r="AD44" s="5">
        <f>SUM(AD6:AD43)</f>
        <v>7500</v>
      </c>
      <c r="AE44" s="5">
        <f>SUM(AE6:AE43)</f>
        <v>25000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172000</v>
      </c>
      <c r="AJ44" s="5">
        <f t="shared" si="21"/>
        <v>469125</v>
      </c>
      <c r="AK44" s="5">
        <f t="shared" si="21"/>
        <v>1130500</v>
      </c>
      <c r="AL44" s="5">
        <f t="shared" si="21"/>
        <v>2000</v>
      </c>
      <c r="AM44" s="5">
        <f t="shared" si="21"/>
        <v>9000</v>
      </c>
      <c r="AN44" s="5">
        <f t="shared" si="21"/>
        <v>14000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952000</v>
      </c>
      <c r="AT44" s="5">
        <f t="shared" si="21"/>
        <v>0</v>
      </c>
      <c r="AU44" s="5">
        <f t="shared" si="21"/>
        <v>0</v>
      </c>
      <c r="AV44" s="5">
        <f t="shared" si="21"/>
        <v>0</v>
      </c>
      <c r="AW44" s="5">
        <f t="shared" si="21"/>
        <v>1056500</v>
      </c>
      <c r="AX44" s="5">
        <f t="shared" si="21"/>
        <v>1361625</v>
      </c>
      <c r="AY44" s="5">
        <f t="shared" si="21"/>
        <v>3505500</v>
      </c>
      <c r="AZ44" s="5">
        <f t="shared" si="21"/>
        <v>6029625</v>
      </c>
      <c r="BA44" s="5">
        <f t="shared" si="21"/>
        <v>0</v>
      </c>
      <c r="BB44" s="5">
        <f t="shared" si="21"/>
        <v>0</v>
      </c>
      <c r="BC44" s="5">
        <f t="shared" si="21"/>
        <v>0</v>
      </c>
      <c r="BD44" s="5">
        <f t="shared" si="21"/>
        <v>6029625</v>
      </c>
      <c r="BE44" s="5">
        <f t="shared" si="21"/>
        <v>0</v>
      </c>
      <c r="BF44" s="5">
        <f t="shared" si="21"/>
        <v>0</v>
      </c>
      <c r="BH44" s="5">
        <f t="shared" ref="BH44:BL44" si="22">SUM(BH6:BH43)</f>
        <v>6000</v>
      </c>
      <c r="BI44" s="5">
        <f t="shared" si="22"/>
        <v>0</v>
      </c>
      <c r="BJ44" s="5">
        <f t="shared" si="22"/>
        <v>0</v>
      </c>
      <c r="BK44" s="5">
        <f t="shared" si="22"/>
        <v>100000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1204125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6"/>
      <c r="E47" s="96"/>
      <c r="F47" s="96"/>
      <c r="G47" s="3" t="s">
        <v>9</v>
      </c>
      <c r="H47" s="96"/>
      <c r="I47" s="96"/>
      <c r="Z47" s="12"/>
      <c r="AI47" s="5"/>
      <c r="AV47" s="3"/>
      <c r="AW47" s="96"/>
      <c r="AX47" s="15"/>
      <c r="AY47" s="15"/>
      <c r="AZ47" s="16"/>
      <c r="BA47" s="14">
        <f>+BA46-BA44</f>
        <v>1204125</v>
      </c>
      <c r="BD47" s="14">
        <f>+BD46-BD44</f>
        <v>-6029625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6029625</v>
      </c>
      <c r="D50" s="9">
        <f>+D44</f>
        <v>5484500</v>
      </c>
      <c r="E50" s="9">
        <f>+C50-D50</f>
        <v>545125</v>
      </c>
      <c r="F50" s="9"/>
      <c r="G50" s="9">
        <f>E44</f>
        <v>1204125</v>
      </c>
      <c r="H50" s="14">
        <f>+BA44</f>
        <v>0</v>
      </c>
      <c r="I50" s="88">
        <f>+G50-H50</f>
        <v>1204125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12053250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AA6:AA42" xr:uid="{87AADA32-4127-4A05-A1EC-62E6377D9961}">
      <formula1>"BANQUE,ESPECES, EN COMPTE,AUTRES"</formula1>
    </dataValidation>
    <dataValidation type="list" showInputMessage="1" showErrorMessage="1" sqref="T6:T42 AP6:AP43 AF6:AF42" xr:uid="{C9709E13-8E31-4A03-9DAC-0607DB65C351}">
      <formula1>"BANQUE,ESPECES,EN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14E7-54C0-45B4-BA95-DF4F205CEF32}">
  <dimension ref="A1:BQ88"/>
  <sheetViews>
    <sheetView zoomScale="87" zoomScaleNormal="87" workbookViewId="0">
      <pane xSplit="4" ySplit="5" topLeftCell="E15" activePane="bottomRight" state="frozen"/>
      <selection activeCell="D15" sqref="D15"/>
      <selection pane="topRight" activeCell="D15" sqref="D15"/>
      <selection pane="bottomLeft" activeCell="D15" sqref="D15"/>
      <selection pane="bottomRight" activeCell="G21" sqref="G21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5.453125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VLOOKUP($A6,[6]HISTOBQUEJUIN25!$A$6:$H$48,5,0)</f>
        <v>250000</v>
      </c>
      <c r="E6" s="91">
        <f>VLOOKUP($A6,[6]HISTOBQUEJUIN25!$A$6:$H$48,4,0)</f>
        <v>0</v>
      </c>
      <c r="F6" s="91">
        <f>VLOOKUP($A6,[6]HISTOBQUEJUIN25!$A$6:$H$48,6,0)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IFERROR(VLOOKUP(A6,[7]TONTJUIN25!$A$6:$R$41,12,0),0)</f>
        <v>0</v>
      </c>
      <c r="Q6" s="2">
        <f>IFERROR(VLOOKUP(A6,[8]TONTJUIN25!$A$6:$R$38,10,0),0)</f>
        <v>0</v>
      </c>
      <c r="R6" s="2">
        <f>IFERROR(VLOOKUP(A6,[9]TONTJUIN25!$A$6:$R$42,10,0),0)</f>
        <v>0</v>
      </c>
      <c r="S6" s="20"/>
      <c r="T6" s="12"/>
      <c r="U6" s="17">
        <f>G6+H6+S6+R6+P6+O6+M6+K6+Q6+V6+W6+AI6+AJ6+AK6+AL6+AM6+AN6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SUM(AV6:AY6)-BF6+Z6+BH6+BI6+BJ6+BK6+BL6+BM6+BN6</f>
        <v>2088500</v>
      </c>
      <c r="BA6" s="58"/>
      <c r="BB6" s="58"/>
      <c r="BC6" s="15">
        <f t="shared" ref="BC6:BC17" si="5">F6</f>
        <v>0</v>
      </c>
      <c r="BD6" s="57">
        <f>IF(AZ6=0,(AZ6-BA6-BC6),(AZ6-BA6-BB6-BC6))</f>
        <v>2088500</v>
      </c>
      <c r="BE6" s="82"/>
      <c r="BF6" s="29">
        <f t="shared" ref="BF6:BF42" si="6">Z6*1/100*BG6</f>
        <v>0</v>
      </c>
      <c r="BG6" s="29">
        <v>6</v>
      </c>
      <c r="BH6" s="15">
        <f>BQ17</f>
        <v>6000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VLOOKUP($A7,[6]HISTOBQUEJUIN25!$A$6:$H$48,5,0)</f>
        <v>0</v>
      </c>
      <c r="E7" s="91">
        <f>VLOOKUP($A7,[6]HISTOBQUEJUIN25!$A$6:$H$48,4,0)</f>
        <v>50000</v>
      </c>
      <c r="F7" s="91">
        <f>VLOOKUP($A7,[6]HISTOBQUEJUIN25!$A$6:$H$48,6,0)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IFERROR(VLOOKUP(A7,[7]TONTJUIN25!$A$6:$R$41,12,0),0)</f>
        <v>0</v>
      </c>
      <c r="Q7" s="2">
        <f>IFERROR(VLOOKUP(A7,[8]TONTJUIN25!$A$6:$R$38,10,0),0)</f>
        <v>0</v>
      </c>
      <c r="R7" s="2">
        <f>IFERROR(VLOOKUP(A7,[9]TONTJUIN25!$A$6:$R$42,10,0),0)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6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-500000</v>
      </c>
      <c r="D8" s="9">
        <f>VLOOKUP($A8,[6]HISTOBQUEJUIN25!$A$6:$H$48,5,0)</f>
        <v>125000</v>
      </c>
      <c r="E8" s="91">
        <f>VLOOKUP($A8,[6]HISTOBQUEJUIN25!$A$6:$H$48,4,0)</f>
        <v>0</v>
      </c>
      <c r="F8" s="91">
        <f>VLOOKUP($A8,[6]HISTOBQUEJUIN25!$A$6:$H$48,6,0)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IFERROR(VLOOKUP(A8,[7]TONTJUIN25!$A$6:$R$41,12,0),0)</f>
        <v>0</v>
      </c>
      <c r="Q8" s="2">
        <f>IFERROR(VLOOKUP(A8,[8]TONTJUIN25!$A$6:$R$38,10,0),0)</f>
        <v>0</v>
      </c>
      <c r="R8" s="2">
        <f>IFERROR(VLOOKUP(A8,[9]TONTJUIN25!$A$6:$R$42,10,0),0)</f>
        <v>0</v>
      </c>
      <c r="S8" s="20">
        <v>500000</v>
      </c>
      <c r="T8" s="12" t="s">
        <v>8</v>
      </c>
      <c r="U8" s="17">
        <f t="shared" si="9"/>
        <v>625000</v>
      </c>
      <c r="V8" s="12"/>
      <c r="W8" s="12"/>
      <c r="X8" s="12"/>
      <c r="Y8" s="92">
        <f t="shared" si="10"/>
        <v>125000</v>
      </c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485000</v>
      </c>
      <c r="BA8" s="58"/>
      <c r="BB8" s="58"/>
      <c r="BC8" s="15">
        <f t="shared" si="5"/>
        <v>0</v>
      </c>
      <c r="BD8" s="57">
        <f t="shared" si="15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101000</v>
      </c>
      <c r="D9" s="9">
        <f>VLOOKUP($A9,[6]HISTOBQUEJUIN25!$A$6:$H$48,5,0)</f>
        <v>0</v>
      </c>
      <c r="E9" s="91">
        <f>VLOOKUP($A9,[6]HISTOBQUEJUIN25!$A$6:$H$48,4,0)</f>
        <v>351000</v>
      </c>
      <c r="F9" s="91">
        <f>VLOOKUP($A9,[6]HISTOBQUEJUIN25!$A$6:$H$48,6,0)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IFERROR(VLOOKUP(A9,[7]TONTJUIN25!$A$6:$R$41,12,0),0)</f>
        <v>0</v>
      </c>
      <c r="Q9" s="2">
        <f>IFERROR(VLOOKUP(A9,[8]TONTJUIN25!$A$6:$R$38,10,0),0)</f>
        <v>0</v>
      </c>
      <c r="R9" s="2">
        <f>IFERROR(VLOOKUP(A9,[9]TONTJUIN25!$A$6:$R$42,10,0),0)</f>
        <v>0</v>
      </c>
      <c r="S9" s="20"/>
      <c r="T9" s="12"/>
      <c r="U9" s="17">
        <f t="shared" si="9"/>
        <v>250000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>
        <v>39500</v>
      </c>
      <c r="AJ9" s="12"/>
      <c r="AK9" s="12"/>
      <c r="AL9" s="12">
        <v>2000</v>
      </c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39500</v>
      </c>
      <c r="AX9" s="15">
        <f t="shared" si="12"/>
        <v>0</v>
      </c>
      <c r="AY9" s="15">
        <f t="shared" si="13"/>
        <v>0</v>
      </c>
      <c r="AZ9" s="16">
        <f t="shared" si="14"/>
        <v>139500</v>
      </c>
      <c r="BA9" s="58">
        <v>139500</v>
      </c>
      <c r="BB9" s="58"/>
      <c r="BC9" s="15">
        <f t="shared" si="5"/>
        <v>0</v>
      </c>
      <c r="BD9" s="57">
        <f t="shared" si="15"/>
        <v>0</v>
      </c>
      <c r="BE9" s="82"/>
      <c r="BF9" s="29">
        <f t="shared" si="6"/>
        <v>0</v>
      </c>
      <c r="BG9" s="29">
        <v>6</v>
      </c>
      <c r="BH9" s="15"/>
      <c r="BI9" s="15"/>
      <c r="BJ9" s="15"/>
      <c r="BK9" s="15">
        <v>100000</v>
      </c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VLOOKUP($A10,[6]HISTOBQUEJUIN25!$A$6:$H$48,5,0)</f>
        <v>81000</v>
      </c>
      <c r="E10" s="91">
        <f>VLOOKUP($A10,[6]HISTOBQUEJUIN25!$A$6:$H$48,4,0)</f>
        <v>0</v>
      </c>
      <c r="F10" s="91">
        <f>VLOOKUP($A10,[6]HISTOBQUEJUIN25!$A$6:$H$48,6,0)</f>
        <v>0</v>
      </c>
      <c r="G10" s="91">
        <v>500</v>
      </c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IFERROR(VLOOKUP(A10,[7]TONTJUIN25!$A$6:$R$41,12,0),0)</f>
        <v>30500</v>
      </c>
      <c r="Q10" s="2">
        <f>IFERROR(VLOOKUP(A10,[8]TONTJUIN25!$A$6:$R$38,10,0),0)</f>
        <v>0</v>
      </c>
      <c r="R10" s="2">
        <f>IFERROR(VLOOKUP(A10,[9]TONTJUIN25!$A$6:$R$42,10,0),0)</f>
        <v>0</v>
      </c>
      <c r="S10" s="20"/>
      <c r="T10" s="12"/>
      <c r="U10" s="17">
        <f t="shared" si="9"/>
        <v>81000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25500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-106500</v>
      </c>
      <c r="D11" s="9">
        <f>VLOOKUP($A11,[6]HISTOBQUEJUIN25!$A$6:$H$48,5,0)</f>
        <v>251000</v>
      </c>
      <c r="E11" s="91">
        <f>VLOOKUP($A11,[6]HISTOBQUEJUIN25!$A$6:$H$48,4,0)</f>
        <v>0</v>
      </c>
      <c r="F11" s="91">
        <f>VLOOKUP($A11,[6]HISTOBQUEJUIN25!$A$6:$H$48,6,0)</f>
        <v>0</v>
      </c>
      <c r="G11" s="91"/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IFERROR(VLOOKUP(A11,[7]TONTJUIN25!$A$6:$R$41,12,0),0)</f>
        <v>0</v>
      </c>
      <c r="Q11" s="2">
        <f>IFERROR(VLOOKUP(A11,[8]TONTJUIN25!$A$6:$R$38,10,0),0)</f>
        <v>0</v>
      </c>
      <c r="R11" s="2">
        <f>IFERROR(VLOOKUP(A11,[9]TONTJUIN25!$A$6:$R$42,10,0),0)</f>
        <v>207500</v>
      </c>
      <c r="S11" s="20"/>
      <c r="T11" s="12"/>
      <c r="U11" s="17">
        <f t="shared" si="9"/>
        <v>357500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/>
      <c r="AK11" s="12">
        <f>100000+100000</f>
        <v>200000</v>
      </c>
      <c r="AL11" s="12">
        <v>1000</v>
      </c>
      <c r="AM11" s="12"/>
      <c r="AN11" s="12">
        <f>4000+3500</f>
        <v>7500</v>
      </c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30000</v>
      </c>
      <c r="AX11" s="15">
        <f t="shared" si="12"/>
        <v>0</v>
      </c>
      <c r="AY11" s="15">
        <f t="shared" si="13"/>
        <v>200000</v>
      </c>
      <c r="AZ11" s="16">
        <f t="shared" si="14"/>
        <v>230000</v>
      </c>
      <c r="BA11" s="58">
        <v>230000</v>
      </c>
      <c r="BB11" s="58"/>
      <c r="BC11" s="15">
        <f t="shared" si="5"/>
        <v>0</v>
      </c>
      <c r="BD11" s="57">
        <f t="shared" si="15"/>
        <v>0</v>
      </c>
      <c r="BE11" s="82"/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-203000</v>
      </c>
      <c r="D12" s="9">
        <f>VLOOKUP($A12,[6]HISTOBQUEJUIN25!$A$6:$H$48,5,0)</f>
        <v>315000</v>
      </c>
      <c r="E12" s="91">
        <f>VLOOKUP($A12,[6]HISTOBQUEJUIN25!$A$6:$H$48,4,0)</f>
        <v>0</v>
      </c>
      <c r="F12" s="91">
        <f>VLOOKUP($A12,[6]HISTOBQUEJUIN25!$A$6:$H$48,6,0)</f>
        <v>0</v>
      </c>
      <c r="G12" s="91">
        <v>11000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IFERROR(VLOOKUP(A12,[7]TONTJUIN25!$A$6:$R$41,12,0),0)</f>
        <v>54000</v>
      </c>
      <c r="Q12" s="2">
        <f>IFERROR(VLOOKUP(A12,[8]TONTJUIN25!$A$6:$R$38,10,0),0)</f>
        <v>0</v>
      </c>
      <c r="R12" s="2">
        <f>IFERROR(VLOOKUP(A12,[9]TONTJUIN25!$A$6:$R$42,10,0),0)</f>
        <v>203000</v>
      </c>
      <c r="S12" s="20"/>
      <c r="T12" s="12"/>
      <c r="U12" s="17">
        <f t="shared" si="9"/>
        <v>518000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>
        <v>30000</v>
      </c>
      <c r="AJ12" s="12"/>
      <c r="AK12" s="12">
        <f>100000+100000</f>
        <v>200000</v>
      </c>
      <c r="AL12" s="12">
        <v>1000</v>
      </c>
      <c r="AM12" s="12"/>
      <c r="AN12" s="12">
        <f>1500+1500</f>
        <v>3000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7"/>
        <v>36000</v>
      </c>
      <c r="AT12" s="15"/>
      <c r="AV12" s="15"/>
      <c r="AW12" s="15">
        <f t="shared" si="11"/>
        <v>30000</v>
      </c>
      <c r="AX12" s="15">
        <f t="shared" si="12"/>
        <v>0</v>
      </c>
      <c r="AY12" s="15">
        <f t="shared" si="13"/>
        <v>200000</v>
      </c>
      <c r="AZ12" s="16">
        <f t="shared" si="14"/>
        <v>230000</v>
      </c>
      <c r="BA12" s="58">
        <v>130000</v>
      </c>
      <c r="BB12" s="58"/>
      <c r="BC12" s="15">
        <f t="shared" si="5"/>
        <v>0</v>
      </c>
      <c r="BD12" s="57">
        <f t="shared" si="15"/>
        <v>100000</v>
      </c>
      <c r="BE12" s="82"/>
      <c r="BF12" s="29">
        <f t="shared" si="6"/>
        <v>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VLOOKUP($A13,[6]HISTOBQUEJUIN25!$A$6:$H$48,5,0)</f>
        <v>50000</v>
      </c>
      <c r="E13" s="91">
        <f>VLOOKUP($A13,[6]HISTOBQUEJUIN25!$A$6:$H$48,4,0)</f>
        <v>0</v>
      </c>
      <c r="F13" s="91">
        <f>VLOOKUP($A13,[6]HISTOBQUEJUIN25!$A$6:$H$48,6,0)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IFERROR(VLOOKUP(A13,[7]TONTJUIN25!$A$6:$R$41,12,0),0)</f>
        <v>0</v>
      </c>
      <c r="Q13" s="2">
        <f>IFERROR(VLOOKUP(A13,[8]TONTJUIN25!$A$6:$R$38,10,0),0)</f>
        <v>0</v>
      </c>
      <c r="R13" s="2">
        <f>IFERROR(VLOOKUP(A13,[9]TONTJUIN25!$A$6:$R$42,10,0),0)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VLOOKUP($A14,[6]HISTOBQUEJUIN25!$A$6:$H$48,5,0)</f>
        <v>50000</v>
      </c>
      <c r="E14" s="91">
        <f>VLOOKUP($A14,[6]HISTOBQUEJUIN25!$A$6:$H$48,4,0)</f>
        <v>0</v>
      </c>
      <c r="F14" s="91">
        <f>VLOOKUP($A14,[6]HISTOBQUEJUIN25!$A$6:$H$48,6,0)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IFERROR(VLOOKUP(A14,[7]TONTJUIN25!$A$6:$R$41,12,0),0)</f>
        <v>0</v>
      </c>
      <c r="Q14" s="2">
        <f>IFERROR(VLOOKUP(A14,[8]TONTJUIN25!$A$6:$R$38,10,0),0)</f>
        <v>0</v>
      </c>
      <c r="R14" s="2">
        <f>IFERROR(VLOOKUP(A14,[9]TONTJUIN25!$A$6:$R$42,10,0),0)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VLOOKUP($A15,[6]HISTOBQUEJUIN25!$A$6:$H$48,5,0)</f>
        <v>150000</v>
      </c>
      <c r="E15" s="91">
        <f>VLOOKUP($A15,[6]HISTOBQUEJUIN25!$A$6:$H$48,4,0)</f>
        <v>0</v>
      </c>
      <c r="F15" s="91">
        <f>VLOOKUP($A15,[6]HISTOBQUEJUIN25!$A$6:$H$48,6,0)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IFERROR(VLOOKUP(A15,[7]TONTJUIN25!$A$6:$R$41,12,0),0)</f>
        <v>0</v>
      </c>
      <c r="Q15" s="2">
        <f>IFERROR(VLOOKUP(A15,[8]TONTJUIN25!$A$6:$R$38,10,0),0)</f>
        <v>0</v>
      </c>
      <c r="R15" s="2">
        <f>IFERROR(VLOOKUP(A15,[9]TONTJUIN25!$A$6:$R$42,10,0),0)</f>
        <v>0</v>
      </c>
      <c r="S15" s="20"/>
      <c r="T15" s="12"/>
      <c r="U15" s="17">
        <f t="shared" si="9"/>
        <v>150000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>
        <f t="shared" si="5"/>
        <v>0</v>
      </c>
      <c r="BD15" s="57">
        <f t="shared" si="15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VLOOKUP($A16,[6]HISTOBQUEJUIN25!$A$6:$H$48,5,0)</f>
        <v>125000</v>
      </c>
      <c r="E16" s="91">
        <f>VLOOKUP($A16,[6]HISTOBQUEJUIN25!$A$6:$H$48,4,0)</f>
        <v>0</v>
      </c>
      <c r="F16" s="91">
        <f>VLOOKUP($A16,[6]HISTOBQUEJUIN25!$A$6:$H$48,6,0)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IFERROR(VLOOKUP(A16,[7]TONTJUIN25!$A$6:$R$41,12,0),0)</f>
        <v>0</v>
      </c>
      <c r="Q16" s="2">
        <f>IFERROR(VLOOKUP(A16,[8]TONTJUIN25!$A$6:$R$38,10,0),0)</f>
        <v>0</v>
      </c>
      <c r="R16" s="2">
        <f>IFERROR(VLOOKUP(A16,[9]TONTJUIN25!$A$6:$R$42,10,0),0)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VLOOKUP($A17,[6]HISTOBQUEJUIN25!$A$6:$H$48,5,0)</f>
        <v>301000</v>
      </c>
      <c r="E17" s="91">
        <f>VLOOKUP($A17,[6]HISTOBQUEJUIN25!$A$6:$H$48,4,0)</f>
        <v>0</v>
      </c>
      <c r="F17" s="91">
        <f>VLOOKUP($A17,[6]HISTOBQUEJUIN25!$A$6:$H$48,6,0)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IFERROR(VLOOKUP(A17,[7]TONTJUIN25!$A$6:$R$41,12,0),0)</f>
        <v>0</v>
      </c>
      <c r="Q17" s="2">
        <f>IFERROR(VLOOKUP(A17,[8]TONTJUIN25!$A$6:$R$38,10,0),0)</f>
        <v>51000</v>
      </c>
      <c r="R17" s="2">
        <f>IFERROR(VLOOKUP(A17,[9]TONTJUIN25!$A$6:$R$42,10,0),0)</f>
        <v>0</v>
      </c>
      <c r="S17" s="20"/>
      <c r="T17" s="12"/>
      <c r="U17" s="17">
        <f t="shared" si="9"/>
        <v>301000</v>
      </c>
      <c r="V17" s="12"/>
      <c r="W17" s="12"/>
      <c r="X17" s="12"/>
      <c r="Y17" s="92">
        <f t="shared" si="10"/>
        <v>225000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>
        <f>50000+50000</f>
        <v>100000</v>
      </c>
      <c r="AK17" s="12"/>
      <c r="AL17" s="12"/>
      <c r="AM17" s="12">
        <f>1000+1500</f>
        <v>2500</v>
      </c>
      <c r="AN17" s="12"/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0</v>
      </c>
      <c r="AX17" s="15">
        <f t="shared" si="12"/>
        <v>100000</v>
      </c>
      <c r="AY17" s="15">
        <f t="shared" si="13"/>
        <v>0</v>
      </c>
      <c r="AZ17" s="16">
        <f t="shared" si="14"/>
        <v>100000</v>
      </c>
      <c r="BA17" s="58">
        <v>25000</v>
      </c>
      <c r="BB17" s="58"/>
      <c r="BC17" s="15">
        <f t="shared" si="5"/>
        <v>0</v>
      </c>
      <c r="BD17" s="57">
        <f t="shared" si="15"/>
        <v>75000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O17" s="62" t="s">
        <v>142</v>
      </c>
      <c r="BQ17" s="62">
        <f>SUM(BQ6:BQ16)</f>
        <v>6000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-106000</v>
      </c>
      <c r="D18" s="9">
        <f>VLOOKUP($A18,[6]HISTOBQUEJUIN25!$A$6:$H$48,5,0)</f>
        <v>150000</v>
      </c>
      <c r="E18" s="91">
        <f>VLOOKUP($A18,[6]HISTOBQUEJUIN25!$A$6:$H$48,4,0)</f>
        <v>0</v>
      </c>
      <c r="F18" s="91">
        <f>VLOOKUP($A18,[6]HISTOBQUEJUIN25!$A$6:$H$48,6,0)</f>
        <v>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IFERROR(VLOOKUP(A18,[7]TONTJUIN25!$A$6:$R$41,12,0),0)</f>
        <v>0</v>
      </c>
      <c r="Q18" s="2">
        <f>IFERROR(VLOOKUP(A18,[8]TONTJUIN25!$A$6:$R$38,10,0),0)</f>
        <v>0</v>
      </c>
      <c r="R18" s="2">
        <f>IFERROR(VLOOKUP(A18,[9]TONTJUIN25!$A$6:$R$42,10,0),0)</f>
        <v>106000</v>
      </c>
      <c r="S18" s="20"/>
      <c r="T18" s="12"/>
      <c r="U18" s="17">
        <f t="shared" si="9"/>
        <v>256000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102000</v>
      </c>
      <c r="AL18" s="12"/>
      <c r="AM18" s="12"/>
      <c r="AN18" s="12">
        <v>4000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102000</v>
      </c>
      <c r="AZ18" s="16">
        <f t="shared" si="14"/>
        <v>102000</v>
      </c>
      <c r="BA18" s="58"/>
      <c r="BB18" s="58"/>
      <c r="BC18" s="15">
        <f>F18</f>
        <v>0</v>
      </c>
      <c r="BD18" s="57">
        <f t="shared" si="15"/>
        <v>102000</v>
      </c>
      <c r="BE18" s="82"/>
      <c r="BF18" s="29">
        <f t="shared" si="6"/>
        <v>0</v>
      </c>
      <c r="BG18" s="29">
        <v>6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0</v>
      </c>
      <c r="D19" s="9">
        <f>VLOOKUP($A19,[6]HISTOBQUEJUIN25!$A$6:$H$48,5,0)</f>
        <v>235000</v>
      </c>
      <c r="E19" s="91">
        <f>VLOOKUP($A19,[6]HISTOBQUEJUIN25!$A$6:$H$48,4,0)</f>
        <v>0</v>
      </c>
      <c r="F19" s="91">
        <f>VLOOKUP($A19,[6]HISTOBQUEJUIN25!$A$6:$H$48,6,0)</f>
        <v>0</v>
      </c>
      <c r="G19" s="91">
        <v>10000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IFERROR(VLOOKUP(A19,[7]TONTJUIN25!$A$6:$R$41,12,0),0)</f>
        <v>0</v>
      </c>
      <c r="Q19" s="2">
        <f>IFERROR(VLOOKUP(A19,[8]TONTJUIN25!$A$6:$R$38,10,0),0)</f>
        <v>0</v>
      </c>
      <c r="R19" s="2">
        <f>IFERROR(VLOOKUP(A19,[9]TONTJUIN25!$A$6:$R$42,10,0),0)</f>
        <v>0</v>
      </c>
      <c r="S19" s="20"/>
      <c r="T19" s="12"/>
      <c r="U19" s="17">
        <f t="shared" si="9"/>
        <v>235000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>
        <f>50000+50000+38500</f>
        <v>138500</v>
      </c>
      <c r="AK19" s="12"/>
      <c r="AL19" s="12"/>
      <c r="AM19" s="12">
        <v>2500</v>
      </c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7"/>
        <v>35000</v>
      </c>
      <c r="AT19" s="15"/>
      <c r="AV19" s="15"/>
      <c r="AW19" s="15">
        <f t="shared" si="11"/>
        <v>0</v>
      </c>
      <c r="AX19" s="15">
        <f t="shared" si="12"/>
        <v>138500</v>
      </c>
      <c r="AY19" s="15">
        <f t="shared" si="13"/>
        <v>0</v>
      </c>
      <c r="AZ19" s="16">
        <f t="shared" si="14"/>
        <v>138500</v>
      </c>
      <c r="BA19" s="58">
        <v>38500</v>
      </c>
      <c r="BB19" s="58"/>
      <c r="BC19" s="15">
        <f t="shared" ref="BC19:BC42" si="18">F19</f>
        <v>0</v>
      </c>
      <c r="BD19" s="57">
        <f>IF(AZ19=0,(AZ19-BA19-BC19),(AZ19-BA19-BB19-BC19))-101000</f>
        <v>-1000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>
        <v>100000</v>
      </c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-300000</v>
      </c>
      <c r="D21" s="9">
        <f>VLOOKUP($A21,[6]HISTOBQUEJUIN25!$A$6:$H$48,5,0)</f>
        <v>50000</v>
      </c>
      <c r="E21" s="91">
        <f>VLOOKUP($A21,[6]HISTOBQUEJUIN25!$A$6:$H$48,4,0)</f>
        <v>0</v>
      </c>
      <c r="F21" s="91">
        <f>VLOOKUP($A21,[6]HISTOBQUEJUIN25!$A$6:$H$48,6,0)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IFERROR(VLOOKUP(A21,[7]TONTJUIN25!$A$6:$R$41,12,0),0)</f>
        <v>0</v>
      </c>
      <c r="Q21" s="2">
        <f>IFERROR(VLOOKUP(A21,[8]TONTJUIN25!$A$6:$R$38,10,0),0)</f>
        <v>0</v>
      </c>
      <c r="R21" s="2">
        <f>IFERROR(VLOOKUP(A21,[9]TONTJUIN25!$A$6:$R$42,10,0),0)</f>
        <v>0</v>
      </c>
      <c r="S21" s="20">
        <v>300000</v>
      </c>
      <c r="T21" s="12" t="s">
        <v>8</v>
      </c>
      <c r="U21" s="17">
        <f t="shared" si="9"/>
        <v>350000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-1002500</v>
      </c>
      <c r="D22" s="9">
        <f>VLOOKUP($A22,[6]HISTOBQUEJUIN25!$A$6:$H$48,5,0)</f>
        <v>628000</v>
      </c>
      <c r="E22" s="91">
        <f>VLOOKUP($A22,[6]HISTOBQUEJUIN25!$A$6:$H$48,4,0)</f>
        <v>0</v>
      </c>
      <c r="F22" s="91">
        <f>VLOOKUP($A22,[6]HISTOBQUEJUIN25!$A$6:$H$48,6,0)</f>
        <v>0</v>
      </c>
      <c r="G22" s="91">
        <v>-1000</v>
      </c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IFERROR(VLOOKUP(A22,[7]TONTJUIN25!$A$6:$R$41,12,0),0)</f>
        <v>0</v>
      </c>
      <c r="Q22" s="2">
        <f>IFERROR(VLOOKUP(A22,[8]TONTJUIN25!$A$6:$R$38,10,0),0)</f>
        <v>102000</v>
      </c>
      <c r="R22" s="2">
        <f>IFERROR(VLOOKUP(A22,[9]TONTJUIN25!$A$6:$R$42,10,0),0)</f>
        <v>204500</v>
      </c>
      <c r="S22" s="20">
        <v>1000000</v>
      </c>
      <c r="T22" s="12" t="s">
        <v>8</v>
      </c>
      <c r="U22" s="17">
        <f t="shared" si="9"/>
        <v>1630500</v>
      </c>
      <c r="V22" s="12"/>
      <c r="W22" s="12"/>
      <c r="X22" s="12"/>
      <c r="Y22" s="92">
        <f t="shared" si="10"/>
        <v>325000</v>
      </c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>
        <f>50000+50000</f>
        <v>100000</v>
      </c>
      <c r="AK22" s="12">
        <f>100000+100000</f>
        <v>200000</v>
      </c>
      <c r="AL22" s="12"/>
      <c r="AM22" s="12">
        <v>2000</v>
      </c>
      <c r="AN22" s="12">
        <f>3000+1500</f>
        <v>4500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24000</v>
      </c>
      <c r="AT22" s="15"/>
      <c r="AV22" s="15"/>
      <c r="AW22" s="15">
        <f t="shared" si="11"/>
        <v>0</v>
      </c>
      <c r="AX22" s="15">
        <f t="shared" si="12"/>
        <v>100000</v>
      </c>
      <c r="AY22" s="15">
        <f t="shared" si="13"/>
        <v>200000</v>
      </c>
      <c r="AZ22" s="16">
        <f t="shared" si="14"/>
        <v>1270000</v>
      </c>
      <c r="BA22" s="58">
        <v>100000</v>
      </c>
      <c r="BB22" s="58"/>
      <c r="BC22" s="15">
        <f t="shared" si="18"/>
        <v>0</v>
      </c>
      <c r="BD22" s="57">
        <f t="shared" si="15"/>
        <v>1170000</v>
      </c>
      <c r="BE22" s="82"/>
      <c r="BF22" s="29">
        <f t="shared" si="6"/>
        <v>30000</v>
      </c>
      <c r="BG22" s="29">
        <v>3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VLOOKUP($A23,[6]HISTOBQUEJUIN25!$A$6:$H$48,5,0)</f>
        <v>50000</v>
      </c>
      <c r="E23" s="91">
        <f>VLOOKUP($A23,[6]HISTOBQUEJUIN25!$A$6:$H$48,4,0)</f>
        <v>0</v>
      </c>
      <c r="F23" s="91">
        <f>VLOOKUP($A23,[6]HISTOBQUEJUIN25!$A$6:$H$48,6,0)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IFERROR(VLOOKUP(A23,[7]TONTJUIN25!$A$6:$R$41,12,0),0)</f>
        <v>0</v>
      </c>
      <c r="Q23" s="2">
        <f>IFERROR(VLOOKUP(A23,[8]TONTJUIN25!$A$6:$R$38,10,0),0)</f>
        <v>0</v>
      </c>
      <c r="R23" s="2">
        <f>IFERROR(VLOOKUP(A23,[9]TONTJUIN25!$A$6:$R$42,10,0),0)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VLOOKUP($A24,[6]HISTOBQUEJUIN25!$A$6:$H$48,5,0)</f>
        <v>125000</v>
      </c>
      <c r="E24" s="91">
        <f>VLOOKUP($A24,[6]HISTOBQUEJUIN25!$A$6:$H$48,4,0)</f>
        <v>0</v>
      </c>
      <c r="F24" s="91">
        <f>VLOOKUP($A24,[6]HISTOBQUEJUIN25!$A$6:$H$48,6,0)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IFERROR(VLOOKUP(A24,[7]TONTJUIN25!$A$6:$R$41,12,0),0)</f>
        <v>0</v>
      </c>
      <c r="Q24" s="2">
        <f>IFERROR(VLOOKUP(A24,[8]TONTJUIN25!$A$6:$R$38,10,0),0)</f>
        <v>0</v>
      </c>
      <c r="R24" s="2">
        <f>IFERROR(VLOOKUP(A24,[9]TONTJUIN25!$A$6:$R$42,10,0),0)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0</v>
      </c>
      <c r="BA24" s="58"/>
      <c r="BB24" s="58"/>
      <c r="BC24" s="15">
        <f t="shared" si="18"/>
        <v>0</v>
      </c>
      <c r="BD24" s="57">
        <f t="shared" si="15"/>
        <v>0</v>
      </c>
      <c r="BE24" s="82"/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-4000</v>
      </c>
      <c r="D25" s="9">
        <f>VLOOKUP($A25,[6]HISTOBQUEJUIN25!$A$6:$H$48,5,0)</f>
        <v>260000</v>
      </c>
      <c r="E25" s="91">
        <f>VLOOKUP($A25,[6]HISTOBQUEJUIN25!$A$6:$H$48,4,0)</f>
        <v>202500</v>
      </c>
      <c r="F25" s="91">
        <f>VLOOKUP($A25,[6]HISTOBQUEJUIN25!$A$6:$H$48,6,0)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IFERROR(VLOOKUP(A25,[7]TONTJUIN25!$A$6:$R$41,12,0),0)</f>
        <v>0</v>
      </c>
      <c r="Q25" s="2">
        <f>IFERROR(VLOOKUP(A25,[8]TONTJUIN25!$A$6:$R$38,10,0),0)</f>
        <v>0</v>
      </c>
      <c r="R25" s="2">
        <f>IFERROR(VLOOKUP(A25,[9]TONTJUIN25!$A$6:$R$42,10,0),0)</f>
        <v>206500</v>
      </c>
      <c r="S25" s="20"/>
      <c r="T25" s="12"/>
      <c r="U25" s="17">
        <f t="shared" si="9"/>
        <v>466500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f>100000+100000</f>
        <v>200000</v>
      </c>
      <c r="AL25" s="12"/>
      <c r="AM25" s="12"/>
      <c r="AN25" s="12">
        <f>2500+4000</f>
        <v>6500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>
        <f t="shared" si="18"/>
        <v>0</v>
      </c>
      <c r="BD25" s="57">
        <f t="shared" si="15"/>
        <v>200000</v>
      </c>
      <c r="BE25" s="82"/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-257625</v>
      </c>
      <c r="D26" s="9">
        <f>VLOOKUP($A26,[6]HISTOBQUEJUIN25!$A$6:$H$48,5,0)</f>
        <v>240000</v>
      </c>
      <c r="E26" s="91">
        <f>VLOOKUP($A26,[6]HISTOBQUEJUIN25!$A$6:$H$48,4,0)</f>
        <v>0</v>
      </c>
      <c r="F26" s="91">
        <f>VLOOKUP($A26,[6]HISTOBQUEJUIN25!$A$6:$H$48,6,0)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IFERROR(VLOOKUP(A26,[7]TONTJUIN25!$A$6:$R$41,12,0),0)</f>
        <v>0</v>
      </c>
      <c r="Q26" s="2">
        <f>IFERROR(VLOOKUP(A26,[8]TONTJUIN25!$A$6:$R$38,10,0),0)</f>
        <v>121125</v>
      </c>
      <c r="R26" s="2">
        <f>IFERROR(VLOOKUP(A26,[9]TONTJUIN25!$A$6:$R$42,10,0),0)</f>
        <v>136500</v>
      </c>
      <c r="S26" s="20"/>
      <c r="T26" s="12"/>
      <c r="U26" s="17">
        <f t="shared" si="9"/>
        <v>497625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>
        <v>121125</v>
      </c>
      <c r="AK26" s="12">
        <v>132500</v>
      </c>
      <c r="AL26" s="12"/>
      <c r="AM26" s="12">
        <v>4000</v>
      </c>
      <c r="AN26" s="12">
        <v>4000</v>
      </c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121125</v>
      </c>
      <c r="AY26" s="15">
        <f>IF(AE26=0,AK26,(1*100000*12)+(AK26)-AE26)</f>
        <v>132500</v>
      </c>
      <c r="AZ26" s="16">
        <f t="shared" si="14"/>
        <v>253625</v>
      </c>
      <c r="BA26" s="58"/>
      <c r="BB26" s="58"/>
      <c r="BC26" s="15">
        <f t="shared" si="18"/>
        <v>0</v>
      </c>
      <c r="BD26" s="57">
        <f t="shared" si="15"/>
        <v>253625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99000</v>
      </c>
      <c r="D27" s="9">
        <f>VLOOKUP($A27,[6]HISTOBQUEJUIN25!$A$6:$H$48,5,0)</f>
        <v>450000</v>
      </c>
      <c r="E27" s="91">
        <f>VLOOKUP($A27,[6]HISTOBQUEJUIN25!$A$6:$H$48,4,0)</f>
        <v>0</v>
      </c>
      <c r="F27" s="91">
        <f>VLOOKUP($A27,[6]HISTOBQUEJUIN25!$A$6:$H$48,6,0)</f>
        <v>0</v>
      </c>
      <c r="G27" s="91">
        <v>-2000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IFERROR(VLOOKUP(A27,[7]TONTJUIN25!$A$6:$R$41,12,0),0)</f>
        <v>0</v>
      </c>
      <c r="Q27" s="2">
        <f>IFERROR(VLOOKUP(A27,[8]TONTJUIN25!$A$6:$R$38,10,0),0)</f>
        <v>0</v>
      </c>
      <c r="R27" s="2">
        <f>IFERROR(VLOOKUP(A27,[9]TONTJUIN25!$A$6:$R$42,10,0),0)</f>
        <v>103000</v>
      </c>
      <c r="S27" s="20"/>
      <c r="T27" s="12"/>
      <c r="U27" s="17">
        <f t="shared" si="9"/>
        <v>351000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v>100000</v>
      </c>
      <c r="AL27" s="12"/>
      <c r="AM27" s="12"/>
      <c r="AN27" s="12">
        <v>3000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23000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100000</v>
      </c>
      <c r="AZ27" s="16">
        <f t="shared" si="14"/>
        <v>100000</v>
      </c>
      <c r="BA27" s="58"/>
      <c r="BB27" s="58"/>
      <c r="BC27" s="15">
        <f t="shared" si="18"/>
        <v>0</v>
      </c>
      <c r="BD27" s="57">
        <f t="shared" si="15"/>
        <v>100000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-1000000</v>
      </c>
      <c r="D28" s="9">
        <f>VLOOKUP($A28,[6]HISTOBQUEJUIN25!$A$6:$H$48,5,0)</f>
        <v>0</v>
      </c>
      <c r="E28" s="91">
        <f>VLOOKUP($A28,[6]HISTOBQUEJUIN25!$A$6:$H$48,4,0)</f>
        <v>53000</v>
      </c>
      <c r="F28" s="91">
        <f>VLOOKUP($A28,[6]HISTOBQUEJUIN25!$A$6:$H$48,6,0)</f>
        <v>0</v>
      </c>
      <c r="G28" s="91"/>
      <c r="H28" s="5">
        <f t="shared" si="16"/>
        <v>3000</v>
      </c>
      <c r="I28" s="10" t="str">
        <f t="shared" si="0"/>
        <v>ESPECES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IFERROR(VLOOKUP(A28,[7]TONTJUIN25!$A$6:$R$41,12,0),0)</f>
        <v>0</v>
      </c>
      <c r="Q28" s="2">
        <f>IFERROR(VLOOKUP(A28,[8]TONTJUIN25!$A$6:$R$38,10,0),0)</f>
        <v>0</v>
      </c>
      <c r="R28" s="2">
        <f>IFERROR(VLOOKUP(A28,[9]TONTJUIN25!$A$6:$R$42,10,0),0)</f>
        <v>0</v>
      </c>
      <c r="S28" s="20">
        <v>1000000</v>
      </c>
      <c r="T28" s="12" t="s">
        <v>8</v>
      </c>
      <c r="U28" s="17">
        <f t="shared" si="9"/>
        <v>1053000</v>
      </c>
      <c r="V28" s="12"/>
      <c r="W28" s="12"/>
      <c r="X28" s="12"/>
      <c r="Y28" s="92">
        <f t="shared" si="10"/>
        <v>50000</v>
      </c>
      <c r="Z28" s="12">
        <v>1000000</v>
      </c>
      <c r="AA28" s="12" t="s">
        <v>8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970000</v>
      </c>
      <c r="BA28" s="58"/>
      <c r="BB28" s="58"/>
      <c r="BC28" s="15">
        <f t="shared" si="18"/>
        <v>0</v>
      </c>
      <c r="BD28" s="57">
        <f t="shared" si="15"/>
        <v>970000</v>
      </c>
      <c r="BE28" s="82"/>
      <c r="BF28" s="29">
        <f t="shared" si="6"/>
        <v>30000</v>
      </c>
      <c r="BG28" s="29">
        <v>3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VLOOKUP($A29,[6]HISTOBQUEJUIN25!$A$6:$H$48,5,0)</f>
        <v>50000</v>
      </c>
      <c r="E29" s="91">
        <f>VLOOKUP($A29,[6]HISTOBQUEJUIN25!$A$6:$H$48,4,0)</f>
        <v>0</v>
      </c>
      <c r="F29" s="91">
        <f>VLOOKUP($A29,[6]HISTOBQUEJUIN25!$A$6:$H$48,6,0)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IFERROR(VLOOKUP(A29,[7]TONTJUIN25!$A$6:$R$41,12,0),0)</f>
        <v>0</v>
      </c>
      <c r="Q29" s="2">
        <f>IFERROR(VLOOKUP(A29,[8]TONTJUIN25!$A$6:$R$38,10,0),0)</f>
        <v>0</v>
      </c>
      <c r="R29" s="2">
        <f>IFERROR(VLOOKUP(A29,[9]TONTJUIN25!$A$6:$R$42,10,0),0)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VLOOKUP($A30,[6]HISTOBQUEJUIN25!$A$6:$H$48,5,0)</f>
        <v>125000</v>
      </c>
      <c r="E30" s="91">
        <f>VLOOKUP($A30,[6]HISTOBQUEJUIN25!$A$6:$H$48,4,0)</f>
        <v>0</v>
      </c>
      <c r="F30" s="91">
        <f>VLOOKUP($A30,[6]HISTOBQUEJUIN25!$A$6:$H$48,6,0)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IFERROR(VLOOKUP(A30,[7]TONTJUIN25!$A$6:$R$41,12,0),0)</f>
        <v>0</v>
      </c>
      <c r="Q30" s="2">
        <f>IFERROR(VLOOKUP(A30,[8]TONTJUIN25!$A$6:$R$38,10,0),0)</f>
        <v>0</v>
      </c>
      <c r="R30" s="2">
        <f>IFERROR(VLOOKUP(A30,[9]TONTJUIN25!$A$6:$R$42,10,0),0)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-59000</v>
      </c>
      <c r="D31" s="9">
        <f>VLOOKUP($A31,[6]HISTOBQUEJUIN25!$A$6:$H$48,5,0)</f>
        <v>50000</v>
      </c>
      <c r="E31" s="91">
        <f>VLOOKUP($A31,[6]HISTOBQUEJUIN25!$A$6:$H$48,4,0)</f>
        <v>0</v>
      </c>
      <c r="F31" s="91">
        <f>VLOOKUP($A31,[6]HISTOBQUEJUIN25!$A$6:$H$48,6,0)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IFERROR(VLOOKUP(A31,[7]TONTJUIN25!$A$6:$R$41,12,0),0)</f>
        <v>59000</v>
      </c>
      <c r="Q31" s="2">
        <f>IFERROR(VLOOKUP(A31,[8]TONTJUIN25!$A$6:$R$38,10,0),0)</f>
        <v>0</v>
      </c>
      <c r="R31" s="2">
        <f>IFERROR(VLOOKUP(A31,[9]TONTJUIN25!$A$6:$R$42,10,0),0)</f>
        <v>0</v>
      </c>
      <c r="S31" s="20"/>
      <c r="T31" s="12"/>
      <c r="U31" s="17">
        <f t="shared" si="9"/>
        <v>109000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59000</v>
      </c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59000</v>
      </c>
      <c r="AX31" s="15">
        <f t="shared" si="12"/>
        <v>0</v>
      </c>
      <c r="AY31" s="15">
        <f t="shared" si="13"/>
        <v>0</v>
      </c>
      <c r="AZ31" s="16">
        <f t="shared" si="14"/>
        <v>59000</v>
      </c>
      <c r="BA31" s="58"/>
      <c r="BB31" s="58"/>
      <c r="BC31" s="15">
        <f t="shared" si="18"/>
        <v>0</v>
      </c>
      <c r="BD31" s="57">
        <f t="shared" si="15"/>
        <v>59000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-1000000</v>
      </c>
      <c r="D32" s="9">
        <f>VLOOKUP($A32,[6]HISTOBQUEJUIN25!$A$6:$H$48,5,0)</f>
        <v>250000</v>
      </c>
      <c r="E32" s="91">
        <f>VLOOKUP($A32,[6]HISTOBQUEJUIN25!$A$6:$H$48,4,0)</f>
        <v>0</v>
      </c>
      <c r="F32" s="91">
        <f>VLOOKUP($A32,[6]HISTOBQUEJUIN25!$A$6:$H$48,6,0)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IFERROR(VLOOKUP(A32,[7]TONTJUIN25!$A$6:$R$41,12,0),0)</f>
        <v>0</v>
      </c>
      <c r="Q32" s="2">
        <f>IFERROR(VLOOKUP(A32,[8]TONTJUIN25!$A$6:$R$38,10,0),0)</f>
        <v>0</v>
      </c>
      <c r="R32" s="2">
        <f>IFERROR(VLOOKUP(A32,[9]TONTJUIN25!$A$6:$R$42,10,0),0)</f>
        <v>0</v>
      </c>
      <c r="S32" s="20">
        <v>1000000</v>
      </c>
      <c r="T32" s="12" t="s">
        <v>8</v>
      </c>
      <c r="U32" s="17">
        <f t="shared" si="9"/>
        <v>1250000</v>
      </c>
      <c r="V32" s="12"/>
      <c r="W32" s="12"/>
      <c r="X32" s="12"/>
      <c r="Y32" s="92">
        <f t="shared" si="10"/>
        <v>250000</v>
      </c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970000</v>
      </c>
      <c r="BA32" s="58"/>
      <c r="BB32" s="58"/>
      <c r="BC32" s="15">
        <f t="shared" si="18"/>
        <v>0</v>
      </c>
      <c r="BD32" s="57">
        <f t="shared" si="15"/>
        <v>970000</v>
      </c>
      <c r="BE32" s="82"/>
      <c r="BF32" s="29">
        <f t="shared" si="6"/>
        <v>30000</v>
      </c>
      <c r="BG32" s="29">
        <v>3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VLOOKUP($A33,[6]HISTOBQUEJUIN25!$A$6:$H$48,5,0)</f>
        <v>0</v>
      </c>
      <c r="E33" s="91">
        <f>VLOOKUP($A33,[6]HISTOBQUEJUIN25!$A$6:$H$48,4,0)</f>
        <v>50000</v>
      </c>
      <c r="F33" s="91">
        <f>VLOOKUP($A33,[6]HISTOBQUEJUIN25!$A$6:$H$48,6,0)</f>
        <v>0</v>
      </c>
      <c r="G33" s="91">
        <v>-3000</v>
      </c>
      <c r="H33" s="5">
        <f t="shared" si="16"/>
        <v>3000</v>
      </c>
      <c r="I33" s="10" t="str">
        <f t="shared" si="0"/>
        <v>ESPECES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IFERROR(VLOOKUP(A33,[7]TONTJUIN25!$A$6:$R$41,12,0),0)</f>
        <v>0</v>
      </c>
      <c r="Q33" s="2">
        <f>IFERROR(VLOOKUP(A33,[8]TONTJUIN25!$A$6:$R$38,10,0),0)</f>
        <v>0</v>
      </c>
      <c r="R33" s="2">
        <f>IFERROR(VLOOKUP(A33,[9]TONTJUIN25!$A$6:$R$42,10,0),0)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22000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VLOOKUP($A34,[6]HISTOBQUEJUIN25!$A$6:$H$48,5,0)</f>
        <v>181000</v>
      </c>
      <c r="E34" s="91">
        <f>VLOOKUP($A34,[6]HISTOBQUEJUIN25!$A$6:$H$48,4,0)</f>
        <v>0</v>
      </c>
      <c r="F34" s="91">
        <f>VLOOKUP($A34,[6]HISTOBQUEJUIN25!$A$6:$H$48,6,0)</f>
        <v>0</v>
      </c>
      <c r="G34" s="91">
        <v>500</v>
      </c>
      <c r="H34" s="5">
        <f t="shared" si="16"/>
        <v>0</v>
      </c>
      <c r="I34" s="10" t="str">
        <f t="shared" si="0"/>
        <v>BANQUE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f>IFERROR(VLOOKUP(A34,[7]TONTJUIN25!$A$6:$R$41,12,0),0)</f>
        <v>30500</v>
      </c>
      <c r="Q34" s="2">
        <f>IFERROR(VLOOKUP(A34,[8]TONTJUIN25!$A$6:$R$38,10,0),0)</f>
        <v>0</v>
      </c>
      <c r="R34" s="2">
        <f>IFERROR(VLOOKUP(A34,[9]TONTJUIN25!$A$6:$R$42,10,0),0)</f>
        <v>0</v>
      </c>
      <c r="S34" s="20"/>
      <c r="T34" s="12"/>
      <c r="U34" s="17">
        <f t="shared" si="9"/>
        <v>181000</v>
      </c>
      <c r="V34" s="12"/>
      <c r="W34" s="12"/>
      <c r="X34" s="12"/>
      <c r="Y34" s="92">
        <f t="shared" si="10"/>
        <v>150000</v>
      </c>
      <c r="Z34" s="12"/>
      <c r="AA34" s="12"/>
      <c r="AB34" s="12"/>
      <c r="AC34" s="12">
        <v>3500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 t="s">
        <v>8</v>
      </c>
      <c r="AQ34" s="8">
        <f t="shared" si="3"/>
        <v>0</v>
      </c>
      <c r="AR34" s="8">
        <f t="shared" si="4"/>
        <v>0</v>
      </c>
      <c r="AS34" s="13">
        <f t="shared" si="17"/>
        <v>25500</v>
      </c>
      <c r="AT34" s="15"/>
      <c r="AV34" s="15"/>
      <c r="AW34" s="15">
        <f t="shared" si="11"/>
        <v>296500</v>
      </c>
      <c r="AX34" s="15">
        <f t="shared" si="12"/>
        <v>0</v>
      </c>
      <c r="AY34" s="15">
        <f t="shared" si="13"/>
        <v>0</v>
      </c>
      <c r="AZ34" s="16">
        <f t="shared" si="14"/>
        <v>296500</v>
      </c>
      <c r="BA34" s="58"/>
      <c r="BB34" s="58"/>
      <c r="BC34" s="15">
        <f t="shared" si="18"/>
        <v>0</v>
      </c>
      <c r="BD34" s="57">
        <f t="shared" si="15"/>
        <v>296500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VLOOKUP($A35,[6]HISTOBQUEJUIN25!$A$6:$H$48,5,0)</f>
        <v>125000</v>
      </c>
      <c r="E35" s="91">
        <f>VLOOKUP($A35,[6]HISTOBQUEJUIN25!$A$6:$H$48,4,0)</f>
        <v>102000</v>
      </c>
      <c r="F35" s="91">
        <f>VLOOKUP($A35,[6]HISTOBQUEJUIN25!$A$6:$H$48,6,0)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IFERROR(VLOOKUP(A35,[7]TONTJUIN25!$A$6:$R$41,12,0),0)</f>
        <v>0</v>
      </c>
      <c r="Q35" s="2">
        <f>IFERROR(VLOOKUP(A35,[8]TONTJUIN25!$A$6:$R$38,10,0),0)</f>
        <v>102000</v>
      </c>
      <c r="R35" s="2">
        <f>IFERROR(VLOOKUP(A35,[9]TONTJUIN25!$A$6:$R$42,10,0),0)</f>
        <v>0</v>
      </c>
      <c r="S35" s="20"/>
      <c r="T35" s="12"/>
      <c r="U35" s="17">
        <f t="shared" si="9"/>
        <v>227000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>
        <f>50000+50000</f>
        <v>100000</v>
      </c>
      <c r="AK35" s="12"/>
      <c r="AL35" s="12"/>
      <c r="AM35" s="12">
        <f>1000+1000</f>
        <v>2000</v>
      </c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297500</v>
      </c>
      <c r="AX35" s="15">
        <f t="shared" si="12"/>
        <v>100000</v>
      </c>
      <c r="AY35" s="15">
        <f t="shared" si="13"/>
        <v>0</v>
      </c>
      <c r="AZ35" s="16">
        <f t="shared" si="14"/>
        <v>397500</v>
      </c>
      <c r="BA35" s="58">
        <v>100000</v>
      </c>
      <c r="BB35" s="58"/>
      <c r="BC35" s="15">
        <f t="shared" si="18"/>
        <v>0</v>
      </c>
      <c r="BD35" s="57">
        <f t="shared" si="15"/>
        <v>297500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VLOOKUP($A36,[6]HISTOBQUEJUIN25!$A$6:$H$48,5,0)</f>
        <v>150000</v>
      </c>
      <c r="E36" s="91">
        <f>VLOOKUP($A36,[6]HISTOBQUEJUIN25!$A$6:$H$48,4,0)</f>
        <v>0</v>
      </c>
      <c r="F36" s="91">
        <f>VLOOKUP($A36,[6]HISTOBQUEJUIN25!$A$6:$H$48,6,0)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IFERROR(VLOOKUP(A36,[7]TONTJUIN25!$A$6:$R$41,12,0),0)</f>
        <v>0</v>
      </c>
      <c r="Q36" s="2">
        <f>IFERROR(VLOOKUP(A36,[8]TONTJUIN25!$A$6:$R$38,10,0),0)</f>
        <v>0</v>
      </c>
      <c r="R36" s="2">
        <f>IFERROR(VLOOKUP(A36,[9]TONTJUIN25!$A$6:$R$42,10,0),0)</f>
        <v>0</v>
      </c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 t="s">
        <v>8</v>
      </c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>
        <f t="shared" si="18"/>
        <v>0</v>
      </c>
      <c r="BD36" s="57">
        <f t="shared" si="15"/>
        <v>0</v>
      </c>
      <c r="BE36" s="82"/>
      <c r="BF36" s="29">
        <f t="shared" si="6"/>
        <v>0</v>
      </c>
      <c r="BG36" s="29">
        <v>6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VLOOKUP($A37,[6]HISTOBQUEJUIN25!$A$6:$H$48,5,0)</f>
        <v>50000</v>
      </c>
      <c r="E37" s="91">
        <f>VLOOKUP($A37,[6]HISTOBQUEJUIN25!$A$6:$H$48,4,0)</f>
        <v>0</v>
      </c>
      <c r="F37" s="91">
        <f>VLOOKUP($A37,[6]HISTOBQUEJUIN25!$A$6:$H$48,6,0)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IFERROR(VLOOKUP(A37,[7]TONTJUIN25!$A$6:$R$41,12,0),0)</f>
        <v>0</v>
      </c>
      <c r="Q37" s="2">
        <f>IFERROR(VLOOKUP(A37,[8]TONTJUIN25!$A$6:$R$38,10,0),0)</f>
        <v>0</v>
      </c>
      <c r="R37" s="2">
        <f>IFERROR(VLOOKUP(A37,[9]TONTJUIN25!$A$6:$R$42,10,0),0)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6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VLOOKUP($A38,[6]HISTOBQUEJUIN25!$A$6:$H$48,5,0)</f>
        <v>0</v>
      </c>
      <c r="E38" s="91">
        <f>VLOOKUP($A38,[6]HISTOBQUEJUIN25!$A$6:$H$48,4,0)</f>
        <v>50000</v>
      </c>
      <c r="F38" s="91">
        <f>VLOOKUP($A38,[6]HISTOBQUEJUIN25!$A$6:$H$48,6,0)</f>
        <v>0</v>
      </c>
      <c r="G38" s="91">
        <v>-3000</v>
      </c>
      <c r="H38" s="5">
        <f t="shared" si="16"/>
        <v>3000</v>
      </c>
      <c r="I38" s="10" t="str">
        <f t="shared" si="0"/>
        <v>ESPECES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IFERROR(VLOOKUP(A38,[7]TONTJUIN25!$A$6:$R$41,12,0),0)</f>
        <v>0</v>
      </c>
      <c r="Q38" s="2">
        <f>IFERROR(VLOOKUP(A38,[8]TONTJUIN25!$A$6:$R$38,10,0),0)</f>
        <v>0</v>
      </c>
      <c r="R38" s="2">
        <f>IFERROR(VLOOKUP(A38,[9]TONTJUIN25!$A$6:$R$42,10,0),0)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22000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6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VLOOKUP($A39,[6]HISTOBQUEJUIN25!$A$6:$H$48,5,0)</f>
        <v>227000</v>
      </c>
      <c r="E39" s="91">
        <f>VLOOKUP($A39,[6]HISTOBQUEJUIN25!$A$6:$H$48,4,0)</f>
        <v>0</v>
      </c>
      <c r="F39" s="91">
        <f>VLOOKUP($A39,[6]HISTOBQUEJUIN25!$A$6:$H$48,6,0)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IFERROR(VLOOKUP(A39,[7]TONTJUIN25!$A$6:$R$41,12,0),0)</f>
        <v>0</v>
      </c>
      <c r="Q39" s="2">
        <f>IFERROR(VLOOKUP(A39,[8]TONTJUIN25!$A$6:$R$38,10,0),0)</f>
        <v>102000</v>
      </c>
      <c r="R39" s="2">
        <f>IFERROR(VLOOKUP(A39,[9]TONTJUIN25!$A$6:$R$42,10,0),0)</f>
        <v>0</v>
      </c>
      <c r="S39" s="20"/>
      <c r="T39" s="12"/>
      <c r="U39" s="17">
        <f t="shared" si="9"/>
        <v>227000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 t="s">
        <v>8</v>
      </c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0</v>
      </c>
      <c r="AY39" s="15">
        <f t="shared" si="13"/>
        <v>0</v>
      </c>
      <c r="AZ39" s="16">
        <f t="shared" si="14"/>
        <v>0</v>
      </c>
      <c r="BA39" s="58"/>
      <c r="BB39" s="58"/>
      <c r="BC39" s="15">
        <f t="shared" si="18"/>
        <v>0</v>
      </c>
      <c r="BD39" s="57">
        <f t="shared" si="15"/>
        <v>0</v>
      </c>
      <c r="BE39" s="82"/>
      <c r="BF39" s="29">
        <f t="shared" si="6"/>
        <v>0</v>
      </c>
      <c r="BG39" s="29">
        <v>6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VLOOKUP($A40,[6]HISTOBQUEJUIN25!$A$6:$H$48,5,0)</f>
        <v>0</v>
      </c>
      <c r="E40" s="91">
        <f>VLOOKUP($A40,[6]HISTOBQUEJUIN25!$A$6:$H$48,4,0)</f>
        <v>50000</v>
      </c>
      <c r="F40" s="91">
        <f>VLOOKUP($A40,[6]HISTOBQUEJUIN25!$A$6:$H$48,6,0)</f>
        <v>0</v>
      </c>
      <c r="G40" s="91">
        <v>-3000</v>
      </c>
      <c r="H40" s="5">
        <f t="shared" si="16"/>
        <v>3000</v>
      </c>
      <c r="I40" s="10" t="str">
        <f t="shared" si="0"/>
        <v>ESPECES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IFERROR(VLOOKUP(A40,[7]TONTJUIN25!$A$6:$R$41,12,0),0)</f>
        <v>0</v>
      </c>
      <c r="Q40" s="2">
        <f>IFERROR(VLOOKUP(A40,[8]TONTJUIN25!$A$6:$R$38,10,0),0)</f>
        <v>0</v>
      </c>
      <c r="R40" s="2">
        <f>IFERROR(VLOOKUP(A40,[9]TONTJUIN25!$A$6:$R$42,10,0),0)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22000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6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VLOOKUP($A41,[6]HISTOBQUEJUIN25!$A$6:$H$48,5,0)</f>
        <v>0</v>
      </c>
      <c r="E41" s="91">
        <f>VLOOKUP($A41,[6]HISTOBQUEJUIN25!$A$6:$H$48,4,0)</f>
        <v>253000</v>
      </c>
      <c r="F41" s="91">
        <f>VLOOKUP($A41,[6]HISTOBQUEJUIN25!$A$6:$H$48,6,0)</f>
        <v>0</v>
      </c>
      <c r="G41" s="91"/>
      <c r="H41" s="5">
        <f t="shared" si="16"/>
        <v>3000</v>
      </c>
      <c r="I41" s="10" t="str">
        <f t="shared" si="0"/>
        <v>ESPECES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IFERROR(VLOOKUP(A41,[7]TONTJUIN25!$A$6:$R$41,12,0),0)</f>
        <v>0</v>
      </c>
      <c r="Q41" s="2">
        <f>IFERROR(VLOOKUP(A41,[8]TONTJUIN25!$A$6:$R$38,10,0),0)</f>
        <v>0</v>
      </c>
      <c r="R41" s="2">
        <f>IFERROR(VLOOKUP(A41,[9]TONTJUIN25!$A$6:$R$42,10,0),0)</f>
        <v>0</v>
      </c>
      <c r="S41" s="6"/>
      <c r="T41" s="12"/>
      <c r="U41" s="17">
        <f t="shared" si="9"/>
        <v>253000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>
        <v>3500</v>
      </c>
      <c r="AD41" s="12"/>
      <c r="AE41" s="12">
        <v>10000</v>
      </c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296500</v>
      </c>
      <c r="AX41" s="15">
        <f t="shared" si="12"/>
        <v>0</v>
      </c>
      <c r="AY41" s="15">
        <f t="shared" si="13"/>
        <v>1190000</v>
      </c>
      <c r="AZ41" s="16">
        <f t="shared" si="14"/>
        <v>1486500</v>
      </c>
      <c r="BA41" s="58"/>
      <c r="BB41" s="58"/>
      <c r="BC41" s="15">
        <f t="shared" si="18"/>
        <v>0</v>
      </c>
      <c r="BD41" s="57">
        <f t="shared" si="15"/>
        <v>1486500</v>
      </c>
      <c r="BE41" s="82"/>
      <c r="BF41" s="29">
        <f t="shared" si="6"/>
        <v>0</v>
      </c>
      <c r="BG41" s="29">
        <v>6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VLOOKUP($A42,[6]HISTOBQUEJUIN25!$A$6:$H$48,5,0)</f>
        <v>225000</v>
      </c>
      <c r="E42" s="91">
        <f>VLOOKUP($A42,[6]HISTOBQUEJUIN25!$A$6:$H$48,4,0)</f>
        <v>0</v>
      </c>
      <c r="F42" s="91">
        <f>VLOOKUP($A42,[6]HISTOBQUEJUIN25!$A$6:$H$48,6,0)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IFERROR(VLOOKUP(A42,[7]TONTJUIN25!$A$6:$R$41,12,0),0)</f>
        <v>0</v>
      </c>
      <c r="Q42" s="2">
        <f>IFERROR(VLOOKUP(A42,[8]TONTJUIN25!$A$6:$R$38,10,0),0)</f>
        <v>0</v>
      </c>
      <c r="R42" s="2">
        <f>IFERROR(VLOOKUP(A42,[9]TONTJUIN25!$A$6:$R$42,10,0),0)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6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-4338625</v>
      </c>
      <c r="D44" s="5">
        <f>SUM(D6:D43)</f>
        <v>5319000</v>
      </c>
      <c r="E44" s="5">
        <f>SUM(E6:E43)</f>
        <v>1161500</v>
      </c>
      <c r="F44" s="5">
        <f>SUM(F6:F43)</f>
        <v>0</v>
      </c>
      <c r="G44" s="5">
        <f t="shared" ref="G44:S44" si="19">SUM(G6:G43)</f>
        <v>160000</v>
      </c>
      <c r="H44" s="5">
        <f t="shared" si="19"/>
        <v>15000</v>
      </c>
      <c r="I44" s="5">
        <f t="shared" si="19"/>
        <v>0</v>
      </c>
      <c r="J44" s="5">
        <f t="shared" si="19"/>
        <v>35</v>
      </c>
      <c r="K44" s="5">
        <f t="shared" si="19"/>
        <v>1750000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2400000</v>
      </c>
      <c r="P44" s="5">
        <f t="shared" si="19"/>
        <v>174000</v>
      </c>
      <c r="Q44" s="5">
        <f t="shared" si="19"/>
        <v>478125</v>
      </c>
      <c r="R44" s="5">
        <f t="shared" si="19"/>
        <v>1167000</v>
      </c>
      <c r="S44" s="5">
        <f t="shared" si="19"/>
        <v>3800000</v>
      </c>
      <c r="T44" s="5"/>
      <c r="U44" s="5">
        <f t="shared" ref="U44:AA44" si="20">SUM(U6:U43)</f>
        <v>10819125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5125000</v>
      </c>
      <c r="Z44" s="5">
        <f t="shared" si="20"/>
        <v>3500000</v>
      </c>
      <c r="AA44" s="5">
        <f t="shared" si="20"/>
        <v>0</v>
      </c>
      <c r="AB44" s="5"/>
      <c r="AC44" s="5">
        <f>SUM(AC6:AC43)</f>
        <v>9500</v>
      </c>
      <c r="AD44" s="5">
        <f>SUM(AD6:AD43)</f>
        <v>7500</v>
      </c>
      <c r="AE44" s="5">
        <f>SUM(AE6:AE43)</f>
        <v>20000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158500</v>
      </c>
      <c r="AJ44" s="5">
        <f t="shared" si="21"/>
        <v>559625</v>
      </c>
      <c r="AK44" s="5">
        <f t="shared" si="21"/>
        <v>1134500</v>
      </c>
      <c r="AL44" s="5">
        <f t="shared" si="21"/>
        <v>4000</v>
      </c>
      <c r="AM44" s="5">
        <f t="shared" si="21"/>
        <v>13000</v>
      </c>
      <c r="AN44" s="5">
        <f t="shared" si="21"/>
        <v>32500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935000</v>
      </c>
      <c r="AT44" s="5">
        <f t="shared" si="21"/>
        <v>0</v>
      </c>
      <c r="AU44" s="5">
        <f t="shared" si="21"/>
        <v>0</v>
      </c>
      <c r="AV44" s="5">
        <f t="shared" si="21"/>
        <v>0</v>
      </c>
      <c r="AW44" s="5">
        <f t="shared" si="21"/>
        <v>1049000</v>
      </c>
      <c r="AX44" s="5">
        <f t="shared" si="21"/>
        <v>1452125</v>
      </c>
      <c r="AY44" s="5">
        <f t="shared" si="21"/>
        <v>3514500</v>
      </c>
      <c r="AZ44" s="5">
        <f t="shared" si="21"/>
        <v>9516625</v>
      </c>
      <c r="BA44" s="5">
        <f t="shared" si="21"/>
        <v>763000</v>
      </c>
      <c r="BB44" s="5">
        <f t="shared" si="21"/>
        <v>0</v>
      </c>
      <c r="BC44" s="5">
        <f t="shared" si="21"/>
        <v>0</v>
      </c>
      <c r="BD44" s="5">
        <f t="shared" si="21"/>
        <v>8652625</v>
      </c>
      <c r="BE44" s="5">
        <f t="shared" si="21"/>
        <v>0</v>
      </c>
      <c r="BF44" s="5">
        <f t="shared" si="21"/>
        <v>105000</v>
      </c>
      <c r="BH44" s="5">
        <f t="shared" ref="BH44:BL44" si="22">SUM(BH6:BH43)</f>
        <v>6000</v>
      </c>
      <c r="BI44" s="5">
        <f t="shared" si="22"/>
        <v>0</v>
      </c>
      <c r="BJ44" s="5">
        <f t="shared" si="22"/>
        <v>0</v>
      </c>
      <c r="BK44" s="5">
        <f t="shared" si="22"/>
        <v>100000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1161500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398500</v>
      </c>
      <c r="BD47" s="14">
        <f>+BD46-BD44</f>
        <v>-8652625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8652625</v>
      </c>
      <c r="D50" s="9">
        <f>+D44</f>
        <v>5319000</v>
      </c>
      <c r="E50" s="9">
        <f>+C50-D50</f>
        <v>3333625</v>
      </c>
      <c r="F50" s="9"/>
      <c r="G50" s="9">
        <f>E44</f>
        <v>1161500</v>
      </c>
      <c r="H50" s="14">
        <f>+BA44</f>
        <v>763000</v>
      </c>
      <c r="I50" s="88">
        <f>+G50-H50</f>
        <v>398500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16944750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T6:T42 AP6:AP43 AF6:AF42" xr:uid="{02886334-D7D4-4CFD-9C23-6FDB00978D72}">
      <formula1>"BANQUE,ESPECES,EN COMPTE,AUTRES"</formula1>
    </dataValidation>
    <dataValidation type="list" showInputMessage="1" showErrorMessage="1" sqref="AA6:AA42" xr:uid="{071C4F5A-ED23-4722-91BB-A50B4DCFC230}">
      <formula1>"BANQUE,ESPECES, 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4650-C4C6-47BF-9255-FE25BFE799CA}">
  <dimension ref="A1:BQ88"/>
  <sheetViews>
    <sheetView zoomScale="87" zoomScaleNormal="87" workbookViewId="0">
      <pane xSplit="4" ySplit="5" topLeftCell="BM21" activePane="bottomRight" state="frozen"/>
      <selection activeCell="D15" sqref="D15"/>
      <selection pane="topRight" activeCell="D15" sqref="D15"/>
      <selection pane="bottomLeft" activeCell="D15" sqref="D15"/>
      <selection pane="bottomRight" activeCell="G22" sqref="G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VLOOKUP($A6,[6]HISTOBQUEJUIL25!$A$6:$H$48,5,0)</f>
        <v>250000</v>
      </c>
      <c r="E6" s="91">
        <f>VLOOKUP($A6,[6]HISTOBQUEJUIL25!$A$6:$H$48,4,0)</f>
        <v>0</v>
      </c>
      <c r="F6" s="91">
        <f>VLOOKUP($A6,[6]HISTOBQUEJUIL25!$A$6:$H$48,6,0)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IFERROR(VLOOKUP(A6,[7]TONTJUIL25!$A$6:$R$41,12,0),0)</f>
        <v>0</v>
      </c>
      <c r="Q6" s="2">
        <f>IFERROR(VLOOKUP(A6,[8]TONTJUIL25!$A$6:$R$38,10,0),0)</f>
        <v>0</v>
      </c>
      <c r="R6" s="2">
        <f>IFERROR(VLOOKUP(A6,[9]TONTJUIL25!$A$6:$R$42,10,0),0)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76000</v>
      </c>
      <c r="BA6" s="58"/>
      <c r="BB6" s="58"/>
      <c r="BC6" s="15">
        <f t="shared" ref="BC6:BC17" si="5">F6</f>
        <v>0</v>
      </c>
      <c r="BD6" s="57">
        <f>IF(AZ6=0,(AZ6-BA6-BC6),(AZ6-BA6-BB6-BC6))</f>
        <v>76000</v>
      </c>
      <c r="BE6" s="82"/>
      <c r="BF6" s="29">
        <f t="shared" ref="BF6:BF42" si="6">Z6*1/100*BG6</f>
        <v>0</v>
      </c>
      <c r="BG6" s="29">
        <v>5</v>
      </c>
      <c r="BH6" s="15">
        <f>BQ17</f>
        <v>6000</v>
      </c>
      <c r="BI6" s="15">
        <f>BQ30</f>
        <v>0</v>
      </c>
      <c r="BJ6" s="15">
        <f>BQ36</f>
        <v>0</v>
      </c>
      <c r="BK6" s="15">
        <v>70000</v>
      </c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VLOOKUP($A7,[6]HISTOBQUEJUIL25!$A$6:$H$48,5,0)</f>
        <v>0</v>
      </c>
      <c r="E7" s="91">
        <f>VLOOKUP($A7,[6]HISTOBQUEJUIL25!$A$6:$H$48,4,0)</f>
        <v>50000</v>
      </c>
      <c r="F7" s="91">
        <f>VLOOKUP($A7,[6]HISTOBQUEJUIL25!$A$6:$H$48,6,0)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IFERROR(VLOOKUP(A7,[7]TONTJUIL25!$A$6:$R$41,12,0),0)</f>
        <v>0</v>
      </c>
      <c r="Q7" s="2">
        <f>IFERROR(VLOOKUP(A7,[8]TONTJUIL25!$A$6:$R$38,10,0),0)</f>
        <v>0</v>
      </c>
      <c r="R7" s="2">
        <f>IFERROR(VLOOKUP(A7,[9]TONTJUIL25!$A$6:$R$42,10,0),0)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5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VLOOKUP($A8,[6]HISTOBQUEJUIL25!$A$6:$H$48,5,0)</f>
        <v>125000</v>
      </c>
      <c r="E8" s="91">
        <f>VLOOKUP($A8,[6]HISTOBQUEJUIL25!$A$6:$H$48,4,0)</f>
        <v>0</v>
      </c>
      <c r="F8" s="91">
        <f>VLOOKUP($A8,[6]HISTOBQUEJUIL25!$A$6:$H$48,6,0)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IFERROR(VLOOKUP(A8,[7]TONTJUIL25!$A$6:$R$41,12,0),0)</f>
        <v>0</v>
      </c>
      <c r="Q8" s="2">
        <f>IFERROR(VLOOKUP(A8,[8]TONTJUIL25!$A$6:$R$38,10,0),0)</f>
        <v>0</v>
      </c>
      <c r="R8" s="2">
        <f>IFERROR(VLOOKUP(A8,[9]TONTJUIL25!$A$6:$R$42,10,0),0)</f>
        <v>0</v>
      </c>
      <c r="S8" s="20"/>
      <c r="T8" s="12"/>
      <c r="U8" s="17">
        <f t="shared" si="9"/>
        <v>125000</v>
      </c>
      <c r="V8" s="12"/>
      <c r="W8" s="12"/>
      <c r="X8" s="12"/>
      <c r="Y8" s="92">
        <f t="shared" si="10"/>
        <v>125000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>
        <f t="shared" si="5"/>
        <v>0</v>
      </c>
      <c r="BD8" s="57">
        <f t="shared" si="15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VLOOKUP($A9,[6]HISTOBQUEJUIL25!$A$6:$H$48,5,0)</f>
        <v>0</v>
      </c>
      <c r="E9" s="91">
        <f>VLOOKUP($A9,[6]HISTOBQUEJUIL25!$A$6:$H$48,4,0)</f>
        <v>291500</v>
      </c>
      <c r="F9" s="91">
        <f>VLOOKUP($A9,[6]HISTOBQUEJUIL25!$A$6:$H$48,6,0)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IFERROR(VLOOKUP(A9,[7]TONTJUIL25!$A$6:$R$41,12,0),0)</f>
        <v>41500</v>
      </c>
      <c r="Q9" s="2">
        <f>IFERROR(VLOOKUP(A9,[8]TONTJUIL25!$A$6:$R$38,10,0),0)</f>
        <v>0</v>
      </c>
      <c r="R9" s="2">
        <f>IFERROR(VLOOKUP(A9,[9]TONTJUIL25!$A$6:$R$42,10,0),0)</f>
        <v>0</v>
      </c>
      <c r="S9" s="20"/>
      <c r="T9" s="12"/>
      <c r="U9" s="17">
        <f t="shared" si="9"/>
        <v>291500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2500+1000</f>
        <v>3500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200000</v>
      </c>
      <c r="AZ9" s="16">
        <f t="shared" si="14"/>
        <v>200000</v>
      </c>
      <c r="BA9" s="58">
        <v>200000</v>
      </c>
      <c r="BB9" s="58"/>
      <c r="BC9" s="15">
        <f t="shared" si="5"/>
        <v>0</v>
      </c>
      <c r="BD9" s="57">
        <f t="shared" si="15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VLOOKUP($A10,[6]HISTOBQUEJUIL25!$A$6:$H$48,5,0)</f>
        <v>50000</v>
      </c>
      <c r="E10" s="91">
        <f>VLOOKUP($A10,[6]HISTOBQUEJUIL25!$A$6:$H$48,4,0)</f>
        <v>0</v>
      </c>
      <c r="F10" s="91">
        <f>VLOOKUP($A10,[6]HISTOBQUEJUIL25!$A$6:$H$48,6,0)</f>
        <v>0</v>
      </c>
      <c r="G10" s="91"/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IFERROR(VLOOKUP(A10,[7]TONTJUIL25!$A$6:$R$41,12,0),0)</f>
        <v>0</v>
      </c>
      <c r="Q10" s="2">
        <f>IFERROR(VLOOKUP(A10,[8]TONTJUIL25!$A$6:$R$38,10,0),0)</f>
        <v>0</v>
      </c>
      <c r="R10" s="2">
        <f>IFERROR(VLOOKUP(A10,[9]TONTJUIL25!$A$6:$R$42,10,0),0)</f>
        <v>0</v>
      </c>
      <c r="S10" s="20"/>
      <c r="T10" s="12"/>
      <c r="U10" s="17">
        <f t="shared" si="9"/>
        <v>50000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26000</v>
      </c>
      <c r="AJ10" s="12"/>
      <c r="AK10" s="12"/>
      <c r="AL10" s="12">
        <v>500</v>
      </c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26000</v>
      </c>
      <c r="AX10" s="15">
        <f t="shared" si="12"/>
        <v>0</v>
      </c>
      <c r="AY10" s="15">
        <f t="shared" si="13"/>
        <v>0</v>
      </c>
      <c r="AZ10" s="16">
        <f t="shared" si="14"/>
        <v>26000</v>
      </c>
      <c r="BA10" s="58"/>
      <c r="BB10" s="58"/>
      <c r="BC10" s="15">
        <f t="shared" si="5"/>
        <v>0</v>
      </c>
      <c r="BD10" s="57">
        <f t="shared" si="15"/>
        <v>26000</v>
      </c>
      <c r="BE10" s="82" t="s">
        <v>186</v>
      </c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14">
        <f t="shared" si="7"/>
        <v>-98500</v>
      </c>
      <c r="D11" s="9">
        <f>VLOOKUP($A11,[6]HISTOBQUEJUIL25!$A$6:$H$48,5,0)</f>
        <v>290000</v>
      </c>
      <c r="E11" s="91">
        <f>VLOOKUP($A11,[6]HISTOBQUEJUIL25!$A$6:$H$48,4,0)</f>
        <v>0</v>
      </c>
      <c r="F11" s="91">
        <f>VLOOKUP($A11,[6]HISTOBQUEJUIL25!$A$6:$H$48,6,0)</f>
        <v>0</v>
      </c>
      <c r="G11" s="91"/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IFERROR(VLOOKUP(A11,[7]TONTJUIL25!$A$6:$R$41,12,0),0)</f>
        <v>31000</v>
      </c>
      <c r="Q11" s="2">
        <f>IFERROR(VLOOKUP(A11,[8]TONTJUIL25!$A$6:$R$38,10,0),0)</f>
        <v>0</v>
      </c>
      <c r="R11" s="2">
        <f>IFERROR(VLOOKUP(A11,[9]TONTJUIL25!$A$6:$R$42,10,0),0)</f>
        <v>207500</v>
      </c>
      <c r="S11" s="20"/>
      <c r="T11" s="12"/>
      <c r="U11" s="17">
        <f t="shared" si="9"/>
        <v>388500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>
        <f t="shared" si="5"/>
        <v>0</v>
      </c>
      <c r="BD11" s="57">
        <f t="shared" si="15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VLOOKUP($A12,[6]HISTOBQUEJUIL25!$A$6:$H$48,5,0)</f>
        <v>466500</v>
      </c>
      <c r="E12" s="91">
        <f>VLOOKUP($A12,[6]HISTOBQUEJUIL25!$A$6:$H$48,4,0)</f>
        <v>31000</v>
      </c>
      <c r="F12" s="91">
        <f>VLOOKUP($A12,[6]HISTOBQUEJUIL25!$A$6:$H$48,6,0)</f>
        <v>0</v>
      </c>
      <c r="G12" s="91">
        <v>13500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IFERROR(VLOOKUP(A12,[7]TONTJUIL25!$A$6:$R$41,12,0),0)</f>
        <v>31000</v>
      </c>
      <c r="Q12" s="2">
        <f>IFERROR(VLOOKUP(A12,[8]TONTJUIL25!$A$6:$R$38,10,0),0)</f>
        <v>0</v>
      </c>
      <c r="R12" s="2">
        <f>IFERROR(VLOOKUP(A12,[9]TONTJUIL25!$A$6:$R$42,10,0),0)</f>
        <v>203000</v>
      </c>
      <c r="S12" s="20"/>
      <c r="T12" s="12"/>
      <c r="U12" s="17">
        <f t="shared" si="9"/>
        <v>497500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>
        <v>30000</v>
      </c>
      <c r="AJ12" s="12"/>
      <c r="AK12" s="12">
        <f>100000+100000</f>
        <v>200000</v>
      </c>
      <c r="AL12" s="12">
        <v>500</v>
      </c>
      <c r="AM12" s="12"/>
      <c r="AN12" s="12">
        <f>2000+4500</f>
        <v>6500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7"/>
        <v>38500</v>
      </c>
      <c r="AT12" s="15"/>
      <c r="AV12" s="15"/>
      <c r="AW12" s="15">
        <f t="shared" si="11"/>
        <v>30000</v>
      </c>
      <c r="AX12" s="15">
        <f t="shared" si="12"/>
        <v>0</v>
      </c>
      <c r="AY12" s="15">
        <f t="shared" si="13"/>
        <v>200000</v>
      </c>
      <c r="AZ12" s="16">
        <f t="shared" si="14"/>
        <v>230000</v>
      </c>
      <c r="BA12" s="58">
        <v>50000</v>
      </c>
      <c r="BB12" s="58"/>
      <c r="BC12" s="15">
        <f t="shared" si="5"/>
        <v>0</v>
      </c>
      <c r="BD12" s="57">
        <f t="shared" si="15"/>
        <v>180000</v>
      </c>
      <c r="BE12" s="82" t="s">
        <v>186</v>
      </c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VLOOKUP($A13,[6]HISTOBQUEJUIL25!$A$6:$H$48,5,0)</f>
        <v>50000</v>
      </c>
      <c r="E13" s="91">
        <f>VLOOKUP($A13,[6]HISTOBQUEJUIL25!$A$6:$H$48,4,0)</f>
        <v>0</v>
      </c>
      <c r="F13" s="91">
        <f>VLOOKUP($A13,[6]HISTOBQUEJUIL25!$A$6:$H$48,6,0)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IFERROR(VLOOKUP(A13,[7]TONTJUIL25!$A$6:$R$41,12,0),0)</f>
        <v>0</v>
      </c>
      <c r="Q13" s="2">
        <f>IFERROR(VLOOKUP(A13,[8]TONTJUIL25!$A$6:$R$38,10,0),0)</f>
        <v>0</v>
      </c>
      <c r="R13" s="2">
        <f>IFERROR(VLOOKUP(A13,[9]TONTJUIL25!$A$6:$R$42,10,0),0)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VLOOKUP($A14,[6]HISTOBQUEJUIL25!$A$6:$H$48,5,0)</f>
        <v>50000</v>
      </c>
      <c r="E14" s="91">
        <f>VLOOKUP($A14,[6]HISTOBQUEJUIL25!$A$6:$H$48,4,0)</f>
        <v>0</v>
      </c>
      <c r="F14" s="91">
        <f>VLOOKUP($A14,[6]HISTOBQUEJUIL25!$A$6:$H$48,6,0)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IFERROR(VLOOKUP(A14,[7]TONTJUIL25!$A$6:$R$41,12,0),0)</f>
        <v>0</v>
      </c>
      <c r="Q14" s="2">
        <f>IFERROR(VLOOKUP(A14,[8]TONTJUIL25!$A$6:$R$38,10,0),0)</f>
        <v>0</v>
      </c>
      <c r="R14" s="2">
        <f>IFERROR(VLOOKUP(A14,[9]TONTJUIL25!$A$6:$R$42,10,0),0)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100000</v>
      </c>
      <c r="BA14" s="58"/>
      <c r="BB14" s="58"/>
      <c r="BC14" s="15">
        <f t="shared" si="5"/>
        <v>0</v>
      </c>
      <c r="BD14" s="57">
        <f t="shared" si="15"/>
        <v>100000</v>
      </c>
      <c r="BE14" s="82" t="s">
        <v>186</v>
      </c>
      <c r="BF14" s="29">
        <f t="shared" si="6"/>
        <v>0</v>
      </c>
      <c r="BG14" s="29">
        <v>5</v>
      </c>
      <c r="BH14" s="15"/>
      <c r="BI14" s="15"/>
      <c r="BJ14" s="15"/>
      <c r="BK14" s="15">
        <v>100000</v>
      </c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VLOOKUP($A15,[6]HISTOBQUEJUIL25!$A$6:$H$48,5,0)</f>
        <v>150000</v>
      </c>
      <c r="E15" s="91">
        <f>VLOOKUP($A15,[6]HISTOBQUEJUIL25!$A$6:$H$48,4,0)</f>
        <v>0</v>
      </c>
      <c r="F15" s="91">
        <f>VLOOKUP($A15,[6]HISTOBQUEJUIL25!$A$6:$H$48,6,0)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IFERROR(VLOOKUP(A15,[7]TONTJUIL25!$A$6:$R$41,12,0),0)</f>
        <v>0</v>
      </c>
      <c r="Q15" s="2">
        <f>IFERROR(VLOOKUP(A15,[8]TONTJUIL25!$A$6:$R$38,10,0),0)</f>
        <v>0</v>
      </c>
      <c r="R15" s="2">
        <f>IFERROR(VLOOKUP(A15,[9]TONTJUIL25!$A$6:$R$42,10,0),0)</f>
        <v>0</v>
      </c>
      <c r="S15" s="20"/>
      <c r="T15" s="12"/>
      <c r="U15" s="17">
        <f t="shared" si="9"/>
        <v>150000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>
        <v>2500</v>
      </c>
      <c r="AD15" s="12"/>
      <c r="AE15" s="12"/>
      <c r="AF15" s="12"/>
      <c r="AG15" s="12"/>
      <c r="AH15" s="12"/>
      <c r="AI15" s="12"/>
      <c r="AJ15" s="12"/>
      <c r="AK15" s="12">
        <v>100000</v>
      </c>
      <c r="AL15" s="12"/>
      <c r="AM15" s="12"/>
      <c r="AN15" s="12">
        <v>2000</v>
      </c>
      <c r="AO15" s="12"/>
      <c r="AP15" s="12"/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297500</v>
      </c>
      <c r="AX15" s="15">
        <f t="shared" si="12"/>
        <v>0</v>
      </c>
      <c r="AY15" s="15">
        <f t="shared" si="13"/>
        <v>100000</v>
      </c>
      <c r="AZ15" s="16">
        <f t="shared" si="14"/>
        <v>397500</v>
      </c>
      <c r="BA15" s="58"/>
      <c r="BB15" s="58"/>
      <c r="BC15" s="15">
        <f t="shared" si="5"/>
        <v>0</v>
      </c>
      <c r="BD15" s="57">
        <f t="shared" si="15"/>
        <v>397500</v>
      </c>
      <c r="BE15" s="82" t="s">
        <v>186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VLOOKUP($A16,[6]HISTOBQUEJUIL25!$A$6:$H$48,5,0)</f>
        <v>125000</v>
      </c>
      <c r="E16" s="91">
        <f>VLOOKUP($A16,[6]HISTOBQUEJUIL25!$A$6:$H$48,4,0)</f>
        <v>0</v>
      </c>
      <c r="F16" s="91">
        <f>VLOOKUP($A16,[6]HISTOBQUEJUIL25!$A$6:$H$48,6,0)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IFERROR(VLOOKUP(A16,[7]TONTJUIL25!$A$6:$R$41,12,0),0)</f>
        <v>0</v>
      </c>
      <c r="Q16" s="2">
        <f>IFERROR(VLOOKUP(A16,[8]TONTJUIL25!$A$6:$R$38,10,0),0)</f>
        <v>0</v>
      </c>
      <c r="R16" s="2">
        <f>IFERROR(VLOOKUP(A16,[9]TONTJUIL25!$A$6:$R$42,10,0),0)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VLOOKUP($A17,[6]HISTOBQUEJUIL25!$A$6:$H$48,5,0)</f>
        <v>342000</v>
      </c>
      <c r="E17" s="91">
        <f>VLOOKUP($A17,[6]HISTOBQUEJUIL25!$A$6:$H$48,4,0)</f>
        <v>0</v>
      </c>
      <c r="F17" s="91">
        <f>VLOOKUP($A17,[6]HISTOBQUEJUIL25!$A$6:$H$48,6,0)</f>
        <v>0</v>
      </c>
      <c r="G17" s="91">
        <v>14500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IFERROR(VLOOKUP(A17,[7]TONTJUIL25!$A$6:$R$41,12,0),0)</f>
        <v>0</v>
      </c>
      <c r="Q17" s="2">
        <f>IFERROR(VLOOKUP(A17,[8]TONTJUIL25!$A$6:$R$38,10,0),0)</f>
        <v>102500</v>
      </c>
      <c r="R17" s="2">
        <f>IFERROR(VLOOKUP(A17,[9]TONTJUIL25!$A$6:$R$42,10,0),0)</f>
        <v>0</v>
      </c>
      <c r="S17" s="20"/>
      <c r="T17" s="12"/>
      <c r="U17" s="17">
        <f t="shared" si="9"/>
        <v>342000</v>
      </c>
      <c r="V17" s="12"/>
      <c r="W17" s="12"/>
      <c r="X17" s="12"/>
      <c r="Y17" s="92">
        <f t="shared" si="10"/>
        <v>225000</v>
      </c>
      <c r="Z17" s="12">
        <v>500000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39500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485000</v>
      </c>
      <c r="BA17" s="58"/>
      <c r="BB17" s="58"/>
      <c r="BC17" s="15">
        <f t="shared" si="5"/>
        <v>0</v>
      </c>
      <c r="BD17" s="57">
        <f t="shared" si="15"/>
        <v>485000</v>
      </c>
      <c r="BE17" s="82" t="s">
        <v>186</v>
      </c>
      <c r="BF17" s="29">
        <f t="shared" si="6"/>
        <v>15000</v>
      </c>
      <c r="BG17" s="29">
        <v>3</v>
      </c>
      <c r="BH17" s="15"/>
      <c r="BI17" s="15"/>
      <c r="BJ17" s="15"/>
      <c r="BK17" s="15"/>
      <c r="BL17" s="61"/>
      <c r="BO17" s="62" t="s">
        <v>142</v>
      </c>
      <c r="BQ17" s="62">
        <f>SUM(BQ6:BQ16)</f>
        <v>6000</v>
      </c>
    </row>
    <row r="18" spans="1:69" s="110" customFormat="1" ht="18.5" x14ac:dyDescent="0.45">
      <c r="A18" s="60" t="s">
        <v>22</v>
      </c>
      <c r="B18" s="60" t="str">
        <f>VLOOKUP(A18,[5]LISTADHERENT!A$5:H$50,3,0)</f>
        <v>KOUAMOU MOISE</v>
      </c>
      <c r="C18" s="14">
        <f t="shared" si="7"/>
        <v>-576000</v>
      </c>
      <c r="D18" s="9">
        <f>VLOOKUP($A18,[6]HISTOBQUEJUIL25!$A$6:$H$48,5,0)</f>
        <v>180000</v>
      </c>
      <c r="E18" s="99">
        <f>VLOOKUP($A18,[6]HISTOBQUEJUIL25!$A$6:$H$48,4,0)</f>
        <v>0</v>
      </c>
      <c r="F18" s="99">
        <f>VLOOKUP($A18,[6]HISTOBQUEJUIL25!$A$6:$H$48,6,0)</f>
        <v>0</v>
      </c>
      <c r="G18" s="99"/>
      <c r="H18" s="99">
        <f t="shared" si="16"/>
        <v>0</v>
      </c>
      <c r="I18" s="100" t="str">
        <f t="shared" si="0"/>
        <v>BANQUE</v>
      </c>
      <c r="J18" s="101">
        <v>1</v>
      </c>
      <c r="K18" s="101">
        <f t="shared" si="8"/>
        <v>50000</v>
      </c>
      <c r="L18" s="102"/>
      <c r="M18" s="101">
        <f t="shared" si="1"/>
        <v>0</v>
      </c>
      <c r="N18" s="102">
        <v>1</v>
      </c>
      <c r="O18" s="101">
        <f t="shared" si="2"/>
        <v>100000</v>
      </c>
      <c r="P18" s="103">
        <f>IFERROR(VLOOKUP(A18,[7]TONTJUIL25!$A$6:$R$41,12,0),0)</f>
        <v>0</v>
      </c>
      <c r="Q18" s="103">
        <f>IFERROR(VLOOKUP(A18,[8]TONTJUIL25!$A$6:$R$38,10,0),0)</f>
        <v>0</v>
      </c>
      <c r="R18" s="103">
        <f>IFERROR(VLOOKUP(A18,[9]TONTJUIL25!$A$6:$R$42,10,0),0)</f>
        <v>106000</v>
      </c>
      <c r="S18" s="104">
        <v>500000</v>
      </c>
      <c r="T18" s="105"/>
      <c r="U18" s="106">
        <f t="shared" si="9"/>
        <v>756000</v>
      </c>
      <c r="V18" s="105"/>
      <c r="W18" s="105"/>
      <c r="X18" s="105"/>
      <c r="Y18" s="107">
        <f t="shared" si="10"/>
        <v>150000</v>
      </c>
      <c r="Z18" s="105">
        <v>500000</v>
      </c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 t="s">
        <v>8</v>
      </c>
      <c r="AQ18" s="108">
        <f t="shared" si="3"/>
        <v>0</v>
      </c>
      <c r="AR18" s="108">
        <f t="shared" si="4"/>
        <v>0</v>
      </c>
      <c r="AS18" s="101">
        <f t="shared" si="17"/>
        <v>25000</v>
      </c>
      <c r="AT18" s="109"/>
      <c r="AV18" s="109"/>
      <c r="AW18" s="109">
        <f t="shared" si="11"/>
        <v>0</v>
      </c>
      <c r="AX18" s="109">
        <f t="shared" si="12"/>
        <v>0</v>
      </c>
      <c r="AY18" s="109">
        <f t="shared" si="13"/>
        <v>0</v>
      </c>
      <c r="AZ18" s="111">
        <f t="shared" si="14"/>
        <v>475000</v>
      </c>
      <c r="BA18" s="58">
        <v>50000</v>
      </c>
      <c r="BB18" s="112"/>
      <c r="BC18" s="109">
        <f>F18</f>
        <v>0</v>
      </c>
      <c r="BD18" s="57">
        <f>IF(AZ18=0,(AZ18-BA18-BC18),(AZ18-BA18-BB18-BC18))-76000</f>
        <v>349000</v>
      </c>
      <c r="BE18" s="82" t="s">
        <v>186</v>
      </c>
      <c r="BF18" s="113">
        <f t="shared" si="6"/>
        <v>25000</v>
      </c>
      <c r="BG18" s="113">
        <v>5</v>
      </c>
      <c r="BH18" s="109"/>
      <c r="BI18" s="109"/>
      <c r="BJ18" s="109"/>
      <c r="BK18" s="109"/>
      <c r="BL18" s="103"/>
      <c r="BO18" s="111"/>
      <c r="BQ18" s="102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14">
        <f t="shared" si="7"/>
        <v>1000</v>
      </c>
      <c r="D19" s="9">
        <f>VLOOKUP($A19,[6]HISTOBQUEJUIL25!$A$6:$H$48,5,0)</f>
        <v>376000</v>
      </c>
      <c r="E19" s="91">
        <f>VLOOKUP($A19,[6]HISTOBQUEJUIL25!$A$6:$H$48,4,0)</f>
        <v>0</v>
      </c>
      <c r="F19" s="91">
        <f>VLOOKUP($A19,[6]HISTOBQUEJUIL25!$A$6:$H$48,6,0)</f>
        <v>0</v>
      </c>
      <c r="G19" s="91">
        <v>9000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IFERROR(VLOOKUP(A19,[7]TONTJUIL25!$A$6:$R$41,12,0),0)</f>
        <v>0</v>
      </c>
      <c r="Q19" s="2">
        <f>IFERROR(VLOOKUP(A19,[8]TONTJUIL25!$A$6:$R$38,10,0),0)</f>
        <v>141000</v>
      </c>
      <c r="R19" s="2">
        <f>IFERROR(VLOOKUP(A19,[9]TONTJUIL25!$A$6:$R$42,10,0),0)</f>
        <v>0</v>
      </c>
      <c r="S19" s="20"/>
      <c r="T19" s="12"/>
      <c r="U19" s="17">
        <f t="shared" si="9"/>
        <v>375000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>
        <v>50000</v>
      </c>
      <c r="AK19" s="12">
        <v>79500</v>
      </c>
      <c r="AL19" s="12"/>
      <c r="AM19" s="12">
        <v>1000</v>
      </c>
      <c r="AN19" s="12">
        <v>1500</v>
      </c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34000</v>
      </c>
      <c r="AT19" s="15"/>
      <c r="AV19" s="15"/>
      <c r="AW19" s="15">
        <f t="shared" si="11"/>
        <v>0</v>
      </c>
      <c r="AX19" s="15">
        <f t="shared" si="12"/>
        <v>50000</v>
      </c>
      <c r="AY19" s="15">
        <f t="shared" si="13"/>
        <v>79500</v>
      </c>
      <c r="AZ19" s="16">
        <f t="shared" si="14"/>
        <v>129500</v>
      </c>
      <c r="BA19" s="58">
        <v>74500</v>
      </c>
      <c r="BB19" s="58"/>
      <c r="BC19" s="15">
        <f t="shared" ref="BC19:BC42" si="18">F19</f>
        <v>0</v>
      </c>
      <c r="BD19" s="57">
        <f t="shared" si="15"/>
        <v>55000</v>
      </c>
      <c r="BE19" s="82" t="s">
        <v>186</v>
      </c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14"/>
      <c r="D20" s="9"/>
      <c r="E20" s="91"/>
      <c r="F20" s="91"/>
      <c r="G20" s="91">
        <v>50000</v>
      </c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14">
        <f t="shared" si="7"/>
        <v>25000</v>
      </c>
      <c r="D21" s="9">
        <f>VLOOKUP($A21,[6]HISTOBQUEJUIL25!$A$6:$H$48,5,0)</f>
        <v>75000</v>
      </c>
      <c r="E21" s="91">
        <f>VLOOKUP($A21,[6]HISTOBQUEJUIL25!$A$6:$H$48,4,0)</f>
        <v>0</v>
      </c>
      <c r="F21" s="91">
        <f>VLOOKUP($A21,[6]HISTOBQUEJUIL25!$A$6:$H$48,6,0)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IFERROR(VLOOKUP(A21,[7]TONTJUIL25!$A$6:$R$41,12,0),0)</f>
        <v>0</v>
      </c>
      <c r="Q21" s="2">
        <f>IFERROR(VLOOKUP(A21,[8]TONTJUIL25!$A$6:$R$38,10,0),0)</f>
        <v>0</v>
      </c>
      <c r="R21" s="2">
        <f>IFERROR(VLOOKUP(A21,[9]TONTJUIL25!$A$6:$R$42,10,0),0)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14">
        <f t="shared" si="7"/>
        <v>-101500</v>
      </c>
      <c r="D22" s="9">
        <f>VLOOKUP($A22,[6]HISTOBQUEJUIL25!$A$6:$H$48,5,0)</f>
        <v>530000</v>
      </c>
      <c r="E22" s="91">
        <f>VLOOKUP($A22,[6]HISTOBQUEJUIL25!$A$6:$H$48,4,0)</f>
        <v>0</v>
      </c>
      <c r="F22" s="91">
        <f>VLOOKUP($A22,[6]HISTOBQUEJUIL25!$A$6:$H$48,6,0)</f>
        <v>0</v>
      </c>
      <c r="G22" s="91"/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IFERROR(VLOOKUP(A22,[7]TONTJUIL25!$A$6:$R$41,12,0),0)</f>
        <v>0</v>
      </c>
      <c r="Q22" s="2">
        <f>IFERROR(VLOOKUP(A22,[8]TONTJUIL25!$A$6:$R$38,10,0),0)</f>
        <v>102000</v>
      </c>
      <c r="R22" s="2">
        <f>IFERROR(VLOOKUP(A22,[9]TONTJUIL25!$A$6:$R$42,10,0),0)</f>
        <v>204500</v>
      </c>
      <c r="S22" s="20"/>
      <c r="T22" s="12"/>
      <c r="U22" s="17">
        <f t="shared" si="9"/>
        <v>631500</v>
      </c>
      <c r="V22" s="12"/>
      <c r="W22" s="12"/>
      <c r="X22" s="12"/>
      <c r="Y22" s="92">
        <f t="shared" si="10"/>
        <v>325000</v>
      </c>
      <c r="Z22" s="12"/>
      <c r="AA22" s="12"/>
      <c r="AB22" s="12"/>
      <c r="AC22" s="12"/>
      <c r="AD22" s="12"/>
      <c r="AE22" s="12">
        <v>60000</v>
      </c>
      <c r="AF22" s="12"/>
      <c r="AG22" s="12"/>
      <c r="AH22" s="12"/>
      <c r="AI22" s="12"/>
      <c r="AJ22" s="12">
        <f>50000+50000</f>
        <v>100000</v>
      </c>
      <c r="AK22" s="12">
        <v>100000</v>
      </c>
      <c r="AL22" s="12"/>
      <c r="AM22" s="12">
        <v>2000</v>
      </c>
      <c r="AN22" s="12">
        <v>4500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0</v>
      </c>
      <c r="AX22" s="15">
        <f t="shared" si="12"/>
        <v>100000</v>
      </c>
      <c r="AY22" s="15">
        <f t="shared" si="13"/>
        <v>1240000</v>
      </c>
      <c r="AZ22" s="16">
        <f t="shared" si="14"/>
        <v>1340000</v>
      </c>
      <c r="BA22" s="58">
        <v>100000</v>
      </c>
      <c r="BB22" s="58"/>
      <c r="BC22" s="15">
        <f t="shared" si="18"/>
        <v>0</v>
      </c>
      <c r="BD22" s="57">
        <f>IF(AZ22=0,(AZ22-BA22-BC22),(AZ22-BA22-BB22-BC22))-101500-98500</f>
        <v>1040000</v>
      </c>
      <c r="BE22" s="82" t="s">
        <v>186</v>
      </c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VLOOKUP($A23,[6]HISTOBQUEJUIL25!$A$6:$H$48,5,0)</f>
        <v>50000</v>
      </c>
      <c r="E23" s="91">
        <f>VLOOKUP($A23,[6]HISTOBQUEJUIL25!$A$6:$H$48,4,0)</f>
        <v>0</v>
      </c>
      <c r="F23" s="91">
        <f>VLOOKUP($A23,[6]HISTOBQUEJUIL25!$A$6:$H$48,6,0)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IFERROR(VLOOKUP(A23,[7]TONTJUIL25!$A$6:$R$41,12,0),0)</f>
        <v>0</v>
      </c>
      <c r="Q23" s="2">
        <f>IFERROR(VLOOKUP(A23,[8]TONTJUIL25!$A$6:$R$38,10,0),0)</f>
        <v>0</v>
      </c>
      <c r="R23" s="2">
        <f>IFERROR(VLOOKUP(A23,[9]TONTJUIL25!$A$6:$R$42,10,0),0)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VLOOKUP($A24,[6]HISTOBQUEJUIL25!$A$6:$H$48,5,0)</f>
        <v>125000</v>
      </c>
      <c r="E24" s="91">
        <f>VLOOKUP($A24,[6]HISTOBQUEJUIL25!$A$6:$H$48,4,0)</f>
        <v>0</v>
      </c>
      <c r="F24" s="91">
        <f>VLOOKUP($A24,[6]HISTOBQUEJUIL25!$A$6:$H$48,6,0)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IFERROR(VLOOKUP(A24,[7]TONTJUIL25!$A$6:$R$41,12,0),0)</f>
        <v>0</v>
      </c>
      <c r="Q24" s="2">
        <f>IFERROR(VLOOKUP(A24,[8]TONTJUIL25!$A$6:$R$38,10,0),0)</f>
        <v>0</v>
      </c>
      <c r="R24" s="2">
        <f>IFERROR(VLOOKUP(A24,[9]TONTJUIL25!$A$6:$R$42,10,0),0)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0</v>
      </c>
      <c r="BA24" s="58"/>
      <c r="BB24" s="58"/>
      <c r="BC24" s="15">
        <f t="shared" si="18"/>
        <v>0</v>
      </c>
      <c r="BD24" s="57">
        <f t="shared" si="15"/>
        <v>0</v>
      </c>
      <c r="BE24" s="82"/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14">
        <f t="shared" si="7"/>
        <v>15000</v>
      </c>
      <c r="D25" s="9">
        <f>VLOOKUP($A25,[6]HISTOBQUEJUIL25!$A$6:$H$48,5,0)</f>
        <v>481500</v>
      </c>
      <c r="E25" s="91">
        <f>VLOOKUP($A25,[6]HISTOBQUEJUIL25!$A$6:$H$48,4,0)</f>
        <v>0</v>
      </c>
      <c r="F25" s="91">
        <f>VLOOKUP($A25,[6]HISTOBQUEJUIL25!$A$6:$H$48,6,0)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IFERROR(VLOOKUP(A25,[7]TONTJUIL25!$A$6:$R$41,12,0),0)</f>
        <v>0</v>
      </c>
      <c r="Q25" s="2">
        <f>IFERROR(VLOOKUP(A25,[8]TONTJUIL25!$A$6:$R$38,10,0),0)</f>
        <v>0</v>
      </c>
      <c r="R25" s="2">
        <f>IFERROR(VLOOKUP(A25,[9]TONTJUIL25!$A$6:$R$42,10,0),0)</f>
        <v>206500</v>
      </c>
      <c r="S25" s="20"/>
      <c r="T25" s="12"/>
      <c r="U25" s="17">
        <f t="shared" si="9"/>
        <v>466500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>
        <v>2500</v>
      </c>
      <c r="AD25" s="12"/>
      <c r="AE25" s="12"/>
      <c r="AF25" s="12"/>
      <c r="AG25" s="12"/>
      <c r="AH25" s="12"/>
      <c r="AI25" s="12"/>
      <c r="AJ25" s="12"/>
      <c r="AK25" s="12">
        <f>100000+100000</f>
        <v>200000</v>
      </c>
      <c r="AL25" s="12"/>
      <c r="AM25" s="12"/>
      <c r="AN25" s="12">
        <f>2000+4000</f>
        <v>6000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297500</v>
      </c>
      <c r="AX25" s="15">
        <f t="shared" si="12"/>
        <v>0</v>
      </c>
      <c r="AY25" s="15">
        <f t="shared" si="13"/>
        <v>200000</v>
      </c>
      <c r="AZ25" s="16">
        <f>SUM(AV25:AY25)-BF25+Z25+BH25+BI25+BJ25+BK25+BL25+BM25+BN25+15000</f>
        <v>497500</v>
      </c>
      <c r="BA25" s="58"/>
      <c r="BB25" s="58"/>
      <c r="BC25" s="15">
        <f t="shared" si="18"/>
        <v>0</v>
      </c>
      <c r="BD25" s="57">
        <f>IF(AZ25=0,(AZ25-BA25-BC25),(AZ25-BA25-BB25-BC25))</f>
        <v>497500</v>
      </c>
      <c r="BE25" s="82" t="s">
        <v>186</v>
      </c>
      <c r="BF25" s="29">
        <f>Z25*1/100*BG25+15000</f>
        <v>15000</v>
      </c>
      <c r="BG25" s="29">
        <v>5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14">
        <f t="shared" si="7"/>
        <v>-261625</v>
      </c>
      <c r="D26" s="9">
        <f>VLOOKUP($A26,[6]HISTOBQUEJUIL25!$A$6:$H$48,5,0)</f>
        <v>240000</v>
      </c>
      <c r="E26" s="91">
        <f>VLOOKUP($A26,[6]HISTOBQUEJUIL25!$A$6:$H$48,4,0)</f>
        <v>0</v>
      </c>
      <c r="F26" s="91">
        <f>VLOOKUP($A26,[6]HISTOBQUEJUIL25!$A$6:$H$48,6,0)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IFERROR(VLOOKUP(A26,[7]TONTJUIL25!$A$6:$R$41,12,0),0)</f>
        <v>0</v>
      </c>
      <c r="Q26" s="2">
        <f>IFERROR(VLOOKUP(A26,[8]TONTJUIL25!$A$6:$R$38,10,0),0)</f>
        <v>125125</v>
      </c>
      <c r="R26" s="2">
        <f>IFERROR(VLOOKUP(A26,[9]TONTJUIL25!$A$6:$R$42,10,0),0)</f>
        <v>136500</v>
      </c>
      <c r="S26" s="20"/>
      <c r="T26" s="12"/>
      <c r="U26" s="17">
        <f t="shared" si="9"/>
        <v>501625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>
        <v>121500</v>
      </c>
      <c r="AK26" s="12"/>
      <c r="AL26" s="12"/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121500</v>
      </c>
      <c r="AY26" s="15">
        <f>IF(AE26=0,AK26,(1*100000*12)+(AK26)-AE26)</f>
        <v>0</v>
      </c>
      <c r="AZ26" s="16">
        <f t="shared" si="14"/>
        <v>121500</v>
      </c>
      <c r="BA26" s="58"/>
      <c r="BB26" s="58"/>
      <c r="BC26" s="15">
        <f t="shared" si="18"/>
        <v>0</v>
      </c>
      <c r="BD26" s="57">
        <f>IF(AZ26=0,(AZ26-BA26-BC26),(AZ26-BA26-BB26-BC26))-121500</f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VLOOKUP($A27,[6]HISTOBQUEJUIL25!$A$6:$H$48,5,0)</f>
        <v>343000</v>
      </c>
      <c r="E27" s="91">
        <f>VLOOKUP($A27,[6]HISTOBQUEJUIL25!$A$6:$H$48,4,0)</f>
        <v>0</v>
      </c>
      <c r="F27" s="91">
        <f>VLOOKUP($A27,[6]HISTOBQUEJUIL25!$A$6:$H$48,6,0)</f>
        <v>0</v>
      </c>
      <c r="G27" s="91">
        <v>-10000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IFERROR(VLOOKUP(A27,[7]TONTJUIL25!$A$6:$R$41,12,0),0)</f>
        <v>0</v>
      </c>
      <c r="Q27" s="2">
        <f>IFERROR(VLOOKUP(A27,[8]TONTJUIL25!$A$6:$R$38,10,0),0)</f>
        <v>0</v>
      </c>
      <c r="R27" s="2">
        <f>IFERROR(VLOOKUP(A27,[9]TONTJUIL25!$A$6:$R$42,10,0),0)</f>
        <v>103000</v>
      </c>
      <c r="S27" s="20"/>
      <c r="T27" s="12"/>
      <c r="U27" s="17">
        <f t="shared" si="9"/>
        <v>343000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f>100000+100000</f>
        <v>200000</v>
      </c>
      <c r="AL27" s="12"/>
      <c r="AM27" s="12"/>
      <c r="AN27" s="12">
        <f>2000+1500</f>
        <v>3500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15000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200000</v>
      </c>
      <c r="AZ27" s="16">
        <f t="shared" si="14"/>
        <v>200000</v>
      </c>
      <c r="BA27" s="58"/>
      <c r="BB27" s="58"/>
      <c r="BC27" s="15">
        <f t="shared" si="18"/>
        <v>0</v>
      </c>
      <c r="BD27" s="57">
        <f t="shared" si="15"/>
        <v>200000</v>
      </c>
      <c r="BE27" s="82" t="s">
        <v>186</v>
      </c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VLOOKUP($A28,[6]HISTOBQUEJUIL25!$A$6:$H$48,5,0)</f>
        <v>50000</v>
      </c>
      <c r="E28" s="91">
        <f>VLOOKUP($A28,[6]HISTOBQUEJUIL25!$A$6:$H$48,4,0)</f>
        <v>0</v>
      </c>
      <c r="F28" s="91">
        <f>VLOOKUP($A28,[6]HISTOBQUEJUIL25!$A$6:$H$48,6,0)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IFERROR(VLOOKUP(A28,[7]TONTJUIL25!$A$6:$R$41,12,0),0)</f>
        <v>0</v>
      </c>
      <c r="Q28" s="2">
        <f>IFERROR(VLOOKUP(A28,[8]TONTJUIL25!$A$6:$R$38,10,0),0)</f>
        <v>0</v>
      </c>
      <c r="R28" s="2">
        <f>IFERROR(VLOOKUP(A28,[9]TONTJUIL25!$A$6:$R$42,10,0),0)</f>
        <v>0</v>
      </c>
      <c r="S28" s="20"/>
      <c r="T28" s="12"/>
      <c r="U28" s="17">
        <f t="shared" si="9"/>
        <v>50000</v>
      </c>
      <c r="V28" s="12"/>
      <c r="W28" s="12"/>
      <c r="X28" s="12"/>
      <c r="Y28" s="92">
        <f t="shared" si="10"/>
        <v>50000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>
        <f t="shared" si="18"/>
        <v>0</v>
      </c>
      <c r="BD28" s="57">
        <f t="shared" si="15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VLOOKUP($A29,[6]HISTOBQUEJUIL25!$A$6:$H$48,5,0)</f>
        <v>50000</v>
      </c>
      <c r="E29" s="91">
        <f>VLOOKUP($A29,[6]HISTOBQUEJUIL25!$A$6:$H$48,4,0)</f>
        <v>0</v>
      </c>
      <c r="F29" s="91">
        <f>VLOOKUP($A29,[6]HISTOBQUEJUIL25!$A$6:$H$48,6,0)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IFERROR(VLOOKUP(A29,[7]TONTJUIL25!$A$6:$R$41,12,0),0)</f>
        <v>0</v>
      </c>
      <c r="Q29" s="2">
        <f>IFERROR(VLOOKUP(A29,[8]TONTJUIL25!$A$6:$R$38,10,0),0)</f>
        <v>0</v>
      </c>
      <c r="R29" s="2">
        <f>IFERROR(VLOOKUP(A29,[9]TONTJUIL25!$A$6:$R$42,10,0),0)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VLOOKUP($A30,[6]HISTOBQUEJUIL25!$A$6:$H$48,5,0)</f>
        <v>125000</v>
      </c>
      <c r="E30" s="91">
        <f>VLOOKUP($A30,[6]HISTOBQUEJUIL25!$A$6:$H$48,4,0)</f>
        <v>0</v>
      </c>
      <c r="F30" s="91">
        <f>VLOOKUP($A30,[6]HISTOBQUEJUIL25!$A$6:$H$48,6,0)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IFERROR(VLOOKUP(A30,[7]TONTJUIL25!$A$6:$R$41,12,0),0)</f>
        <v>0</v>
      </c>
      <c r="Q30" s="2">
        <f>IFERROR(VLOOKUP(A30,[8]TONTJUIL25!$A$6:$R$38,10,0),0)</f>
        <v>0</v>
      </c>
      <c r="R30" s="2">
        <f>IFERROR(VLOOKUP(A30,[9]TONTJUIL25!$A$6:$R$42,10,0),0)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-59000</v>
      </c>
      <c r="D31" s="9">
        <f>VLOOKUP($A31,[6]HISTOBQUEJUIL25!$A$6:$H$48,5,0)</f>
        <v>50000</v>
      </c>
      <c r="E31" s="91">
        <f>VLOOKUP($A31,[6]HISTOBQUEJUIL25!$A$6:$H$48,4,0)</f>
        <v>0</v>
      </c>
      <c r="F31" s="91">
        <f>VLOOKUP($A31,[6]HISTOBQUEJUIL25!$A$6:$H$48,6,0)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IFERROR(VLOOKUP(A31,[7]TONTJUIL25!$A$6:$R$41,12,0),0)</f>
        <v>59000</v>
      </c>
      <c r="Q31" s="2">
        <f>IFERROR(VLOOKUP(A31,[8]TONTJUIL25!$A$6:$R$38,10,0),0)</f>
        <v>0</v>
      </c>
      <c r="R31" s="2">
        <f>IFERROR(VLOOKUP(A31,[9]TONTJUIL25!$A$6:$R$42,10,0),0)</f>
        <v>0</v>
      </c>
      <c r="S31" s="20"/>
      <c r="T31" s="12"/>
      <c r="U31" s="17">
        <f t="shared" si="9"/>
        <v>109000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59000</v>
      </c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59000</v>
      </c>
      <c r="AX31" s="15">
        <f t="shared" si="12"/>
        <v>0</v>
      </c>
      <c r="AY31" s="15">
        <f t="shared" si="13"/>
        <v>0</v>
      </c>
      <c r="AZ31" s="16">
        <f t="shared" si="14"/>
        <v>59000</v>
      </c>
      <c r="BA31" s="58"/>
      <c r="BB31" s="58"/>
      <c r="BC31" s="15">
        <f t="shared" si="18"/>
        <v>0</v>
      </c>
      <c r="BD31" s="57">
        <f t="shared" si="15"/>
        <v>59000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VLOOKUP($A32,[6]HISTOBQUEJUIL25!$A$6:$H$48,5,0)</f>
        <v>250000</v>
      </c>
      <c r="E32" s="91">
        <f>VLOOKUP($A32,[6]HISTOBQUEJUIL25!$A$6:$H$48,4,0)</f>
        <v>0</v>
      </c>
      <c r="F32" s="91">
        <f>VLOOKUP($A32,[6]HISTOBQUEJUIL25!$A$6:$H$48,6,0)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IFERROR(VLOOKUP(A32,[7]TONTJUIL25!$A$6:$R$41,12,0),0)</f>
        <v>0</v>
      </c>
      <c r="Q32" s="2">
        <f>IFERROR(VLOOKUP(A32,[8]TONTJUIL25!$A$6:$R$38,10,0),0)</f>
        <v>0</v>
      </c>
      <c r="R32" s="2">
        <f>IFERROR(VLOOKUP(A32,[9]TONTJUIL25!$A$6:$R$42,10,0),0)</f>
        <v>0</v>
      </c>
      <c r="S32" s="20"/>
      <c r="T32" s="12"/>
      <c r="U32" s="17">
        <f t="shared" si="9"/>
        <v>250000</v>
      </c>
      <c r="V32" s="12"/>
      <c r="W32" s="12"/>
      <c r="X32" s="12"/>
      <c r="Y32" s="92">
        <f t="shared" si="10"/>
        <v>250000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>
        <f t="shared" si="18"/>
        <v>0</v>
      </c>
      <c r="BD32" s="57">
        <f t="shared" si="15"/>
        <v>0</v>
      </c>
      <c r="BE32" s="82"/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>IF(I33&lt;&gt;"ECHEC",D33+E33+F33-U33,0)+3000</f>
        <v>3000</v>
      </c>
      <c r="D33" s="9">
        <f>VLOOKUP($A33,[6]HISTOBQUEJUIL25!$A$6:$H$48,5,0)</f>
        <v>0</v>
      </c>
      <c r="E33" s="91">
        <f>VLOOKUP($A33,[6]HISTOBQUEJUIL25!$A$6:$H$48,4,0)</f>
        <v>50000</v>
      </c>
      <c r="F33" s="91">
        <f>VLOOKUP($A33,[6]HISTOBQUEJUIL25!$A$6:$H$48,6,0)</f>
        <v>0</v>
      </c>
      <c r="G33" s="91">
        <v>-3000</v>
      </c>
      <c r="H33" s="5">
        <f t="shared" si="16"/>
        <v>3000</v>
      </c>
      <c r="I33" s="10" t="str">
        <f t="shared" si="0"/>
        <v>ESPECES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IFERROR(VLOOKUP(A33,[7]TONTJUIL25!$A$6:$R$41,12,0),0)</f>
        <v>0</v>
      </c>
      <c r="Q33" s="2">
        <f>IFERROR(VLOOKUP(A33,[8]TONTJUIL25!$A$6:$R$38,10,0),0)</f>
        <v>0</v>
      </c>
      <c r="R33" s="2">
        <f>IFERROR(VLOOKUP(A33,[9]TONTJUIL25!$A$6:$R$42,10,0),0)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22000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14">
        <f t="shared" si="7"/>
        <v>25000</v>
      </c>
      <c r="D34" s="9">
        <f>VLOOKUP($A34,[6]HISTOBQUEJUIL25!$A$6:$H$48,5,0)</f>
        <v>175000</v>
      </c>
      <c r="E34" s="91">
        <f>VLOOKUP($A34,[6]HISTOBQUEJUIL25!$A$6:$H$48,4,0)</f>
        <v>0</v>
      </c>
      <c r="F34" s="91">
        <f>VLOOKUP($A34,[6]HISTOBQUEJUIL25!$A$6:$H$48,6,0)</f>
        <v>0</v>
      </c>
      <c r="G34" s="91"/>
      <c r="H34" s="5">
        <f t="shared" si="16"/>
        <v>0</v>
      </c>
      <c r="I34" s="10" t="str">
        <f t="shared" si="0"/>
        <v>BANQUE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f>IFERROR(VLOOKUP(A34,[7]TONTJUIL25!$A$6:$R$41,12,0),0)</f>
        <v>0</v>
      </c>
      <c r="Q34" s="2">
        <f>IFERROR(VLOOKUP(A34,[8]TONTJUIL25!$A$6:$R$38,10,0),0)</f>
        <v>0</v>
      </c>
      <c r="R34" s="2">
        <f>IFERROR(VLOOKUP(A34,[9]TONTJUIL25!$A$6:$R$42,10,0),0)</f>
        <v>0</v>
      </c>
      <c r="S34" s="20"/>
      <c r="T34" s="12"/>
      <c r="U34" s="17">
        <f t="shared" si="9"/>
        <v>150000</v>
      </c>
      <c r="V34" s="12"/>
      <c r="W34" s="12"/>
      <c r="X34" s="12"/>
      <c r="Y34" s="92">
        <f t="shared" si="10"/>
        <v>150000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>
        <v>30000</v>
      </c>
      <c r="AJ34" s="12"/>
      <c r="AK34" s="12"/>
      <c r="AL34" s="12">
        <v>500</v>
      </c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7"/>
        <v>25000</v>
      </c>
      <c r="AT34" s="15"/>
      <c r="AV34" s="15"/>
      <c r="AW34" s="15">
        <f t="shared" si="11"/>
        <v>30000</v>
      </c>
      <c r="AX34" s="15">
        <f t="shared" si="12"/>
        <v>0</v>
      </c>
      <c r="AY34" s="15">
        <f t="shared" si="13"/>
        <v>0</v>
      </c>
      <c r="AZ34" s="16">
        <f t="shared" si="14"/>
        <v>30000</v>
      </c>
      <c r="BA34" s="58"/>
      <c r="BB34" s="58"/>
      <c r="BC34" s="15">
        <f t="shared" si="18"/>
        <v>0</v>
      </c>
      <c r="BD34" s="57">
        <f t="shared" si="15"/>
        <v>30000</v>
      </c>
      <c r="BE34" s="82" t="s">
        <v>186</v>
      </c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VLOOKUP($A35,[6]HISTOBQUEJUIL25!$A$6:$H$48,5,0)</f>
        <v>227000</v>
      </c>
      <c r="E35" s="91">
        <f>VLOOKUP($A35,[6]HISTOBQUEJUIL25!$A$6:$H$48,4,0)</f>
        <v>0</v>
      </c>
      <c r="F35" s="91">
        <f>VLOOKUP($A35,[6]HISTOBQUEJUIL25!$A$6:$H$48,6,0)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IFERROR(VLOOKUP(A35,[7]TONTJUIL25!$A$6:$R$41,12,0),0)</f>
        <v>0</v>
      </c>
      <c r="Q35" s="2">
        <f>IFERROR(VLOOKUP(A35,[8]TONTJUIL25!$A$6:$R$38,10,0),0)</f>
        <v>102000</v>
      </c>
      <c r="R35" s="2">
        <f>IFERROR(VLOOKUP(A35,[9]TONTJUIL25!$A$6:$R$42,10,0),0)</f>
        <v>0</v>
      </c>
      <c r="S35" s="20"/>
      <c r="T35" s="12"/>
      <c r="U35" s="17">
        <f t="shared" si="9"/>
        <v>227000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>
        <v>7500</v>
      </c>
      <c r="AE35" s="12"/>
      <c r="AF35" s="12"/>
      <c r="AG35" s="12"/>
      <c r="AH35" s="12"/>
      <c r="AI35" s="12"/>
      <c r="AJ35" s="12">
        <v>100000</v>
      </c>
      <c r="AK35" s="12"/>
      <c r="AL35" s="12"/>
      <c r="AM35" s="12">
        <v>2000</v>
      </c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992500</v>
      </c>
      <c r="AY35" s="15">
        <f t="shared" si="13"/>
        <v>0</v>
      </c>
      <c r="AZ35" s="16">
        <f t="shared" si="14"/>
        <v>992500</v>
      </c>
      <c r="BA35" s="58">
        <v>50000</v>
      </c>
      <c r="BB35" s="58"/>
      <c r="BC35" s="15">
        <f t="shared" si="18"/>
        <v>0</v>
      </c>
      <c r="BD35" s="57">
        <f t="shared" si="15"/>
        <v>942500</v>
      </c>
      <c r="BE35" s="82" t="s">
        <v>186</v>
      </c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VLOOKUP($A36,[6]HISTOBQUEJUIL25!$A$6:$H$48,5,0)</f>
        <v>150000</v>
      </c>
      <c r="E36" s="91">
        <f>VLOOKUP($A36,[6]HISTOBQUEJUIL25!$A$6:$H$48,4,0)</f>
        <v>0</v>
      </c>
      <c r="F36" s="91">
        <f>VLOOKUP($A36,[6]HISTOBQUEJUIL25!$A$6:$H$48,6,0)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IFERROR(VLOOKUP(A36,[7]TONTJUIL25!$A$6:$R$41,12,0),0)</f>
        <v>0</v>
      </c>
      <c r="Q36" s="2">
        <f>IFERROR(VLOOKUP(A36,[8]TONTJUIL25!$A$6:$R$38,10,0),0)</f>
        <v>0</v>
      </c>
      <c r="R36" s="2">
        <f>IFERROR(VLOOKUP(A36,[9]TONTJUIL25!$A$6:$R$42,10,0),0)</f>
        <v>0</v>
      </c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>
        <v>2500</v>
      </c>
      <c r="AD36" s="12"/>
      <c r="AE36" s="12">
        <v>65000</v>
      </c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297500</v>
      </c>
      <c r="AX36" s="15">
        <f t="shared" si="12"/>
        <v>0</v>
      </c>
      <c r="AY36" s="15">
        <f t="shared" si="13"/>
        <v>1135000</v>
      </c>
      <c r="AZ36" s="16">
        <f t="shared" si="14"/>
        <v>1432500</v>
      </c>
      <c r="BA36" s="58"/>
      <c r="BB36" s="58"/>
      <c r="BC36" s="15">
        <f t="shared" si="18"/>
        <v>0</v>
      </c>
      <c r="BD36" s="57">
        <f t="shared" si="15"/>
        <v>1432500</v>
      </c>
      <c r="BE36" s="82" t="s">
        <v>186</v>
      </c>
      <c r="BF36" s="29">
        <f t="shared" si="6"/>
        <v>0</v>
      </c>
      <c r="BG36" s="29">
        <v>5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VLOOKUP($A37,[6]HISTOBQUEJUIL25!$A$6:$H$48,5,0)</f>
        <v>50000</v>
      </c>
      <c r="E37" s="91">
        <f>VLOOKUP($A37,[6]HISTOBQUEJUIL25!$A$6:$H$48,4,0)</f>
        <v>0</v>
      </c>
      <c r="F37" s="91">
        <f>VLOOKUP($A37,[6]HISTOBQUEJUIL25!$A$6:$H$48,6,0)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IFERROR(VLOOKUP(A37,[7]TONTJUIL25!$A$6:$R$41,12,0),0)</f>
        <v>0</v>
      </c>
      <c r="Q37" s="2">
        <f>IFERROR(VLOOKUP(A37,[8]TONTJUIL25!$A$6:$R$38,10,0),0)</f>
        <v>0</v>
      </c>
      <c r="R37" s="2">
        <f>IFERROR(VLOOKUP(A37,[9]TONTJUIL25!$A$6:$R$42,10,0),0)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5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VLOOKUP($A38,[6]HISTOBQUEJUIL25!$A$6:$H$48,5,0)</f>
        <v>0</v>
      </c>
      <c r="E38" s="91">
        <f>VLOOKUP($A38,[6]HISTOBQUEJUIL25!$A$6:$H$48,4,0)</f>
        <v>53000</v>
      </c>
      <c r="F38" s="91">
        <f>VLOOKUP($A38,[6]HISTOBQUEJUIL25!$A$6:$H$48,6,0)</f>
        <v>0</v>
      </c>
      <c r="G38" s="91"/>
      <c r="H38" s="5">
        <f t="shared" si="16"/>
        <v>3000</v>
      </c>
      <c r="I38" s="10" t="str">
        <f t="shared" si="0"/>
        <v>ESPECES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IFERROR(VLOOKUP(A38,[7]TONTJUIL25!$A$6:$R$41,12,0),0)</f>
        <v>0</v>
      </c>
      <c r="Q38" s="2">
        <f>IFERROR(VLOOKUP(A38,[8]TONTJUIL25!$A$6:$R$38,10,0),0)</f>
        <v>0</v>
      </c>
      <c r="R38" s="2">
        <f>IFERROR(VLOOKUP(A38,[9]TONTJUIL25!$A$6:$R$42,10,0),0)</f>
        <v>0</v>
      </c>
      <c r="S38" s="20"/>
      <c r="T38" s="12"/>
      <c r="U38" s="17">
        <f t="shared" si="9"/>
        <v>53000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5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VLOOKUP($A39,[6]HISTOBQUEJUIL25!$A$6:$H$48,5,0)</f>
        <v>125000</v>
      </c>
      <c r="E39" s="91">
        <f>VLOOKUP($A39,[6]HISTOBQUEJUIL25!$A$6:$H$48,4,0)</f>
        <v>0</v>
      </c>
      <c r="F39" s="91">
        <f>VLOOKUP($A39,[6]HISTOBQUEJUIL25!$A$6:$H$48,6,0)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IFERROR(VLOOKUP(A39,[7]TONTJUIL25!$A$6:$R$41,12,0),0)</f>
        <v>0</v>
      </c>
      <c r="Q39" s="2">
        <f>IFERROR(VLOOKUP(A39,[8]TONTJUIL25!$A$6:$R$38,10,0),0)</f>
        <v>0</v>
      </c>
      <c r="R39" s="2">
        <f>IFERROR(VLOOKUP(A39,[9]TONTJUIL25!$A$6:$R$42,10,0),0)</f>
        <v>0</v>
      </c>
      <c r="S39" s="20"/>
      <c r="T39" s="12"/>
      <c r="U39" s="17">
        <f t="shared" si="9"/>
        <v>125000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0</v>
      </c>
      <c r="AY39" s="15">
        <f t="shared" si="13"/>
        <v>0</v>
      </c>
      <c r="AZ39" s="16">
        <f t="shared" si="14"/>
        <v>0</v>
      </c>
      <c r="BA39" s="58"/>
      <c r="BB39" s="58"/>
      <c r="BC39" s="15">
        <f t="shared" si="18"/>
        <v>0</v>
      </c>
      <c r="BD39" s="57">
        <f t="shared" si="15"/>
        <v>0</v>
      </c>
      <c r="BE39" s="82"/>
      <c r="BF39" s="29">
        <f t="shared" si="6"/>
        <v>0</v>
      </c>
      <c r="BG39" s="29">
        <v>5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VLOOKUP($A40,[6]HISTOBQUEJUIL25!$A$6:$H$48,5,0)</f>
        <v>50000</v>
      </c>
      <c r="E40" s="91">
        <f>VLOOKUP($A40,[6]HISTOBQUEJUIL25!$A$6:$H$48,4,0)</f>
        <v>0</v>
      </c>
      <c r="F40" s="91">
        <f>VLOOKUP($A40,[6]HISTOBQUEJUIL25!$A$6:$H$48,6,0)</f>
        <v>0</v>
      </c>
      <c r="G40" s="91"/>
      <c r="H40" s="5">
        <f t="shared" si="16"/>
        <v>0</v>
      </c>
      <c r="I40" s="10" t="str">
        <f t="shared" si="0"/>
        <v>BANQUE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IFERROR(VLOOKUP(A40,[7]TONTJUIL25!$A$6:$R$41,12,0),0)</f>
        <v>0</v>
      </c>
      <c r="Q40" s="2">
        <f>IFERROR(VLOOKUP(A40,[8]TONTJUIL25!$A$6:$R$38,10,0),0)</f>
        <v>0</v>
      </c>
      <c r="R40" s="2">
        <f>IFERROR(VLOOKUP(A40,[9]TONTJUIL25!$A$6:$R$42,10,0),0)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5</v>
      </c>
      <c r="BH40" s="15"/>
      <c r="BI40" s="15"/>
      <c r="BJ40" s="15"/>
      <c r="BK40" s="15"/>
      <c r="BL40" s="61"/>
      <c r="BO40" t="s">
        <v>279</v>
      </c>
      <c r="BP40" t="s">
        <v>126</v>
      </c>
      <c r="BQ40" s="6">
        <v>70000</v>
      </c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VLOOKUP($A41,[6]HISTOBQUEJUIL25!$A$6:$H$48,5,0)</f>
        <v>250000</v>
      </c>
      <c r="E41" s="91">
        <f>VLOOKUP($A41,[6]HISTOBQUEJUIL25!$A$6:$H$48,4,0)</f>
        <v>0</v>
      </c>
      <c r="F41" s="91">
        <f>VLOOKUP($A41,[6]HISTOBQUEJUIL25!$A$6:$H$48,6,0)</f>
        <v>0</v>
      </c>
      <c r="G41" s="91"/>
      <c r="H41" s="5">
        <f t="shared" si="16"/>
        <v>0</v>
      </c>
      <c r="I41" s="10" t="str">
        <f t="shared" si="0"/>
        <v>BANQUE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IFERROR(VLOOKUP(A41,[7]TONTJUIL25!$A$6:$R$41,12,0),0)</f>
        <v>0</v>
      </c>
      <c r="Q41" s="2">
        <f>IFERROR(VLOOKUP(A41,[8]TONTJUIL25!$A$6:$R$38,10,0),0)</f>
        <v>0</v>
      </c>
      <c r="R41" s="2">
        <f>IFERROR(VLOOKUP(A41,[9]TONTJUIL25!$A$6:$R$42,10,0),0)</f>
        <v>0</v>
      </c>
      <c r="S41" s="6"/>
      <c r="T41" s="12"/>
      <c r="U41" s="17">
        <f t="shared" si="9"/>
        <v>250000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18"/>
        <v>0</v>
      </c>
      <c r="BD41" s="57">
        <f t="shared" si="15"/>
        <v>0</v>
      </c>
      <c r="BE41" s="82"/>
      <c r="BF41" s="29">
        <f t="shared" si="6"/>
        <v>0</v>
      </c>
      <c r="BG41" s="29">
        <v>5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VLOOKUP($A42,[6]HISTOBQUEJUIL25!$A$6:$H$48,5,0)</f>
        <v>225000</v>
      </c>
      <c r="E42" s="91">
        <f>VLOOKUP($A42,[6]HISTOBQUEJUIL25!$A$6:$H$48,4,0)</f>
        <v>0</v>
      </c>
      <c r="F42" s="91">
        <f>VLOOKUP($A42,[6]HISTOBQUEJUIL25!$A$6:$H$48,6,0)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IFERROR(VLOOKUP(A42,[7]TONTJUIL25!$A$6:$R$41,12,0),0)</f>
        <v>0</v>
      </c>
      <c r="Q42" s="2">
        <f>IFERROR(VLOOKUP(A42,[8]TONTJUIL25!$A$6:$R$38,10,0),0)</f>
        <v>0</v>
      </c>
      <c r="R42" s="2">
        <f>IFERROR(VLOOKUP(A42,[9]TONTJUIL25!$A$6:$R$42,10,0),0)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5</v>
      </c>
      <c r="BH42" s="15"/>
      <c r="BI42" s="15"/>
      <c r="BJ42" s="15"/>
      <c r="BK42" s="15"/>
      <c r="BL42" s="15"/>
      <c r="BQ42" s="6"/>
    </row>
    <row r="43" spans="1:69" ht="18.5" x14ac:dyDescent="0.45">
      <c r="B43" t="s">
        <v>278</v>
      </c>
      <c r="E43" s="91">
        <v>50000</v>
      </c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-1027625</v>
      </c>
      <c r="D44" s="5">
        <f>SUM(D6:D43)</f>
        <v>6076000</v>
      </c>
      <c r="E44" s="5">
        <f>SUM(E6:E43)</f>
        <v>525500</v>
      </c>
      <c r="F44" s="5">
        <f>SUM(F6:F43)</f>
        <v>0</v>
      </c>
      <c r="G44" s="5">
        <f t="shared" ref="G44:S44" si="19">SUM(G6:G43)</f>
        <v>99000</v>
      </c>
      <c r="H44" s="5">
        <f t="shared" si="19"/>
        <v>6000</v>
      </c>
      <c r="I44" s="5">
        <f t="shared" si="19"/>
        <v>0</v>
      </c>
      <c r="J44" s="5">
        <f t="shared" si="19"/>
        <v>35</v>
      </c>
      <c r="K44" s="5">
        <f t="shared" si="19"/>
        <v>1750000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2400000</v>
      </c>
      <c r="P44" s="5">
        <f t="shared" si="19"/>
        <v>162500</v>
      </c>
      <c r="Q44" s="5">
        <f t="shared" si="19"/>
        <v>572625</v>
      </c>
      <c r="R44" s="5">
        <f t="shared" si="19"/>
        <v>1167000</v>
      </c>
      <c r="S44" s="5">
        <f t="shared" si="19"/>
        <v>500000</v>
      </c>
      <c r="T44" s="5"/>
      <c r="U44" s="5">
        <f t="shared" ref="U44:AA44" si="20">SUM(U6:U43)</f>
        <v>7582125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5125000</v>
      </c>
      <c r="Z44" s="5">
        <f t="shared" si="20"/>
        <v>1000000</v>
      </c>
      <c r="AA44" s="5">
        <f t="shared" si="20"/>
        <v>0</v>
      </c>
      <c r="AB44" s="5"/>
      <c r="AC44" s="5">
        <f>SUM(AC6:AC43)</f>
        <v>7500</v>
      </c>
      <c r="AD44" s="5">
        <f>SUM(AD6:AD43)</f>
        <v>7500</v>
      </c>
      <c r="AE44" s="5">
        <f>SUM(AE6:AE43)</f>
        <v>125000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145000</v>
      </c>
      <c r="AJ44" s="5">
        <f t="shared" si="21"/>
        <v>371500</v>
      </c>
      <c r="AK44" s="5">
        <f t="shared" si="21"/>
        <v>1079500</v>
      </c>
      <c r="AL44" s="5">
        <f t="shared" si="21"/>
        <v>1500</v>
      </c>
      <c r="AM44" s="5">
        <f t="shared" si="21"/>
        <v>5000</v>
      </c>
      <c r="AN44" s="5">
        <f t="shared" si="21"/>
        <v>27500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924000</v>
      </c>
      <c r="AT44" s="5">
        <f t="shared" si="21"/>
        <v>0</v>
      </c>
      <c r="AU44" s="5">
        <f t="shared" si="21"/>
        <v>0</v>
      </c>
      <c r="AV44" s="5">
        <f t="shared" si="21"/>
        <v>0</v>
      </c>
      <c r="AW44" s="5">
        <f t="shared" si="21"/>
        <v>1037500</v>
      </c>
      <c r="AX44" s="5">
        <f t="shared" si="21"/>
        <v>1264000</v>
      </c>
      <c r="AY44" s="5">
        <f t="shared" si="21"/>
        <v>3354500</v>
      </c>
      <c r="AZ44" s="5">
        <f t="shared" si="21"/>
        <v>6792000</v>
      </c>
      <c r="BA44" s="5">
        <f t="shared" si="21"/>
        <v>524500</v>
      </c>
      <c r="BB44" s="5">
        <f t="shared" si="21"/>
        <v>0</v>
      </c>
      <c r="BC44" s="5">
        <f t="shared" si="21"/>
        <v>0</v>
      </c>
      <c r="BD44" s="5">
        <f t="shared" si="21"/>
        <v>5870000</v>
      </c>
      <c r="BE44" s="5">
        <f t="shared" si="21"/>
        <v>0</v>
      </c>
      <c r="BF44" s="5">
        <f t="shared" si="21"/>
        <v>55000</v>
      </c>
      <c r="BH44" s="5">
        <f t="shared" ref="BH44:BL44" si="22">SUM(BH6:BH43)</f>
        <v>6000</v>
      </c>
      <c r="BI44" s="5">
        <f t="shared" si="22"/>
        <v>0</v>
      </c>
      <c r="BJ44" s="5">
        <f t="shared" si="22"/>
        <v>0</v>
      </c>
      <c r="BK44" s="5">
        <f t="shared" si="22"/>
        <v>170000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70000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525500</v>
      </c>
      <c r="BB46" t="s">
        <v>232</v>
      </c>
      <c r="BD46" s="9">
        <v>5911000</v>
      </c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1000</v>
      </c>
      <c r="BD47" s="14">
        <f>+BD46-BD44</f>
        <v>41000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5870000</v>
      </c>
      <c r="D50" s="9">
        <f>+D44</f>
        <v>6076000</v>
      </c>
      <c r="E50" s="9">
        <f>+C50-D50</f>
        <v>-206000</v>
      </c>
      <c r="F50" s="9"/>
      <c r="G50" s="9">
        <f>E44</f>
        <v>525500</v>
      </c>
      <c r="H50" s="14">
        <f>+BA44</f>
        <v>524500</v>
      </c>
      <c r="I50" s="88">
        <f>+G50-H50</f>
        <v>1000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13508000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AA6:AA42" xr:uid="{40BE0543-54AE-4EC7-AAA1-CA5F79F07642}">
      <formula1>"BANQUE,ESPECES, EN COMPTE,AUTRES"</formula1>
    </dataValidation>
    <dataValidation type="list" showInputMessage="1" showErrorMessage="1" sqref="T6:T42 AP6:AP43 AF6:AF42" xr:uid="{01278853-F6F1-42B0-8C05-C61E1BE0DCC2}">
      <formula1>"BANQUE,ESPECES,EN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4229-5D20-49BD-B69F-23495B622504}">
  <dimension ref="A1:BQ88"/>
  <sheetViews>
    <sheetView zoomScale="87" zoomScaleNormal="87" workbookViewId="0">
      <pane xSplit="4" ySplit="5" topLeftCell="BN28" activePane="bottomRight" state="frozen"/>
      <selection activeCell="D15" sqref="D15"/>
      <selection pane="topRight" activeCell="D15" sqref="D15"/>
      <selection pane="bottomLeft" activeCell="D15" sqref="D15"/>
      <selection pane="bottomRight" activeCell="BQ15" sqref="BQ15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VLOOKUP($A6,[6]HISTOBQUEAOUT25!$A$6:$H$48,5,0)</f>
        <v>250000</v>
      </c>
      <c r="E6" s="91">
        <f>VLOOKUP($A6,[6]HISTOBQUEAOUT25!$A$6:$H$48,4,0)</f>
        <v>0</v>
      </c>
      <c r="F6" s="91">
        <f>VLOOKUP($A6,[6]HISTOBQUEAOUT25!$A$6:$H$48,6,0)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IFERROR(VLOOKUP(A6,[7]TONTAOUT25!$A$6:$R$41,12,0),0)</f>
        <v>0</v>
      </c>
      <c r="Q6" s="2">
        <f>IFERROR(VLOOKUP(A6,[8]TONTAOUT25!$A$6:$R$38,10,0),0)</f>
        <v>0</v>
      </c>
      <c r="R6" s="2">
        <f>IFERROR(VLOOKUP(A6,[9]TONTAOUT25!$A$6:$R$42,10,0),0)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666000</v>
      </c>
      <c r="BA6" s="58">
        <v>106000</v>
      </c>
      <c r="BB6" s="58"/>
      <c r="BC6" s="15">
        <f t="shared" ref="BC6:BC17" si="5">F6</f>
        <v>0</v>
      </c>
      <c r="BD6" s="57">
        <f>IF(AZ6=0,(AZ6-BA6-BC6),(AZ6-BA6-BB6-BC6))</f>
        <v>560000</v>
      </c>
      <c r="BE6" s="82"/>
      <c r="BF6" s="29">
        <f t="shared" ref="BF6:BF42" si="6">Z6*1/100*BG6</f>
        <v>0</v>
      </c>
      <c r="BG6" s="29">
        <v>4</v>
      </c>
      <c r="BH6" s="15">
        <f>BQ17</f>
        <v>6000</v>
      </c>
      <c r="BI6" s="15">
        <f>BQ30</f>
        <v>0</v>
      </c>
      <c r="BJ6" s="15">
        <f>BQ36</f>
        <v>660000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VLOOKUP($A7,[6]HISTOBQUEAOUT25!$A$6:$H$48,5,0)</f>
        <v>0</v>
      </c>
      <c r="E7" s="91">
        <f>VLOOKUP($A7,[6]HISTOBQUEAOUT25!$A$6:$H$48,4,0)</f>
        <v>50000</v>
      </c>
      <c r="F7" s="91">
        <f>VLOOKUP($A7,[6]HISTOBQUEAOUT25!$A$6:$H$48,6,0)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IFERROR(VLOOKUP(A7,[7]TONTAOUT25!$A$6:$R$41,12,0),0)</f>
        <v>0</v>
      </c>
      <c r="Q7" s="2">
        <f>IFERROR(VLOOKUP(A7,[8]TONTAOUT25!$A$6:$R$38,10,0),0)</f>
        <v>0</v>
      </c>
      <c r="R7" s="2">
        <f>IFERROR(VLOOKUP(A7,[9]TONTAOUT25!$A$6:$R$42,10,0),0)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>
        <v>2500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297500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297500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297500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VLOOKUP($A8,[6]HISTOBQUEAOUT25!$A$6:$H$48,5,0)</f>
        <v>125000</v>
      </c>
      <c r="E8" s="91">
        <f>VLOOKUP($A8,[6]HISTOBQUEAOUT25!$A$6:$H$48,4,0)</f>
        <v>0</v>
      </c>
      <c r="F8" s="91">
        <f>VLOOKUP($A8,[6]HISTOBQUEAOUT25!$A$6:$H$48,6,0)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IFERROR(VLOOKUP(A8,[7]TONTAOUT25!$A$6:$R$41,12,0),0)</f>
        <v>0</v>
      </c>
      <c r="Q8" s="2">
        <f>IFERROR(VLOOKUP(A8,[8]TONTAOUT25!$A$6:$R$38,10,0),0)</f>
        <v>0</v>
      </c>
      <c r="R8" s="2">
        <f>IFERROR(VLOOKUP(A8,[9]TONTAOUT25!$A$6:$R$42,10,0),0)</f>
        <v>0</v>
      </c>
      <c r="S8" s="20"/>
      <c r="T8" s="12"/>
      <c r="U8" s="17">
        <f t="shared" si="9"/>
        <v>125000</v>
      </c>
      <c r="V8" s="12"/>
      <c r="W8" s="12"/>
      <c r="X8" s="12"/>
      <c r="Y8" s="92">
        <f t="shared" si="10"/>
        <v>125000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>
        <f t="shared" si="5"/>
        <v>0</v>
      </c>
      <c r="BD8" s="57">
        <f t="shared" si="15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VLOOKUP($A9,[6]HISTOBQUEAOUT25!$A$6:$H$48,5,0)</f>
        <v>0</v>
      </c>
      <c r="E9" s="91">
        <f>VLOOKUP($A9,[6]HISTOBQUEAOUT25!$A$6:$H$48,4,0)</f>
        <v>453500</v>
      </c>
      <c r="F9" s="91">
        <f>VLOOKUP($A9,[6]HISTOBQUEAOUT25!$A$6:$H$48,6,0)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IFERROR(VLOOKUP(A9,[7]TONTAOUT25!$A$6:$R$41,12,0),0)</f>
        <v>0</v>
      </c>
      <c r="Q9" s="2">
        <f>IFERROR(VLOOKUP(A9,[8]TONTAOUT25!$A$6:$R$38,10,0),0)</f>
        <v>0</v>
      </c>
      <c r="R9" s="2">
        <f>IFERROR(VLOOKUP(A9,[9]TONTAOUT25!$A$6:$R$42,10,0),0)</f>
        <v>203500</v>
      </c>
      <c r="S9" s="20"/>
      <c r="T9" s="12"/>
      <c r="U9" s="17">
        <f t="shared" si="9"/>
        <v>453500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>
        <v>30000</v>
      </c>
      <c r="AJ9" s="12"/>
      <c r="AK9" s="12">
        <v>100000</v>
      </c>
      <c r="AL9" s="12">
        <v>500</v>
      </c>
      <c r="AM9" s="12"/>
      <c r="AN9" s="12">
        <v>1500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30000</v>
      </c>
      <c r="AX9" s="15">
        <f t="shared" si="12"/>
        <v>0</v>
      </c>
      <c r="AY9" s="15">
        <f t="shared" si="13"/>
        <v>1290000</v>
      </c>
      <c r="AZ9" s="16">
        <f t="shared" si="14"/>
        <v>1320000</v>
      </c>
      <c r="BA9" s="58"/>
      <c r="BB9" s="58"/>
      <c r="BC9" s="15">
        <f t="shared" si="5"/>
        <v>0</v>
      </c>
      <c r="BD9" s="57">
        <f t="shared" si="15"/>
        <v>1320000</v>
      </c>
      <c r="BE9" s="82"/>
      <c r="BF9" s="29">
        <f t="shared" si="6"/>
        <v>0</v>
      </c>
      <c r="BG9" s="29">
        <v>4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VLOOKUP($A10,[6]HISTOBQUEAOUT25!$A$6:$H$48,5,0)</f>
        <v>77000</v>
      </c>
      <c r="E10" s="91">
        <f>VLOOKUP($A10,[6]HISTOBQUEAOUT25!$A$6:$H$48,4,0)</f>
        <v>0</v>
      </c>
      <c r="F10" s="91">
        <f>VLOOKUP($A10,[6]HISTOBQUEAOUT25!$A$6:$H$48,6,0)</f>
        <v>0</v>
      </c>
      <c r="G10" s="91">
        <v>500</v>
      </c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IFERROR(VLOOKUP(A10,[7]TONTAOUT25!$A$6:$R$41,12,0),0)</f>
        <v>26500</v>
      </c>
      <c r="Q10" s="2">
        <f>IFERROR(VLOOKUP(A10,[8]TONTAOUT25!$A$6:$R$38,10,0),0)</f>
        <v>0</v>
      </c>
      <c r="R10" s="2">
        <f>IFERROR(VLOOKUP(A10,[9]TONTAOUT25!$A$6:$R$42,10,0),0)</f>
        <v>0</v>
      </c>
      <c r="S10" s="20"/>
      <c r="T10" s="12"/>
      <c r="U10" s="17">
        <f t="shared" si="9"/>
        <v>77000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25500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4"/>
        <v>60000</v>
      </c>
      <c r="BA10" s="58">
        <v>60000</v>
      </c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VLOOKUP($A11,[6]HISTOBQUEAOUT25!$A$6:$H$48,5,0)</f>
        <v>400000</v>
      </c>
      <c r="E11" s="91">
        <f>VLOOKUP($A11,[6]HISTOBQUEAOUT25!$A$6:$H$48,4,0)</f>
        <v>0</v>
      </c>
      <c r="F11" s="91">
        <f>VLOOKUP($A11,[6]HISTOBQUEAOUT25!$A$6:$H$48,6,0)</f>
        <v>0</v>
      </c>
      <c r="G11" s="91">
        <v>250000</v>
      </c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IFERROR(VLOOKUP(A11,[7]TONTAOUT25!$A$6:$R$41,12,0),0)</f>
        <v>0</v>
      </c>
      <c r="Q11" s="2">
        <f>IFERROR(VLOOKUP(A11,[8]TONTAOUT25!$A$6:$R$38,10,0),0)</f>
        <v>0</v>
      </c>
      <c r="R11" s="2">
        <f>IFERROR(VLOOKUP(A11,[9]TONTAOUT25!$A$6:$R$42,10,0),0)</f>
        <v>0</v>
      </c>
      <c r="S11" s="20"/>
      <c r="T11" s="12"/>
      <c r="U11" s="17">
        <f t="shared" si="9"/>
        <v>400000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7"/>
        <v>275000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>
        <f t="shared" si="5"/>
        <v>0</v>
      </c>
      <c r="BD11" s="57">
        <f t="shared" si="15"/>
        <v>0</v>
      </c>
      <c r="BE11" s="82"/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14">
        <f t="shared" si="7"/>
        <v>-970000</v>
      </c>
      <c r="D12" s="9">
        <f>VLOOKUP($A12,[6]HISTOBQUEAOUT25!$A$6:$H$48,5,0)</f>
        <v>529500</v>
      </c>
      <c r="E12" s="91">
        <f>VLOOKUP($A12,[6]HISTOBQUEAOUT25!$A$6:$H$48,4,0)</f>
        <v>0</v>
      </c>
      <c r="F12" s="91">
        <f>VLOOKUP($A12,[6]HISTOBQUEAOUT25!$A$6:$H$48,6,0)</f>
        <v>0</v>
      </c>
      <c r="G12" s="91">
        <v>12500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IFERROR(VLOOKUP(A12,[7]TONTAOUT25!$A$6:$R$41,12,0),0)</f>
        <v>30500</v>
      </c>
      <c r="Q12" s="2">
        <f>IFERROR(VLOOKUP(A12,[8]TONTAOUT25!$A$6:$R$38,10,0),0)</f>
        <v>0</v>
      </c>
      <c r="R12" s="2">
        <f>IFERROR(VLOOKUP(A12,[9]TONTAOUT25!$A$6:$R$42,10,0),0)</f>
        <v>206500</v>
      </c>
      <c r="S12" s="20">
        <v>1000000</v>
      </c>
      <c r="T12" s="12"/>
      <c r="U12" s="17">
        <f t="shared" si="9"/>
        <v>1499500</v>
      </c>
      <c r="V12" s="12"/>
      <c r="W12" s="12"/>
      <c r="X12" s="12"/>
      <c r="Y12" s="92">
        <f t="shared" si="10"/>
        <v>250000</v>
      </c>
      <c r="Z12" s="12">
        <v>1000000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100000</v>
      </c>
      <c r="AL12" s="12"/>
      <c r="AM12" s="12"/>
      <c r="AN12" s="12">
        <v>1000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7"/>
        <v>37500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100000</v>
      </c>
      <c r="AZ12" s="16">
        <f>SUM(AV12:AY12)-BF12+Z12+BH12+BI12+BJ12+BK12+BL12+BM12+BN12+30000</f>
        <v>1100000</v>
      </c>
      <c r="BA12" s="58"/>
      <c r="BB12" s="58"/>
      <c r="BC12" s="15">
        <f t="shared" si="5"/>
        <v>0</v>
      </c>
      <c r="BD12" s="57">
        <f>IF(AZ12=0,(AZ12-BA12-BC12),(AZ12-BA12-BB12-BC12))</f>
        <v>1100000</v>
      </c>
      <c r="BE12" s="82"/>
      <c r="BF12" s="29">
        <f>Z12*1/100*BG12</f>
        <v>30000</v>
      </c>
      <c r="BG12" s="29">
        <v>3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VLOOKUP($A13,[6]HISTOBQUEAOUT25!$A$6:$H$48,5,0)</f>
        <v>50000</v>
      </c>
      <c r="E13" s="91">
        <f>VLOOKUP($A13,[6]HISTOBQUEAOUT25!$A$6:$H$48,4,0)</f>
        <v>0</v>
      </c>
      <c r="F13" s="91">
        <f>VLOOKUP($A13,[6]HISTOBQUEAOUT25!$A$6:$H$48,6,0)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IFERROR(VLOOKUP(A13,[7]TONTAOUT25!$A$6:$R$41,12,0),0)</f>
        <v>0</v>
      </c>
      <c r="Q13" s="2">
        <f>IFERROR(VLOOKUP(A13,[8]TONTAOUT25!$A$6:$R$38,10,0),0)</f>
        <v>0</v>
      </c>
      <c r="R13" s="2">
        <f>IFERROR(VLOOKUP(A13,[9]TONTAOUT25!$A$6:$R$42,10,0),0)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VLOOKUP($A14,[6]HISTOBQUEAOUT25!$A$6:$H$48,5,0)</f>
        <v>50000</v>
      </c>
      <c r="E14" s="91">
        <f>VLOOKUP($A14,[6]HISTOBQUEAOUT25!$A$6:$H$48,4,0)</f>
        <v>0</v>
      </c>
      <c r="F14" s="91">
        <f>VLOOKUP($A14,[6]HISTOBQUEAOUT25!$A$6:$H$48,6,0)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IFERROR(VLOOKUP(A14,[7]TONTAOUT25!$A$6:$R$41,12,0),0)</f>
        <v>0</v>
      </c>
      <c r="Q14" s="2">
        <f>IFERROR(VLOOKUP(A14,[8]TONTAOUT25!$A$6:$R$38,10,0),0)</f>
        <v>0</v>
      </c>
      <c r="R14" s="2">
        <f>IFERROR(VLOOKUP(A14,[9]TONTAOUT25!$A$6:$R$42,10,0),0)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VLOOKUP($A15,[6]HISTOBQUEAOUT25!$A$6:$H$48,5,0)</f>
        <v>251000</v>
      </c>
      <c r="E15" s="91">
        <f>VLOOKUP($A15,[6]HISTOBQUEAOUT25!$A$6:$H$48,4,0)</f>
        <v>0</v>
      </c>
      <c r="F15" s="91">
        <f>VLOOKUP($A15,[6]HISTOBQUEAOUT25!$A$6:$H$48,6,0)</f>
        <v>0</v>
      </c>
      <c r="G15" s="91">
        <v>-1000</v>
      </c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IFERROR(VLOOKUP(A15,[7]TONTAOUT25!$A$6:$R$41,12,0),0)</f>
        <v>0</v>
      </c>
      <c r="Q15" s="2">
        <f>IFERROR(VLOOKUP(A15,[8]TONTAOUT25!$A$6:$R$38,10,0),0)</f>
        <v>0</v>
      </c>
      <c r="R15" s="2">
        <f>IFERROR(VLOOKUP(A15,[9]TONTAOUT25!$A$6:$R$42,10,0),0)</f>
        <v>102000</v>
      </c>
      <c r="S15" s="20"/>
      <c r="T15" s="12"/>
      <c r="U15" s="17">
        <f t="shared" si="9"/>
        <v>251000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7"/>
        <v>24000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>
        <f t="shared" si="5"/>
        <v>0</v>
      </c>
      <c r="BD15" s="57">
        <f t="shared" si="15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VLOOKUP($A16,[6]HISTOBQUEAOUT25!$A$6:$H$48,5,0)</f>
        <v>125000</v>
      </c>
      <c r="E16" s="91">
        <f>VLOOKUP($A16,[6]HISTOBQUEAOUT25!$A$6:$H$48,4,0)</f>
        <v>0</v>
      </c>
      <c r="F16" s="91">
        <f>VLOOKUP($A16,[6]HISTOBQUEAOUT25!$A$6:$H$48,6,0)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IFERROR(VLOOKUP(A16,[7]TONTAOUT25!$A$6:$R$41,12,0),0)</f>
        <v>0</v>
      </c>
      <c r="Q16" s="2">
        <f>IFERROR(VLOOKUP(A16,[8]TONTAOUT25!$A$6:$R$38,10,0),0)</f>
        <v>0</v>
      </c>
      <c r="R16" s="2">
        <f>IFERROR(VLOOKUP(A16,[9]TONTAOUT25!$A$6:$R$42,10,0),0)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>
        <v>3500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296500</v>
      </c>
      <c r="AX16" s="15">
        <f t="shared" si="12"/>
        <v>0</v>
      </c>
      <c r="AY16" s="15">
        <f t="shared" si="13"/>
        <v>0</v>
      </c>
      <c r="AZ16" s="16">
        <f t="shared" si="14"/>
        <v>296500</v>
      </c>
      <c r="BA16" s="58"/>
      <c r="BB16" s="58"/>
      <c r="BC16" s="15">
        <f t="shared" si="5"/>
        <v>0</v>
      </c>
      <c r="BD16" s="57">
        <f t="shared" si="15"/>
        <v>296500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14">
        <f t="shared" si="7"/>
        <v>-100000</v>
      </c>
      <c r="D17" s="9">
        <f>VLOOKUP($A17,[6]HISTOBQUEAOUT25!$A$6:$H$48,5,0)</f>
        <v>250000</v>
      </c>
      <c r="E17" s="91">
        <f>VLOOKUP($A17,[6]HISTOBQUEAOUT25!$A$6:$H$48,4,0)</f>
        <v>0</v>
      </c>
      <c r="F17" s="91">
        <f>VLOOKUP($A17,[6]HISTOBQUEAOUT25!$A$6:$H$48,6,0)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IFERROR(VLOOKUP(A17,[7]TONTAOUT25!$A$6:$R$41,12,0),0)</f>
        <v>0</v>
      </c>
      <c r="Q17" s="2">
        <f>IFERROR(VLOOKUP(A17,[8]TONTAOUT25!$A$6:$R$38,10,0),0)</f>
        <v>0</v>
      </c>
      <c r="R17" s="2">
        <f>IFERROR(VLOOKUP(A17,[9]TONTAOUT25!$A$6:$R$42,10,0),0)</f>
        <v>0</v>
      </c>
      <c r="S17" s="20">
        <v>100000</v>
      </c>
      <c r="T17" s="12" t="s">
        <v>8</v>
      </c>
      <c r="U17" s="17">
        <f t="shared" si="9"/>
        <v>350000</v>
      </c>
      <c r="V17" s="12"/>
      <c r="W17" s="12"/>
      <c r="X17" s="12"/>
      <c r="Y17" s="92">
        <f t="shared" si="10"/>
        <v>225000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232000</v>
      </c>
      <c r="AL17" s="12"/>
      <c r="AM17" s="12"/>
      <c r="AN17" s="12">
        <v>2000</v>
      </c>
      <c r="AO17" s="12"/>
      <c r="AP17" s="12"/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232000</v>
      </c>
      <c r="AZ17" s="16">
        <f t="shared" si="14"/>
        <v>232000</v>
      </c>
      <c r="BA17" s="58">
        <v>132000</v>
      </c>
      <c r="BB17" s="58"/>
      <c r="BC17" s="15">
        <f t="shared" si="5"/>
        <v>0</v>
      </c>
      <c r="BD17" s="57">
        <f t="shared" si="15"/>
        <v>100000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O17" s="62" t="s">
        <v>142</v>
      </c>
      <c r="BQ17" s="62">
        <f>SUM(BQ6:BQ16)</f>
        <v>6000</v>
      </c>
    </row>
    <row r="18" spans="1:69" ht="16" customHeight="1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VLOOKUP($A18,[6]HISTOBQUEAOUT25!$A$6:$H$48,5,0)</f>
        <v>150000</v>
      </c>
      <c r="E18" s="91">
        <f>VLOOKUP($A18,[6]HISTOBQUEAOUT25!$A$6:$H$48,4,0)</f>
        <v>0</v>
      </c>
      <c r="F18" s="91">
        <f>VLOOKUP($A18,[6]HISTOBQUEAOUT25!$A$6:$H$48,6,0)</f>
        <v>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IFERROR(VLOOKUP(A18,[7]TONTAOUT25!$A$6:$R$41,12,0),0)</f>
        <v>0</v>
      </c>
      <c r="Q18" s="2">
        <f>IFERROR(VLOOKUP(A18,[8]TONTAOUT25!$A$6:$R$38,10,0),0)</f>
        <v>0</v>
      </c>
      <c r="R18" s="2">
        <f>IFERROR(VLOOKUP(A18,[9]TONTAOUT25!$A$6:$R$42,10,0),0)</f>
        <v>0</v>
      </c>
      <c r="S18" s="20"/>
      <c r="T18" s="12"/>
      <c r="U18" s="17">
        <f t="shared" si="9"/>
        <v>150000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>
        <f>F18</f>
        <v>0</v>
      </c>
      <c r="BD18" s="57">
        <f t="shared" si="15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0</v>
      </c>
      <c r="D19" s="9">
        <f>VLOOKUP($A19,[6]HISTOBQUEAOUT25!$A$6:$H$48,5,0)</f>
        <v>370000</v>
      </c>
      <c r="E19" s="91">
        <f>VLOOKUP($A19,[6]HISTOBQUEAOUT25!$A$6:$H$48,4,0)</f>
        <v>0</v>
      </c>
      <c r="F19" s="91">
        <f>VLOOKUP($A19,[6]HISTOBQUEAOUT25!$A$6:$H$48,6,0)</f>
        <v>0</v>
      </c>
      <c r="G19" s="91">
        <v>13000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IFERROR(VLOOKUP(A19,[7]TONTAOUT25!$A$6:$R$41,12,0),0)</f>
        <v>0</v>
      </c>
      <c r="Q19" s="2">
        <f>IFERROR(VLOOKUP(A19,[8]TONTAOUT25!$A$6:$R$38,10,0),0)</f>
        <v>51000</v>
      </c>
      <c r="R19" s="2">
        <f>IFERROR(VLOOKUP(A19,[9]TONTAOUT25!$A$6:$R$42,10,0),0)</f>
        <v>81000</v>
      </c>
      <c r="S19" s="20"/>
      <c r="T19" s="12"/>
      <c r="U19" s="17">
        <f t="shared" si="9"/>
        <v>370000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>
        <v>30000</v>
      </c>
      <c r="AJ19" s="12">
        <f>100000+100000</f>
        <v>200000</v>
      </c>
      <c r="AK19" s="12">
        <v>200000</v>
      </c>
      <c r="AL19" s="12">
        <v>500</v>
      </c>
      <c r="AM19" s="12">
        <f>1000+2000</f>
        <v>3000</v>
      </c>
      <c r="AN19" s="12">
        <v>3000</v>
      </c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38000</v>
      </c>
      <c r="AT19" s="15"/>
      <c r="AV19" s="15"/>
      <c r="AW19" s="15">
        <f t="shared" si="11"/>
        <v>30000</v>
      </c>
      <c r="AX19" s="15">
        <f t="shared" si="12"/>
        <v>200000</v>
      </c>
      <c r="AY19" s="15">
        <f t="shared" si="13"/>
        <v>200000</v>
      </c>
      <c r="AZ19" s="16">
        <f t="shared" si="14"/>
        <v>430000</v>
      </c>
      <c r="BA19" s="58">
        <v>430000</v>
      </c>
      <c r="BB19" s="58"/>
      <c r="BC19" s="15">
        <f t="shared" ref="BC19:BC42" si="18">F19</f>
        <v>0</v>
      </c>
      <c r="BD19" s="57">
        <f t="shared" si="15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>
        <v>50000</v>
      </c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VLOOKUP($A21,[6]HISTOBQUEAOUT25!$A$6:$H$48,5,0)</f>
        <v>50000</v>
      </c>
      <c r="E21" s="91">
        <f>VLOOKUP($A21,[6]HISTOBQUEAOUT25!$A$6:$H$48,4,0)</f>
        <v>0</v>
      </c>
      <c r="F21" s="91">
        <f>VLOOKUP($A21,[6]HISTOBQUEAOUT25!$A$6:$H$48,6,0)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IFERROR(VLOOKUP(A21,[7]TONTAOUT25!$A$6:$R$41,12,0),0)</f>
        <v>0</v>
      </c>
      <c r="Q21" s="2">
        <f>IFERROR(VLOOKUP(A21,[8]TONTAOUT25!$A$6:$R$38,10,0),0)</f>
        <v>0</v>
      </c>
      <c r="R21" s="2">
        <f>IFERROR(VLOOKUP(A21,[9]TONTAOUT25!$A$6:$R$42,10,0),0)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14">
        <f t="shared" si="7"/>
        <v>100000</v>
      </c>
      <c r="D22" s="9">
        <f>VLOOKUP($A22,[6]HISTOBQUEAOUT25!$A$6:$H$48,5,0)</f>
        <v>634500</v>
      </c>
      <c r="E22" s="91">
        <f>VLOOKUP($A22,[6]HISTOBQUEAOUT25!$A$6:$H$48,4,0)</f>
        <v>0</v>
      </c>
      <c r="F22" s="91">
        <f>VLOOKUP($A22,[6]HISTOBQUEAOUT25!$A$6:$H$48,6,0)</f>
        <v>0</v>
      </c>
      <c r="G22" s="91">
        <v>3000</v>
      </c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IFERROR(VLOOKUP(A22,[7]TONTAOUT25!$A$6:$R$41,12,0),0)</f>
        <v>0</v>
      </c>
      <c r="Q22" s="2">
        <f>IFERROR(VLOOKUP(A22,[8]TONTAOUT25!$A$6:$R$38,10,0),0)</f>
        <v>102000</v>
      </c>
      <c r="R22" s="2">
        <f>IFERROR(VLOOKUP(A22,[9]TONTAOUT25!$A$6:$R$42,10,0),0)</f>
        <v>104500</v>
      </c>
      <c r="S22" s="20"/>
      <c r="T22" s="12"/>
      <c r="U22" s="17">
        <f t="shared" si="9"/>
        <v>534500</v>
      </c>
      <c r="V22" s="12"/>
      <c r="W22" s="12"/>
      <c r="X22" s="12"/>
      <c r="Y22" s="92">
        <f t="shared" si="10"/>
        <v>325000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>
        <f>100000+100000</f>
        <v>200000</v>
      </c>
      <c r="AK22" s="12">
        <v>200000</v>
      </c>
      <c r="AL22" s="12"/>
      <c r="AM22" s="12">
        <f>1000+1000</f>
        <v>2000</v>
      </c>
      <c r="AN22" s="12">
        <v>2000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28000</v>
      </c>
      <c r="AT22" s="15"/>
      <c r="AV22" s="15"/>
      <c r="AW22" s="15">
        <f t="shared" si="11"/>
        <v>0</v>
      </c>
      <c r="AX22" s="15">
        <f t="shared" si="12"/>
        <v>200000</v>
      </c>
      <c r="AY22" s="15">
        <f t="shared" si="13"/>
        <v>200000</v>
      </c>
      <c r="AZ22" s="16">
        <f t="shared" si="14"/>
        <v>400000</v>
      </c>
      <c r="BA22" s="58"/>
      <c r="BB22" s="58"/>
      <c r="BC22" s="15">
        <f t="shared" si="18"/>
        <v>0</v>
      </c>
      <c r="BD22" s="57">
        <f t="shared" si="15"/>
        <v>400000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VLOOKUP($A23,[6]HISTOBQUEAOUT25!$A$6:$H$48,5,0)</f>
        <v>50000</v>
      </c>
      <c r="E23" s="91">
        <f>VLOOKUP($A23,[6]HISTOBQUEAOUT25!$A$6:$H$48,4,0)</f>
        <v>0</v>
      </c>
      <c r="F23" s="91">
        <f>VLOOKUP($A23,[6]HISTOBQUEAOUT25!$A$6:$H$48,6,0)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IFERROR(VLOOKUP(A23,[7]TONTAOUT25!$A$6:$R$41,12,0),0)</f>
        <v>0</v>
      </c>
      <c r="Q23" s="2">
        <f>IFERROR(VLOOKUP(A23,[8]TONTAOUT25!$A$6:$R$38,10,0),0)</f>
        <v>0</v>
      </c>
      <c r="R23" s="2">
        <f>IFERROR(VLOOKUP(A23,[9]TONTAOUT25!$A$6:$R$42,10,0),0)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4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VLOOKUP($A24,[6]HISTOBQUEAOUT25!$A$6:$H$48,5,0)</f>
        <v>125000</v>
      </c>
      <c r="E24" s="91">
        <f>VLOOKUP($A24,[6]HISTOBQUEAOUT25!$A$6:$H$48,4,0)</f>
        <v>0</v>
      </c>
      <c r="F24" s="91">
        <f>VLOOKUP($A24,[6]HISTOBQUEAOUT25!$A$6:$H$48,6,0)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IFERROR(VLOOKUP(A24,[7]TONTAOUT25!$A$6:$R$41,12,0),0)</f>
        <v>0</v>
      </c>
      <c r="Q24" s="2">
        <f>IFERROR(VLOOKUP(A24,[8]TONTAOUT25!$A$6:$R$38,10,0),0)</f>
        <v>0</v>
      </c>
      <c r="R24" s="2">
        <f>IFERROR(VLOOKUP(A24,[9]TONTAOUT25!$A$6:$R$42,10,0),0)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0</v>
      </c>
      <c r="BA24" s="58"/>
      <c r="BB24" s="58"/>
      <c r="BC24" s="15">
        <f t="shared" si="18"/>
        <v>0</v>
      </c>
      <c r="BD24" s="57">
        <f t="shared" si="15"/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VLOOKUP($A25,[6]HISTOBQUEAOUT25!$A$6:$H$48,5,0)</f>
        <v>466000</v>
      </c>
      <c r="E25" s="91">
        <f>VLOOKUP($A25,[6]HISTOBQUEAOUT25!$A$6:$H$48,4,0)</f>
        <v>0</v>
      </c>
      <c r="F25" s="91">
        <f>VLOOKUP($A25,[6]HISTOBQUEAOUT25!$A$6:$H$48,6,0)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IFERROR(VLOOKUP(A25,[7]TONTAOUT25!$A$6:$R$41,12,0),0)</f>
        <v>0</v>
      </c>
      <c r="Q25" s="2">
        <f>IFERROR(VLOOKUP(A25,[8]TONTAOUT25!$A$6:$R$38,10,0),0)</f>
        <v>0</v>
      </c>
      <c r="R25" s="2">
        <f>IFERROR(VLOOKUP(A25,[9]TONTAOUT25!$A$6:$R$42,10,0),0)</f>
        <v>206000</v>
      </c>
      <c r="S25" s="20"/>
      <c r="T25" s="12"/>
      <c r="U25" s="17">
        <f t="shared" si="9"/>
        <v>466000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>
        <f t="shared" si="18"/>
        <v>0</v>
      </c>
      <c r="BD25" s="57">
        <f t="shared" si="15"/>
        <v>200000</v>
      </c>
      <c r="BE25" s="82"/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4000</v>
      </c>
      <c r="D26" s="9">
        <f>VLOOKUP($A26,[6]HISTOBQUEAOUT25!$A$6:$H$48,5,0)</f>
        <v>365000</v>
      </c>
      <c r="E26" s="91">
        <f>VLOOKUP($A26,[6]HISTOBQUEAOUT25!$A$6:$H$48,4,0)</f>
        <v>0</v>
      </c>
      <c r="F26" s="91">
        <f>VLOOKUP($A26,[6]HISTOBQUEAOUT25!$A$6:$H$48,6,0)</f>
        <v>0</v>
      </c>
      <c r="G26" s="91">
        <v>14500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IFERROR(VLOOKUP(A26,[7]TONTAOUT25!$A$6:$R$41,12,0),0)</f>
        <v>0</v>
      </c>
      <c r="Q26" s="2">
        <f>IFERROR(VLOOKUP(A26,[8]TONTAOUT25!$A$6:$R$38,10,0),0)</f>
        <v>121500</v>
      </c>
      <c r="R26" s="2">
        <f>IFERROR(VLOOKUP(A26,[9]TONTAOUT25!$A$6:$R$42,10,0),0)</f>
        <v>0</v>
      </c>
      <c r="S26" s="20"/>
      <c r="T26" s="12"/>
      <c r="U26" s="17">
        <f t="shared" si="9"/>
        <v>361000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>
        <v>15000</v>
      </c>
      <c r="AE26" s="12"/>
      <c r="AF26" s="12"/>
      <c r="AG26" s="12"/>
      <c r="AH26" s="12"/>
      <c r="AI26" s="12"/>
      <c r="AJ26" s="12">
        <v>51500</v>
      </c>
      <c r="AK26" s="12"/>
      <c r="AL26" s="12"/>
      <c r="AM26" s="12">
        <v>1000</v>
      </c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39500</v>
      </c>
      <c r="AT26" s="15"/>
      <c r="AV26" s="15"/>
      <c r="AW26" s="15">
        <f t="shared" si="11"/>
        <v>0</v>
      </c>
      <c r="AX26" s="15">
        <f t="shared" si="12"/>
        <v>936500</v>
      </c>
      <c r="AY26" s="15">
        <f>IF(AE26=0,AK26,(1*100000*12)+(AK26)-AE26)</f>
        <v>0</v>
      </c>
      <c r="AZ26" s="16">
        <f t="shared" si="14"/>
        <v>936500</v>
      </c>
      <c r="BA26" s="58"/>
      <c r="BB26" s="58"/>
      <c r="BC26" s="15">
        <f t="shared" si="18"/>
        <v>0</v>
      </c>
      <c r="BD26" s="57">
        <f t="shared" si="15"/>
        <v>936500</v>
      </c>
      <c r="BE26" s="82"/>
      <c r="BF26" s="29">
        <f t="shared" si="6"/>
        <v>0</v>
      </c>
      <c r="BG26" s="29">
        <v>4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VLOOKUP($A27,[6]HISTOBQUEAOUT25!$A$6:$H$48,5,0)</f>
        <v>320000</v>
      </c>
      <c r="E27" s="91">
        <f>VLOOKUP($A27,[6]HISTOBQUEAOUT25!$A$6:$H$48,4,0)</f>
        <v>0</v>
      </c>
      <c r="F27" s="91">
        <f>VLOOKUP($A27,[6]HISTOBQUEAOUT25!$A$6:$H$48,6,0)</f>
        <v>133500</v>
      </c>
      <c r="G27" s="91"/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IFERROR(VLOOKUP(A27,[7]TONTAOUT25!$A$6:$R$41,12,0),0)</f>
        <v>0</v>
      </c>
      <c r="Q27" s="2">
        <f>IFERROR(VLOOKUP(A27,[8]TONTAOUT25!$A$6:$R$38,10,0),0)</f>
        <v>0</v>
      </c>
      <c r="R27" s="2">
        <f>IFERROR(VLOOKUP(A27,[9]TONTAOUT25!$A$6:$R$42,10,0),0)</f>
        <v>203500</v>
      </c>
      <c r="S27" s="20"/>
      <c r="T27" s="12"/>
      <c r="U27" s="17">
        <f t="shared" si="9"/>
        <v>453500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>
        <v>15000</v>
      </c>
      <c r="AF27" s="12"/>
      <c r="AG27" s="12"/>
      <c r="AH27" s="12"/>
      <c r="AI27" s="12"/>
      <c r="AJ27" s="12"/>
      <c r="AK27" s="12">
        <v>100000</v>
      </c>
      <c r="AL27" s="12"/>
      <c r="AM27" s="12"/>
      <c r="AN27" s="12">
        <v>1000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1285000</v>
      </c>
      <c r="AZ27" s="16">
        <f t="shared" si="14"/>
        <v>1285000</v>
      </c>
      <c r="BA27" s="58"/>
      <c r="BB27" s="58"/>
      <c r="BC27" s="15">
        <f t="shared" si="18"/>
        <v>133500</v>
      </c>
      <c r="BD27" s="57">
        <f t="shared" si="15"/>
        <v>1151500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VLOOKUP($A28,[6]HISTOBQUEAOUT25!$A$6:$H$48,5,0)</f>
        <v>50000</v>
      </c>
      <c r="E28" s="91">
        <f>VLOOKUP($A28,[6]HISTOBQUEAOUT25!$A$6:$H$48,4,0)</f>
        <v>0</v>
      </c>
      <c r="F28" s="91">
        <f>VLOOKUP($A28,[6]HISTOBQUEAOUT25!$A$6:$H$48,6,0)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IFERROR(VLOOKUP(A28,[7]TONTAOUT25!$A$6:$R$41,12,0),0)</f>
        <v>0</v>
      </c>
      <c r="Q28" s="2">
        <f>IFERROR(VLOOKUP(A28,[8]TONTAOUT25!$A$6:$R$38,10,0),0)</f>
        <v>0</v>
      </c>
      <c r="R28" s="2">
        <f>IFERROR(VLOOKUP(A28,[9]TONTAOUT25!$A$6:$R$42,10,0),0)</f>
        <v>0</v>
      </c>
      <c r="S28" s="20"/>
      <c r="T28" s="12"/>
      <c r="U28" s="17">
        <f t="shared" si="9"/>
        <v>50000</v>
      </c>
      <c r="V28" s="12"/>
      <c r="W28" s="12"/>
      <c r="X28" s="12"/>
      <c r="Y28" s="92">
        <f t="shared" si="10"/>
        <v>50000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>
        <f t="shared" si="18"/>
        <v>0</v>
      </c>
      <c r="BD28" s="57">
        <f t="shared" si="15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VLOOKUP($A29,[6]HISTOBQUEAOUT25!$A$6:$H$48,5,0)</f>
        <v>50000</v>
      </c>
      <c r="E29" s="91">
        <f>VLOOKUP($A29,[6]HISTOBQUEAOUT25!$A$6:$H$48,4,0)</f>
        <v>0</v>
      </c>
      <c r="F29" s="91">
        <f>VLOOKUP($A29,[6]HISTOBQUEAOUT25!$A$6:$H$48,6,0)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IFERROR(VLOOKUP(A29,[7]TONTAOUT25!$A$6:$R$41,12,0),0)</f>
        <v>0</v>
      </c>
      <c r="Q29" s="2">
        <f>IFERROR(VLOOKUP(A29,[8]TONTAOUT25!$A$6:$R$38,10,0),0)</f>
        <v>0</v>
      </c>
      <c r="R29" s="2">
        <f>IFERROR(VLOOKUP(A29,[9]TONTAOUT25!$A$6:$R$42,10,0),0)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VLOOKUP($A30,[6]HISTOBQUEAOUT25!$A$6:$H$48,5,0)</f>
        <v>125000</v>
      </c>
      <c r="E30" s="91">
        <f>VLOOKUP($A30,[6]HISTOBQUEAOUT25!$A$6:$H$48,4,0)</f>
        <v>0</v>
      </c>
      <c r="F30" s="91">
        <f>VLOOKUP($A30,[6]HISTOBQUEAOUT25!$A$6:$H$48,6,0)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IFERROR(VLOOKUP(A30,[7]TONTAOUT25!$A$6:$R$41,12,0),0)</f>
        <v>0</v>
      </c>
      <c r="Q30" s="2">
        <f>IFERROR(VLOOKUP(A30,[8]TONTAOUT25!$A$6:$R$38,10,0),0)</f>
        <v>0</v>
      </c>
      <c r="R30" s="2">
        <f>IFERROR(VLOOKUP(A30,[9]TONTAOUT25!$A$6:$R$42,10,0),0)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-59000</v>
      </c>
      <c r="D31" s="9">
        <f>VLOOKUP($A31,[6]HISTOBQUEAOUT25!$A$6:$H$48,5,0)</f>
        <v>50000</v>
      </c>
      <c r="E31" s="91">
        <f>VLOOKUP($A31,[6]HISTOBQUEAOUT25!$A$6:$H$48,4,0)</f>
        <v>0</v>
      </c>
      <c r="F31" s="91">
        <f>VLOOKUP($A31,[6]HISTOBQUEAOUT25!$A$6:$H$48,6,0)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IFERROR(VLOOKUP(A31,[7]TONTAOUT25!$A$6:$R$41,12,0),0)</f>
        <v>59000</v>
      </c>
      <c r="Q31" s="2">
        <f>IFERROR(VLOOKUP(A31,[8]TONTAOUT25!$A$6:$R$38,10,0),0)</f>
        <v>0</v>
      </c>
      <c r="R31" s="2">
        <f>IFERROR(VLOOKUP(A31,[9]TONTAOUT25!$A$6:$R$42,10,0),0)</f>
        <v>0</v>
      </c>
      <c r="S31" s="20"/>
      <c r="T31" s="12"/>
      <c r="U31" s="17">
        <f t="shared" si="9"/>
        <v>109000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59000</v>
      </c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59000</v>
      </c>
      <c r="AX31" s="15">
        <f t="shared" si="12"/>
        <v>0</v>
      </c>
      <c r="AY31" s="15">
        <f t="shared" si="13"/>
        <v>0</v>
      </c>
      <c r="AZ31" s="16">
        <f t="shared" si="14"/>
        <v>59000</v>
      </c>
      <c r="BA31" s="58"/>
      <c r="BB31" s="58"/>
      <c r="BC31" s="15">
        <f t="shared" si="18"/>
        <v>0</v>
      </c>
      <c r="BD31" s="57">
        <f t="shared" si="15"/>
        <v>59000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VLOOKUP($A32,[6]HISTOBQUEAOUT25!$A$6:$H$48,5,0)</f>
        <v>250000</v>
      </c>
      <c r="E32" s="91">
        <f>VLOOKUP($A32,[6]HISTOBQUEAOUT25!$A$6:$H$48,4,0)</f>
        <v>0</v>
      </c>
      <c r="F32" s="91">
        <f>VLOOKUP($A32,[6]HISTOBQUEAOUT25!$A$6:$H$48,6,0)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IFERROR(VLOOKUP(A32,[7]TONTAOUT25!$A$6:$R$41,12,0),0)</f>
        <v>0</v>
      </c>
      <c r="Q32" s="2">
        <f>IFERROR(VLOOKUP(A32,[8]TONTAOUT25!$A$6:$R$38,10,0),0)</f>
        <v>0</v>
      </c>
      <c r="R32" s="2">
        <f>IFERROR(VLOOKUP(A32,[9]TONTAOUT25!$A$6:$R$42,10,0),0)</f>
        <v>0</v>
      </c>
      <c r="S32" s="20"/>
      <c r="T32" s="12"/>
      <c r="U32" s="17">
        <f t="shared" si="9"/>
        <v>250000</v>
      </c>
      <c r="V32" s="12"/>
      <c r="W32" s="12"/>
      <c r="X32" s="12"/>
      <c r="Y32" s="92">
        <f t="shared" si="10"/>
        <v>250000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>
        <f t="shared" si="18"/>
        <v>0</v>
      </c>
      <c r="BD32" s="57">
        <f t="shared" si="15"/>
        <v>0</v>
      </c>
      <c r="BE32" s="82"/>
      <c r="BF32" s="29">
        <f t="shared" si="6"/>
        <v>0</v>
      </c>
      <c r="BG32" s="29">
        <v>4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>
        <v>100000</v>
      </c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VLOOKUP($A33,[6]HISTOBQUEAOUT25!$A$6:$H$48,5,0)</f>
        <v>0</v>
      </c>
      <c r="E33" s="91">
        <f>VLOOKUP($A33,[6]HISTOBQUEAOUT25!$A$6:$H$48,4,0)</f>
        <v>50000</v>
      </c>
      <c r="F33" s="91">
        <f>VLOOKUP($A33,[6]HISTOBQUEAOUT25!$A$6:$H$48,6,0)</f>
        <v>0</v>
      </c>
      <c r="G33" s="91">
        <v>-3000</v>
      </c>
      <c r="H33" s="5">
        <f t="shared" si="16"/>
        <v>3000</v>
      </c>
      <c r="I33" s="10" t="str">
        <f t="shared" si="0"/>
        <v>ESPECES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IFERROR(VLOOKUP(A33,[7]TONTAOUT25!$A$6:$R$41,12,0),0)</f>
        <v>0</v>
      </c>
      <c r="Q33" s="2">
        <f>IFERROR(VLOOKUP(A33,[8]TONTAOUT25!$A$6:$R$38,10,0),0)</f>
        <v>0</v>
      </c>
      <c r="R33" s="2">
        <f>IFERROR(VLOOKUP(A33,[9]TONTAOUT25!$A$6:$R$42,10,0),0)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22000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>
        <v>300000</v>
      </c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P33" t="s">
        <v>50</v>
      </c>
      <c r="BQ33" s="6">
        <v>560000</v>
      </c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VLOOKUP($A34,[6]HISTOBQUEAOUT25!$A$6:$H$48,5,0)</f>
        <v>185000</v>
      </c>
      <c r="E34" s="91">
        <f>VLOOKUP($A34,[6]HISTOBQUEAOUT25!$A$6:$H$48,4,0)</f>
        <v>0</v>
      </c>
      <c r="F34" s="91">
        <f>VLOOKUP($A34,[6]HISTOBQUEAOUT25!$A$6:$H$48,6,0)</f>
        <v>0</v>
      </c>
      <c r="G34" s="91">
        <v>4500</v>
      </c>
      <c r="H34" s="5">
        <f t="shared" si="16"/>
        <v>0</v>
      </c>
      <c r="I34" s="10" t="str">
        <f t="shared" si="0"/>
        <v>BANQUE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>
        <v>1</v>
      </c>
      <c r="O34" s="11">
        <f t="shared" si="2"/>
        <v>100000</v>
      </c>
      <c r="P34" s="2">
        <f>IFERROR(VLOOKUP(A34,[7]TONTAOUT25!$A$6:$R$41,12,0),0)</f>
        <v>30500</v>
      </c>
      <c r="Q34" s="2">
        <f>IFERROR(VLOOKUP(A34,[8]TONTAOUT25!$A$6:$R$38,10,0),0)</f>
        <v>0</v>
      </c>
      <c r="R34" s="2">
        <f>IFERROR(VLOOKUP(A34,[9]TONTAOUT25!$A$6:$R$42,10,0),0)</f>
        <v>0</v>
      </c>
      <c r="S34" s="20"/>
      <c r="T34" s="12"/>
      <c r="U34" s="17">
        <f t="shared" si="9"/>
        <v>185000</v>
      </c>
      <c r="V34" s="12"/>
      <c r="W34" s="12"/>
      <c r="X34" s="12"/>
      <c r="Y34" s="92">
        <f t="shared" si="10"/>
        <v>150000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>
        <v>30000</v>
      </c>
      <c r="AJ34" s="12"/>
      <c r="AK34" s="12"/>
      <c r="AL34" s="12">
        <v>500</v>
      </c>
      <c r="AM34" s="12"/>
      <c r="AN34" s="12"/>
      <c r="AO34" s="12"/>
      <c r="AP34" s="12" t="s">
        <v>8</v>
      </c>
      <c r="AQ34" s="8">
        <f t="shared" si="3"/>
        <v>0</v>
      </c>
      <c r="AR34" s="8">
        <f t="shared" si="4"/>
        <v>0</v>
      </c>
      <c r="AS34" s="13">
        <f t="shared" si="17"/>
        <v>29500</v>
      </c>
      <c r="AT34" s="15"/>
      <c r="AV34" s="15"/>
      <c r="AW34" s="15">
        <f t="shared" si="11"/>
        <v>30000</v>
      </c>
      <c r="AX34" s="15">
        <f t="shared" si="12"/>
        <v>0</v>
      </c>
      <c r="AY34" s="15">
        <f t="shared" si="13"/>
        <v>0</v>
      </c>
      <c r="AZ34" s="16">
        <f t="shared" si="14"/>
        <v>30000</v>
      </c>
      <c r="BA34" s="58">
        <v>30000</v>
      </c>
      <c r="BB34" s="58"/>
      <c r="BC34" s="15">
        <f t="shared" si="18"/>
        <v>0</v>
      </c>
      <c r="BD34" s="57">
        <f t="shared" si="15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VLOOKUP($A35,[6]HISTOBQUEAOUT25!$A$6:$H$48,5,0)</f>
        <v>227000</v>
      </c>
      <c r="E35" s="91">
        <f>VLOOKUP($A35,[6]HISTOBQUEAOUT25!$A$6:$H$48,4,0)</f>
        <v>0</v>
      </c>
      <c r="F35" s="91">
        <f>VLOOKUP($A35,[6]HISTOBQUEAOUT25!$A$6:$H$48,6,0)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IFERROR(VLOOKUP(A35,[7]TONTAOUT25!$A$6:$R$41,12,0),0)</f>
        <v>0</v>
      </c>
      <c r="Q35" s="2">
        <f>IFERROR(VLOOKUP(A35,[8]TONTAOUT25!$A$6:$R$38,10,0),0)</f>
        <v>102000</v>
      </c>
      <c r="R35" s="2">
        <f>IFERROR(VLOOKUP(A35,[9]TONTAOUT25!$A$6:$R$42,10,0),0)</f>
        <v>0</v>
      </c>
      <c r="S35" s="20"/>
      <c r="T35" s="12"/>
      <c r="U35" s="17">
        <f t="shared" si="9"/>
        <v>227000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>100000+100000</f>
        <v>200000</v>
      </c>
      <c r="AK35" s="12"/>
      <c r="AL35" s="12"/>
      <c r="AM35" s="12">
        <f>1000+1000</f>
        <v>2000</v>
      </c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200000</v>
      </c>
      <c r="AY35" s="15">
        <f t="shared" si="13"/>
        <v>0</v>
      </c>
      <c r="AZ35" s="16">
        <f t="shared" si="14"/>
        <v>200000</v>
      </c>
      <c r="BA35" s="58"/>
      <c r="BB35" s="58"/>
      <c r="BC35" s="15">
        <f t="shared" si="18"/>
        <v>0</v>
      </c>
      <c r="BD35" s="57">
        <f t="shared" si="15"/>
        <v>200000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VLOOKUP($A36,[6]HISTOBQUEAOUT25!$A$6:$H$48,5,0)</f>
        <v>150000</v>
      </c>
      <c r="E36" s="91">
        <f>VLOOKUP($A36,[6]HISTOBQUEAOUT25!$A$6:$H$48,4,0)</f>
        <v>0</v>
      </c>
      <c r="F36" s="91">
        <f>VLOOKUP($A36,[6]HISTOBQUEAOUT25!$A$6:$H$48,6,0)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IFERROR(VLOOKUP(A36,[7]TONTAOUT25!$A$6:$R$41,12,0),0)</f>
        <v>0</v>
      </c>
      <c r="Q36" s="2">
        <f>IFERROR(VLOOKUP(A36,[8]TONTAOUT25!$A$6:$R$38,10,0),0)</f>
        <v>0</v>
      </c>
      <c r="R36" s="2">
        <f>IFERROR(VLOOKUP(A36,[9]TONTAOUT25!$A$6:$R$42,10,0),0)</f>
        <v>0</v>
      </c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100000</v>
      </c>
      <c r="BA36" s="58">
        <v>48500</v>
      </c>
      <c r="BB36" s="58"/>
      <c r="BC36" s="15">
        <f t="shared" si="18"/>
        <v>0</v>
      </c>
      <c r="BD36" s="57">
        <f>IF(AZ36=0,(AZ36-BA36-BC36),(AZ36-BA36-BB36-BC36))+51500</f>
        <v>103000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>
        <f>48500+51500</f>
        <v>100000</v>
      </c>
      <c r="BL36" s="61"/>
      <c r="BO36" s="62" t="s">
        <v>142</v>
      </c>
      <c r="BQ36" s="62">
        <f>SUM(BQ32:BQ35)</f>
        <v>660000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VLOOKUP($A37,[6]HISTOBQUEAOUT25!$A$6:$H$48,5,0)</f>
        <v>50000</v>
      </c>
      <c r="E37" s="91">
        <f>VLOOKUP($A37,[6]HISTOBQUEAOUT25!$A$6:$H$48,4,0)</f>
        <v>0</v>
      </c>
      <c r="F37" s="91">
        <f>VLOOKUP($A37,[6]HISTOBQUEAOUT25!$A$6:$H$48,6,0)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IFERROR(VLOOKUP(A37,[7]TONTAOUT25!$A$6:$R$41,12,0),0)</f>
        <v>0</v>
      </c>
      <c r="Q37" s="2">
        <f>IFERROR(VLOOKUP(A37,[8]TONTAOUT25!$A$6:$R$38,10,0),0)</f>
        <v>0</v>
      </c>
      <c r="R37" s="2">
        <f>IFERROR(VLOOKUP(A37,[9]TONTAOUT25!$A$6:$R$42,10,0),0)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4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660000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VLOOKUP($A38,[6]HISTOBQUEAOUT25!$A$6:$H$48,5,0)</f>
        <v>50000</v>
      </c>
      <c r="E38" s="91">
        <f>VLOOKUP($A38,[6]HISTOBQUEAOUT25!$A$6:$H$48,4,0)</f>
        <v>0</v>
      </c>
      <c r="F38" s="91">
        <f>VLOOKUP($A38,[6]HISTOBQUEAOUT25!$A$6:$H$48,6,0)</f>
        <v>0</v>
      </c>
      <c r="G38" s="91"/>
      <c r="H38" s="5">
        <f t="shared" si="16"/>
        <v>0</v>
      </c>
      <c r="I38" s="10" t="str">
        <f t="shared" si="0"/>
        <v>BANQUE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IFERROR(VLOOKUP(A38,[7]TONTAOUT25!$A$6:$R$41,12,0),0)</f>
        <v>0</v>
      </c>
      <c r="Q38" s="2">
        <f>IFERROR(VLOOKUP(A38,[8]TONTAOUT25!$A$6:$R$38,10,0),0)</f>
        <v>0</v>
      </c>
      <c r="R38" s="2">
        <f>IFERROR(VLOOKUP(A38,[9]TONTAOUT25!$A$6:$R$42,10,0),0)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4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VLOOKUP($A39,[6]HISTOBQUEAOUT25!$A$6:$H$48,5,0)</f>
        <v>125000</v>
      </c>
      <c r="E39" s="91">
        <f>VLOOKUP($A39,[6]HISTOBQUEAOUT25!$A$6:$H$48,4,0)</f>
        <v>0</v>
      </c>
      <c r="F39" s="91">
        <f>VLOOKUP($A39,[6]HISTOBQUEAOUT25!$A$6:$H$48,6,0)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IFERROR(VLOOKUP(A39,[7]TONTAOUT25!$A$6:$R$41,12,0),0)</f>
        <v>0</v>
      </c>
      <c r="Q39" s="2">
        <f>IFERROR(VLOOKUP(A39,[8]TONTAOUT25!$A$6:$R$38,10,0),0)</f>
        <v>0</v>
      </c>
      <c r="R39" s="2">
        <f>IFERROR(VLOOKUP(A39,[9]TONTAOUT25!$A$6:$R$42,10,0),0)</f>
        <v>0</v>
      </c>
      <c r="S39" s="20"/>
      <c r="T39" s="12"/>
      <c r="U39" s="17">
        <f t="shared" si="9"/>
        <v>125000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v>100000</v>
      </c>
      <c r="AK39" s="12"/>
      <c r="AL39" s="12"/>
      <c r="AM39" s="12">
        <v>2000</v>
      </c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100000</v>
      </c>
      <c r="AY39" s="15">
        <f t="shared" si="13"/>
        <v>0</v>
      </c>
      <c r="AZ39" s="16">
        <f t="shared" si="14"/>
        <v>100000</v>
      </c>
      <c r="BA39" s="58">
        <v>100000</v>
      </c>
      <c r="BB39" s="58"/>
      <c r="BC39" s="15">
        <f t="shared" si="18"/>
        <v>0</v>
      </c>
      <c r="BD39" s="57">
        <f t="shared" si="15"/>
        <v>0</v>
      </c>
      <c r="BE39" s="82"/>
      <c r="BF39" s="29">
        <f t="shared" si="6"/>
        <v>0</v>
      </c>
      <c r="BG39" s="29">
        <v>4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VLOOKUP($A40,[6]HISTOBQUEAOUT25!$A$6:$H$48,5,0)</f>
        <v>50000</v>
      </c>
      <c r="E40" s="91">
        <f>VLOOKUP($A40,[6]HISTOBQUEAOUT25!$A$6:$H$48,4,0)</f>
        <v>0</v>
      </c>
      <c r="F40" s="91">
        <f>VLOOKUP($A40,[6]HISTOBQUEAOUT25!$A$6:$H$48,6,0)</f>
        <v>0</v>
      </c>
      <c r="G40" s="91"/>
      <c r="H40" s="5">
        <f t="shared" si="16"/>
        <v>0</v>
      </c>
      <c r="I40" s="10" t="str">
        <f t="shared" si="0"/>
        <v>BANQUE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IFERROR(VLOOKUP(A40,[7]TONTAOUT25!$A$6:$R$41,12,0),0)</f>
        <v>0</v>
      </c>
      <c r="Q40" s="2">
        <f>IFERROR(VLOOKUP(A40,[8]TONTAOUT25!$A$6:$R$38,10,0),0)</f>
        <v>0</v>
      </c>
      <c r="R40" s="2">
        <f>IFERROR(VLOOKUP(A40,[9]TONTAOUT25!$A$6:$R$42,10,0),0)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4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VLOOKUP($A41,[6]HISTOBQUEAOUT25!$A$6:$H$48,5,0)</f>
        <v>0</v>
      </c>
      <c r="E41" s="91">
        <f>VLOOKUP($A41,[6]HISTOBQUEAOUT25!$A$6:$H$48,4,0)</f>
        <v>253000</v>
      </c>
      <c r="F41" s="91">
        <f>VLOOKUP($A41,[6]HISTOBQUEAOUT25!$A$6:$H$48,6,0)</f>
        <v>0</v>
      </c>
      <c r="G41" s="91"/>
      <c r="H41" s="5">
        <f t="shared" si="16"/>
        <v>3000</v>
      </c>
      <c r="I41" s="10" t="str">
        <f t="shared" si="0"/>
        <v>ESPECES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IFERROR(VLOOKUP(A41,[7]TONTAOUT25!$A$6:$R$41,12,0),0)</f>
        <v>0</v>
      </c>
      <c r="Q41" s="2">
        <f>IFERROR(VLOOKUP(A41,[8]TONTAOUT25!$A$6:$R$38,10,0),0)</f>
        <v>0</v>
      </c>
      <c r="R41" s="2">
        <f>IFERROR(VLOOKUP(A41,[9]TONTAOUT25!$A$6:$R$42,10,0),0)</f>
        <v>0</v>
      </c>
      <c r="S41" s="6"/>
      <c r="T41" s="12"/>
      <c r="U41" s="17">
        <f t="shared" si="9"/>
        <v>253000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18"/>
        <v>0</v>
      </c>
      <c r="BD41" s="57">
        <f t="shared" si="15"/>
        <v>0</v>
      </c>
      <c r="BE41" s="82"/>
      <c r="BF41" s="29">
        <f t="shared" si="6"/>
        <v>0</v>
      </c>
      <c r="BG41" s="29">
        <v>4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VLOOKUP($A42,[6]HISTOBQUEAOUT25!$A$6:$H$48,5,0)</f>
        <v>225000</v>
      </c>
      <c r="E42" s="91">
        <f>VLOOKUP($A42,[6]HISTOBQUEAOUT25!$A$6:$H$48,4,0)</f>
        <v>0</v>
      </c>
      <c r="F42" s="91">
        <f>VLOOKUP($A42,[6]HISTOBQUEAOUT25!$A$6:$H$48,6,0)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IFERROR(VLOOKUP(A42,[7]TONTAOUT25!$A$6:$R$41,12,0),0)</f>
        <v>0</v>
      </c>
      <c r="Q42" s="2">
        <f>IFERROR(VLOOKUP(A42,[8]TONTAOUT25!$A$6:$R$38,10,0),0)</f>
        <v>0</v>
      </c>
      <c r="R42" s="2">
        <f>IFERROR(VLOOKUP(A42,[9]TONTAOUT25!$A$6:$R$42,10,0),0)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4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-1025000</v>
      </c>
      <c r="D44" s="5">
        <f>SUM(D6:D43)</f>
        <v>6225000</v>
      </c>
      <c r="E44" s="5">
        <f>SUM(E6:E43)+100000</f>
        <v>906500</v>
      </c>
      <c r="F44" s="5">
        <f>SUM(F6:F43)</f>
        <v>133500</v>
      </c>
      <c r="G44" s="5">
        <f t="shared" ref="G44:S44" si="19">SUM(G6:G43)</f>
        <v>379000</v>
      </c>
      <c r="H44" s="5">
        <f t="shared" si="19"/>
        <v>6000</v>
      </c>
      <c r="I44" s="5">
        <f t="shared" si="19"/>
        <v>0</v>
      </c>
      <c r="J44" s="5">
        <f t="shared" si="19"/>
        <v>35</v>
      </c>
      <c r="K44" s="5">
        <f t="shared" si="19"/>
        <v>1750000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2400000</v>
      </c>
      <c r="P44" s="5">
        <f t="shared" si="19"/>
        <v>146500</v>
      </c>
      <c r="Q44" s="5">
        <f t="shared" si="19"/>
        <v>376500</v>
      </c>
      <c r="R44" s="5">
        <f t="shared" si="19"/>
        <v>1107000</v>
      </c>
      <c r="S44" s="5">
        <f t="shared" si="19"/>
        <v>1100000</v>
      </c>
      <c r="T44" s="5"/>
      <c r="U44" s="5">
        <f t="shared" ref="U44:AA44" si="20">SUM(U6:U43)</f>
        <v>8190000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5125000</v>
      </c>
      <c r="Z44" s="5">
        <f t="shared" si="20"/>
        <v>1000000</v>
      </c>
      <c r="AA44" s="5">
        <f t="shared" si="20"/>
        <v>0</v>
      </c>
      <c r="AB44" s="5"/>
      <c r="AC44" s="5">
        <f>SUM(AC6:AC43)</f>
        <v>6000</v>
      </c>
      <c r="AD44" s="5">
        <f>SUM(AD6:AD43)</f>
        <v>15000</v>
      </c>
      <c r="AE44" s="5">
        <f>SUM(AE6:AE43)</f>
        <v>25000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209000</v>
      </c>
      <c r="AJ44" s="5">
        <f t="shared" si="21"/>
        <v>751500</v>
      </c>
      <c r="AK44" s="5">
        <f t="shared" si="21"/>
        <v>1132000</v>
      </c>
      <c r="AL44" s="5">
        <f t="shared" si="21"/>
        <v>2500</v>
      </c>
      <c r="AM44" s="5">
        <f t="shared" si="21"/>
        <v>10000</v>
      </c>
      <c r="AN44" s="5">
        <f t="shared" si="21"/>
        <v>12500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1204000</v>
      </c>
      <c r="AT44" s="5">
        <f t="shared" si="21"/>
        <v>0</v>
      </c>
      <c r="AU44" s="5">
        <f t="shared" si="21"/>
        <v>0</v>
      </c>
      <c r="AV44" s="5">
        <f t="shared" si="21"/>
        <v>0</v>
      </c>
      <c r="AW44" s="5">
        <f t="shared" si="21"/>
        <v>803000</v>
      </c>
      <c r="AX44" s="5">
        <f t="shared" si="21"/>
        <v>1636500</v>
      </c>
      <c r="AY44" s="5">
        <f t="shared" si="21"/>
        <v>3507000</v>
      </c>
      <c r="AZ44" s="5">
        <f t="shared" si="21"/>
        <v>7712500</v>
      </c>
      <c r="BA44" s="5">
        <f t="shared" si="21"/>
        <v>906500</v>
      </c>
      <c r="BB44" s="5">
        <f t="shared" si="21"/>
        <v>300000</v>
      </c>
      <c r="BC44" s="5">
        <f t="shared" si="21"/>
        <v>133500</v>
      </c>
      <c r="BD44" s="5">
        <f t="shared" si="21"/>
        <v>6724000</v>
      </c>
      <c r="BE44" s="5">
        <f t="shared" si="21"/>
        <v>0</v>
      </c>
      <c r="BF44" s="5">
        <f t="shared" si="21"/>
        <v>30000</v>
      </c>
      <c r="BH44" s="5">
        <f t="shared" ref="BH44:BL44" si="22">SUM(BH6:BH43)</f>
        <v>6000</v>
      </c>
      <c r="BI44" s="5">
        <f t="shared" si="22"/>
        <v>0</v>
      </c>
      <c r="BJ44" s="5">
        <f t="shared" si="22"/>
        <v>660000</v>
      </c>
      <c r="BK44" s="5">
        <f t="shared" si="22"/>
        <v>100000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906500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0</v>
      </c>
      <c r="BD47" s="14">
        <f>+BD46-BD44</f>
        <v>-6724000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6724000</v>
      </c>
      <c r="D50" s="9">
        <f>+D44</f>
        <v>6225000</v>
      </c>
      <c r="E50" s="9">
        <f>+C50-D50</f>
        <v>499000</v>
      </c>
      <c r="F50" s="9"/>
      <c r="G50" s="9">
        <f>E44</f>
        <v>906500</v>
      </c>
      <c r="H50" s="14">
        <f>+BA44</f>
        <v>906500</v>
      </c>
      <c r="I50" s="88">
        <f>+G50-H50</f>
        <v>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14461500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AA6:AA42" xr:uid="{E8A08A48-6B7B-429A-90F7-4B394A73CC54}">
      <formula1>"BANQUE,ESPECES, EN COMPTE,AUTRES"</formula1>
    </dataValidation>
    <dataValidation type="list" showInputMessage="1" showErrorMessage="1" sqref="T6:T42 AP6:AP43 AF6:AF42" xr:uid="{E1016A3C-1B64-44D4-9D61-0888DBE47C1A}">
      <formula1>"BANQUE,ESPECES,EN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0F5C-19C6-46FC-9FC5-220C6F2F2EA4}">
  <dimension ref="A1:BQ88"/>
  <sheetViews>
    <sheetView zoomScale="87" zoomScaleNormal="87" workbookViewId="0">
      <pane xSplit="4" ySplit="5" topLeftCell="BM30" activePane="bottomRight" state="frozen"/>
      <selection activeCell="D15" sqref="D15"/>
      <selection pane="topRight" activeCell="D15" sqref="D15"/>
      <selection pane="bottomLeft" activeCell="D15" sqref="D15"/>
      <selection pane="bottomRight" activeCell="G20" sqref="G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6.1796875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VLOOKUP($A6,[6]HISTOBQUESEPT25!$A$6:$H$48,5,0)</f>
        <v>250000</v>
      </c>
      <c r="E6" s="91">
        <f>VLOOKUP($A6,[6]HISTOBQUESEPT25!$A$6:$H$48,4,0)</f>
        <v>0</v>
      </c>
      <c r="F6" s="91">
        <f>VLOOKUP($A6,[6]HISTOBQUESEPT25!$A$6:$H$48,6,0)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IFERROR(VLOOKUP(A6,[7]TONTSEPT25!$A$6:$R$41,12,0),0)</f>
        <v>0</v>
      </c>
      <c r="Q6" s="2">
        <f>IFERROR(VLOOKUP(A6,[8]TONTSEPT25!$A$6:$R$38,10,0),0)</f>
        <v>0</v>
      </c>
      <c r="R6" s="2">
        <f>IFERROR(VLOOKUP(A6,[9]TONTSEPT25!$A$6:$R$42,10,0),0)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12000</v>
      </c>
      <c r="BA6" s="58"/>
      <c r="BB6" s="58"/>
      <c r="BC6" s="15">
        <f t="shared" ref="BC6:BC17" si="5">F6</f>
        <v>0</v>
      </c>
      <c r="BD6" s="57">
        <f>IF(AZ6=0,(AZ6-BA6-BC6),(AZ6-BA6-BB6-BC6))</f>
        <v>12000</v>
      </c>
      <c r="BE6" s="82"/>
      <c r="BF6" s="29">
        <f t="shared" ref="BF6:BF42" si="6">Z6*1/100*BG6</f>
        <v>0</v>
      </c>
      <c r="BG6" s="29">
        <v>3</v>
      </c>
      <c r="BH6" s="15">
        <f>BQ17</f>
        <v>12000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VLOOKUP($A7,[6]HISTOBQUESEPT25!$A$6:$H$48,5,0)</f>
        <v>0</v>
      </c>
      <c r="E7" s="91">
        <f>VLOOKUP($A7,[6]HISTOBQUESEPT25!$A$6:$H$48,4,0)</f>
        <v>50000</v>
      </c>
      <c r="F7" s="91">
        <f>VLOOKUP($A7,[6]HISTOBQUESEPT25!$A$6:$H$48,6,0)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IFERROR(VLOOKUP(A7,[7]TONTSEPT25!$A$6:$R$41,12,0),0)</f>
        <v>0</v>
      </c>
      <c r="Q7" s="2">
        <f>IFERROR(VLOOKUP(A7,[8]TONTSEPT25!$A$6:$R$38,10,0),0)</f>
        <v>0</v>
      </c>
      <c r="R7" s="2">
        <f>IFERROR(VLOOKUP(A7,[9]TONTSEPT25!$A$6:$R$42,10,0),0)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3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VLOOKUP($A8,[6]HISTOBQUESEPT25!$A$6:$H$48,5,0)</f>
        <v>125000</v>
      </c>
      <c r="E8" s="91">
        <f>VLOOKUP($A8,[6]HISTOBQUESEPT25!$A$6:$H$48,4,0)</f>
        <v>0</v>
      </c>
      <c r="F8" s="91">
        <f>VLOOKUP($A8,[6]HISTOBQUESEPT25!$A$6:$H$48,6,0)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IFERROR(VLOOKUP(A8,[7]TONTSEPT25!$A$6:$R$41,12,0),0)</f>
        <v>0</v>
      </c>
      <c r="Q8" s="2">
        <f>IFERROR(VLOOKUP(A8,[8]TONTSEPT25!$A$6:$R$38,10,0),0)</f>
        <v>0</v>
      </c>
      <c r="R8" s="2">
        <f>IFERROR(VLOOKUP(A8,[9]TONTSEPT25!$A$6:$R$42,10,0),0)</f>
        <v>0</v>
      </c>
      <c r="S8" s="20"/>
      <c r="T8" s="12"/>
      <c r="U8" s="17">
        <f t="shared" si="9"/>
        <v>125000</v>
      </c>
      <c r="V8" s="12"/>
      <c r="W8" s="12"/>
      <c r="X8" s="12"/>
      <c r="Y8" s="92">
        <f t="shared" si="10"/>
        <v>125000</v>
      </c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297500</v>
      </c>
      <c r="AX8" s="15">
        <f t="shared" si="12"/>
        <v>100000</v>
      </c>
      <c r="AY8" s="15">
        <f t="shared" si="13"/>
        <v>0</v>
      </c>
      <c r="AZ8" s="16">
        <f t="shared" si="14"/>
        <v>397500</v>
      </c>
      <c r="BA8" s="58">
        <v>100000</v>
      </c>
      <c r="BB8" s="58"/>
      <c r="BC8" s="15">
        <f t="shared" si="5"/>
        <v>0</v>
      </c>
      <c r="BD8" s="57">
        <f t="shared" si="15"/>
        <v>297500</v>
      </c>
      <c r="BE8" s="82"/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VLOOKUP($A9,[6]HISTOBQUESEPT25!$A$6:$H$48,5,0)</f>
        <v>0</v>
      </c>
      <c r="E9" s="91">
        <f>VLOOKUP($A9,[6]HISTOBQUESEPT25!$A$6:$H$48,4,0)</f>
        <v>382000</v>
      </c>
      <c r="F9" s="91">
        <f>VLOOKUP($A9,[6]HISTOBQUESEPT25!$A$6:$H$48,6,0)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IFERROR(VLOOKUP(A9,[7]TONTSEPT25!$A$6:$R$41,12,0),0)</f>
        <v>30500</v>
      </c>
      <c r="Q9" s="2">
        <f>IFERROR(VLOOKUP(A9,[8]TONTSEPT25!$A$6:$R$38,10,0),0)</f>
        <v>0</v>
      </c>
      <c r="R9" s="2">
        <f>IFERROR(VLOOKUP(A9,[9]TONTSEPT25!$A$6:$R$42,10,0),0)</f>
        <v>101500</v>
      </c>
      <c r="S9" s="20"/>
      <c r="T9" s="12"/>
      <c r="U9" s="17">
        <f t="shared" si="9"/>
        <v>382000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100000+74500</f>
        <v>174500</v>
      </c>
      <c r="AL9" s="12"/>
      <c r="AM9" s="12"/>
      <c r="AN9" s="12">
        <v>2000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174500</v>
      </c>
      <c r="AZ9" s="16">
        <f t="shared" si="14"/>
        <v>174500</v>
      </c>
      <c r="BA9" s="58">
        <v>174500</v>
      </c>
      <c r="BB9" s="58"/>
      <c r="BC9" s="15">
        <f t="shared" si="5"/>
        <v>0</v>
      </c>
      <c r="BD9" s="57">
        <f t="shared" si="15"/>
        <v>0</v>
      </c>
      <c r="BE9" s="82"/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VLOOKUP($A10,[6]HISTOBQUESEPT25!$A$6:$H$48,5,0)</f>
        <v>50000</v>
      </c>
      <c r="E10" s="91">
        <f>VLOOKUP($A10,[6]HISTOBQUESEPT25!$A$6:$H$48,4,0)</f>
        <v>61000</v>
      </c>
      <c r="F10" s="91">
        <f>VLOOKUP($A10,[6]HISTOBQUESEPT25!$A$6:$H$48,6,0)</f>
        <v>0</v>
      </c>
      <c r="G10" s="91">
        <v>-3000</v>
      </c>
      <c r="H10" s="5">
        <f>IF(I10="ESPECES",3000,0)+3000</f>
        <v>3000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IFERROR(VLOOKUP(A10,[7]TONTSEPT25!$A$6:$R$41,12,0),0)</f>
        <v>61000</v>
      </c>
      <c r="Q10" s="2">
        <f>IFERROR(VLOOKUP(A10,[8]TONTSEPT25!$A$6:$R$38,10,0),0)</f>
        <v>0</v>
      </c>
      <c r="R10" s="2">
        <f>IFERROR(VLOOKUP(A10,[9]TONTSEPT25!$A$6:$R$42,10,0),0)</f>
        <v>0</v>
      </c>
      <c r="S10" s="20"/>
      <c r="T10" s="12"/>
      <c r="U10" s="17">
        <f t="shared" si="9"/>
        <v>111000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22000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VLOOKUP($A11,[6]HISTOBQUESEPT25!$A$6:$H$48,5,0)</f>
        <v>150000</v>
      </c>
      <c r="E11" s="91">
        <f>VLOOKUP($A11,[6]HISTOBQUESEPT25!$A$6:$H$48,4,0)</f>
        <v>0</v>
      </c>
      <c r="F11" s="91">
        <f>VLOOKUP($A11,[6]HISTOBQUESEPT25!$A$6:$H$48,6,0)</f>
        <v>0</v>
      </c>
      <c r="G11" s="91"/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IFERROR(VLOOKUP(A11,[7]TONTSEPT25!$A$6:$R$41,12,0),0)</f>
        <v>0</v>
      </c>
      <c r="Q11" s="2">
        <f>IFERROR(VLOOKUP(A11,[8]TONTSEPT25!$A$6:$R$38,10,0),0)</f>
        <v>0</v>
      </c>
      <c r="R11" s="2">
        <f>IFERROR(VLOOKUP(A11,[9]TONTSEPT25!$A$6:$R$42,10,0),0)</f>
        <v>0</v>
      </c>
      <c r="S11" s="20"/>
      <c r="T11" s="12"/>
      <c r="U11" s="17">
        <f t="shared" si="9"/>
        <v>150000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>
        <v>200000</v>
      </c>
      <c r="AL11" s="12"/>
      <c r="AM11" s="12"/>
      <c r="AN11" s="12">
        <v>3500</v>
      </c>
      <c r="AO11" s="12"/>
      <c r="AP11" s="12"/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200000</v>
      </c>
      <c r="AZ11" s="16">
        <f t="shared" si="14"/>
        <v>200000</v>
      </c>
      <c r="BA11" s="58"/>
      <c r="BB11" s="58"/>
      <c r="BC11" s="15">
        <f t="shared" si="5"/>
        <v>0</v>
      </c>
      <c r="BD11" s="57">
        <f t="shared" si="15"/>
        <v>200000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VLOOKUP($A12,[6]HISTOBQUESEPT25!$A$6:$H$48,5,0)</f>
        <v>361000</v>
      </c>
      <c r="E12" s="91">
        <f>VLOOKUP($A12,[6]HISTOBQUESEPT25!$A$6:$H$48,4,0)</f>
        <v>0</v>
      </c>
      <c r="F12" s="91">
        <f>VLOOKUP($A12,[6]HISTOBQUESEPT25!$A$6:$H$48,6,0)</f>
        <v>0</v>
      </c>
      <c r="G12" s="91">
        <v>10000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IFERROR(VLOOKUP(A12,[7]TONTSEPT25!$A$6:$R$41,12,0),0)</f>
        <v>0</v>
      </c>
      <c r="Q12" s="2">
        <f>IFERROR(VLOOKUP(A12,[8]TONTSEPT25!$A$6:$R$38,10,0),0)</f>
        <v>0</v>
      </c>
      <c r="R12" s="2">
        <f>IFERROR(VLOOKUP(A12,[9]TONTSEPT25!$A$6:$R$42,10,0),0)</f>
        <v>101000</v>
      </c>
      <c r="S12" s="20"/>
      <c r="T12" s="12"/>
      <c r="U12" s="17">
        <f t="shared" si="9"/>
        <v>361000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/>
      <c r="AD12" s="12"/>
      <c r="AE12" s="12">
        <v>15000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7"/>
        <v>35000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1185000</v>
      </c>
      <c r="AZ12" s="16">
        <f t="shared" si="14"/>
        <v>1185000</v>
      </c>
      <c r="BA12" s="58"/>
      <c r="BB12" s="58"/>
      <c r="BC12" s="15">
        <f t="shared" si="5"/>
        <v>0</v>
      </c>
      <c r="BD12" s="57">
        <f t="shared" si="15"/>
        <v>1185000</v>
      </c>
      <c r="BE12" s="82"/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VLOOKUP($A13,[6]HISTOBQUESEPT25!$A$6:$H$48,5,0)</f>
        <v>50000</v>
      </c>
      <c r="E13" s="91">
        <f>VLOOKUP($A13,[6]HISTOBQUESEPT25!$A$6:$H$48,4,0)</f>
        <v>0</v>
      </c>
      <c r="F13" s="91">
        <f>VLOOKUP($A13,[6]HISTOBQUESEPT25!$A$6:$H$48,6,0)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IFERROR(VLOOKUP(A13,[7]TONTSEPT25!$A$6:$R$41,12,0),0)</f>
        <v>0</v>
      </c>
      <c r="Q13" s="2">
        <f>IFERROR(VLOOKUP(A13,[8]TONTSEPT25!$A$6:$R$38,10,0),0)</f>
        <v>0</v>
      </c>
      <c r="R13" s="2">
        <f>IFERROR(VLOOKUP(A13,[9]TONTSEPT25!$A$6:$R$42,10,0),0)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12000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VLOOKUP($A14,[6]HISTOBQUESEPT25!$A$6:$H$48,5,0)</f>
        <v>50000</v>
      </c>
      <c r="E14" s="91">
        <f>VLOOKUP($A14,[6]HISTOBQUESEPT25!$A$6:$H$48,4,0)</f>
        <v>0</v>
      </c>
      <c r="F14" s="91">
        <f>VLOOKUP($A14,[6]HISTOBQUESEPT25!$A$6:$H$48,6,0)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IFERROR(VLOOKUP(A14,[7]TONTSEPT25!$A$6:$R$41,12,0),0)</f>
        <v>0</v>
      </c>
      <c r="Q14" s="2">
        <f>IFERROR(VLOOKUP(A14,[8]TONTSEPT25!$A$6:$R$38,10,0),0)</f>
        <v>0</v>
      </c>
      <c r="R14" s="2">
        <f>IFERROR(VLOOKUP(A14,[9]TONTSEPT25!$A$6:$R$42,10,0),0)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VLOOKUP($A15,[6]HISTOBQUESEPT25!$A$6:$H$48,5,0)</f>
        <v>150000</v>
      </c>
      <c r="E15" s="91">
        <f>VLOOKUP($A15,[6]HISTOBQUESEPT25!$A$6:$H$48,4,0)</f>
        <v>0</v>
      </c>
      <c r="F15" s="91">
        <f>VLOOKUP($A15,[6]HISTOBQUESEPT25!$A$6:$H$48,6,0)</f>
        <v>800000</v>
      </c>
      <c r="G15" s="91">
        <v>800000</v>
      </c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IFERROR(VLOOKUP(A15,[7]TONTSEPT25!$A$6:$R$41,12,0),0)</f>
        <v>0</v>
      </c>
      <c r="Q15" s="2">
        <f>IFERROR(VLOOKUP(A15,[8]TONTSEPT25!$A$6:$R$38,10,0),0)</f>
        <v>0</v>
      </c>
      <c r="R15" s="2">
        <f>IFERROR(VLOOKUP(A15,[9]TONTSEPT25!$A$6:$R$42,10,0),0)</f>
        <v>0</v>
      </c>
      <c r="S15" s="20"/>
      <c r="T15" s="12"/>
      <c r="U15" s="17">
        <f t="shared" si="9"/>
        <v>950000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>
        <v>15000</v>
      </c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7"/>
        <v>825000</v>
      </c>
      <c r="AT15" s="15">
        <v>120000</v>
      </c>
      <c r="AV15" s="15"/>
      <c r="AW15" s="15">
        <f t="shared" si="11"/>
        <v>0</v>
      </c>
      <c r="AX15" s="15">
        <f t="shared" si="12"/>
        <v>0</v>
      </c>
      <c r="AY15" s="15">
        <f t="shared" si="13"/>
        <v>1185000</v>
      </c>
      <c r="AZ15" s="16">
        <f>SUM(AV15:AY15)-BF15+Z15+BH15+BI15+BJ15+BK15+BL15+BM15+BN15-800000-120000-75000-100000</f>
        <v>90000</v>
      </c>
      <c r="BA15" s="58">
        <v>90000</v>
      </c>
      <c r="BB15" s="58">
        <f>75000+100000</f>
        <v>175000</v>
      </c>
      <c r="BC15" s="15">
        <f t="shared" si="5"/>
        <v>800000</v>
      </c>
      <c r="BD15" s="57"/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VLOOKUP($A16,[6]HISTOBQUESEPT25!$A$6:$H$48,5,0)</f>
        <v>125000</v>
      </c>
      <c r="E16" s="91">
        <f>VLOOKUP($A16,[6]HISTOBQUESEPT25!$A$6:$H$48,4,0)</f>
        <v>0</v>
      </c>
      <c r="F16" s="91">
        <f>VLOOKUP($A16,[6]HISTOBQUESEPT25!$A$6:$H$48,6,0)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IFERROR(VLOOKUP(A16,[7]TONTSEPT25!$A$6:$R$41,12,0),0)</f>
        <v>0</v>
      </c>
      <c r="Q16" s="2">
        <f>IFERROR(VLOOKUP(A16,[8]TONTSEPT25!$A$6:$R$38,10,0),0)</f>
        <v>0</v>
      </c>
      <c r="R16" s="2">
        <f>IFERROR(VLOOKUP(A16,[9]TONTSEPT25!$A$6:$R$42,10,0),0)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>
        <v>8500</v>
      </c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891500</v>
      </c>
      <c r="AY16" s="15">
        <f t="shared" si="13"/>
        <v>0</v>
      </c>
      <c r="AZ16" s="16">
        <f t="shared" si="14"/>
        <v>891500</v>
      </c>
      <c r="BA16" s="58"/>
      <c r="BB16" s="58"/>
      <c r="BC16" s="15">
        <f t="shared" si="5"/>
        <v>0</v>
      </c>
      <c r="BD16" s="57">
        <f t="shared" si="15"/>
        <v>891500</v>
      </c>
      <c r="BE16" s="82"/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VLOOKUP($A17,[6]HISTOBQUESEPT25!$A$6:$H$48,5,0)</f>
        <v>484000</v>
      </c>
      <c r="E17" s="91">
        <f>VLOOKUP($A17,[6]HISTOBQUESEPT25!$A$6:$H$48,4,0)</f>
        <v>0</v>
      </c>
      <c r="F17" s="91">
        <f>VLOOKUP($A17,[6]HISTOBQUESEPT25!$A$6:$H$48,6,0)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IFERROR(VLOOKUP(A17,[7]TONTSEPT25!$A$6:$R$41,12,0),0)</f>
        <v>0</v>
      </c>
      <c r="Q17" s="2">
        <f>IFERROR(VLOOKUP(A17,[8]TONTSEPT25!$A$6:$R$38,10,0),0)</f>
        <v>0</v>
      </c>
      <c r="R17" s="2">
        <f>IFERROR(VLOOKUP(A17,[9]TONTSEPT25!$A$6:$R$42,10,0),0)</f>
        <v>234000</v>
      </c>
      <c r="S17" s="20"/>
      <c r="T17" s="12"/>
      <c r="U17" s="17">
        <f t="shared" si="9"/>
        <v>484000</v>
      </c>
      <c r="V17" s="12"/>
      <c r="W17" s="12"/>
      <c r="X17" s="12"/>
      <c r="Y17" s="92">
        <f t="shared" si="10"/>
        <v>225000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>
        <v>100000</v>
      </c>
      <c r="AK17" s="12"/>
      <c r="AL17" s="12"/>
      <c r="AM17" s="12">
        <v>1500</v>
      </c>
      <c r="AN17" s="12"/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0</v>
      </c>
      <c r="AX17" s="15">
        <f t="shared" si="12"/>
        <v>100000</v>
      </c>
      <c r="AY17" s="15">
        <f t="shared" si="13"/>
        <v>0</v>
      </c>
      <c r="AZ17" s="16">
        <f t="shared" si="14"/>
        <v>100000</v>
      </c>
      <c r="BA17" s="58"/>
      <c r="BB17" s="58"/>
      <c r="BC17" s="15">
        <f t="shared" si="5"/>
        <v>0</v>
      </c>
      <c r="BD17" s="57">
        <f t="shared" si="15"/>
        <v>100000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O17" s="62" t="s">
        <v>142</v>
      </c>
      <c r="BQ17" s="62">
        <f>SUM(BQ6:BQ16)</f>
        <v>12000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VLOOKUP($A18,[6]HISTOBQUESEPT25!$A$6:$H$48,5,0)</f>
        <v>150000</v>
      </c>
      <c r="E18" s="91">
        <f>VLOOKUP($A18,[6]HISTOBQUESEPT25!$A$6:$H$48,4,0)</f>
        <v>0</v>
      </c>
      <c r="F18" s="91">
        <f>VLOOKUP($A18,[6]HISTOBQUESEPT25!$A$6:$H$48,6,0)</f>
        <v>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IFERROR(VLOOKUP(A18,[7]TONTSEPT25!$A$6:$R$41,12,0),0)</f>
        <v>0</v>
      </c>
      <c r="Q18" s="2">
        <f>IFERROR(VLOOKUP(A18,[8]TONTSEPT25!$A$6:$R$38,10,0),0)</f>
        <v>0</v>
      </c>
      <c r="R18" s="2">
        <f>IFERROR(VLOOKUP(A18,[9]TONTSEPT25!$A$6:$R$42,10,0),0)</f>
        <v>0</v>
      </c>
      <c r="S18" s="20"/>
      <c r="T18" s="12"/>
      <c r="U18" s="17">
        <f t="shared" si="9"/>
        <v>150000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>
        <f>F18</f>
        <v>0</v>
      </c>
      <c r="BD18" s="57">
        <f t="shared" si="15"/>
        <v>0</v>
      </c>
      <c r="BE18" s="82"/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0</v>
      </c>
      <c r="D19" s="9">
        <f>VLOOKUP($A19,[6]HISTOBQUESEPT25!$A$6:$H$48,5,0)</f>
        <v>641000</v>
      </c>
      <c r="E19" s="91">
        <f>VLOOKUP($A19,[6]HISTOBQUESEPT25!$A$6:$H$48,4,0)</f>
        <v>30500</v>
      </c>
      <c r="F19" s="91">
        <f>VLOOKUP($A19,[6]HISTOBQUESEPT25!$A$6:$H$48,6,0)</f>
        <v>0</v>
      </c>
      <c r="G19" s="91">
        <v>10000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IFERROR(VLOOKUP(A19,[7]TONTSEPT25!$A$6:$R$41,12,0),0)</f>
        <v>30500</v>
      </c>
      <c r="Q19" s="2">
        <f>IFERROR(VLOOKUP(A19,[8]TONTSEPT25!$A$6:$R$38,10,0),0)</f>
        <v>203000</v>
      </c>
      <c r="R19" s="2">
        <f>IFERROR(VLOOKUP(A19,[9]TONTSEPT25!$A$6:$R$42,10,0),0)</f>
        <v>203000</v>
      </c>
      <c r="S19" s="20"/>
      <c r="T19" s="12"/>
      <c r="U19" s="17">
        <f t="shared" si="9"/>
        <v>671500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>
        <v>100000</v>
      </c>
      <c r="AK19" s="12">
        <v>100000</v>
      </c>
      <c r="AL19" s="12"/>
      <c r="AM19" s="12">
        <v>1000</v>
      </c>
      <c r="AN19" s="12">
        <v>1000</v>
      </c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35000</v>
      </c>
      <c r="AT19" s="15"/>
      <c r="AV19" s="15"/>
      <c r="AW19" s="15">
        <f t="shared" si="11"/>
        <v>0</v>
      </c>
      <c r="AX19" s="15">
        <f t="shared" si="12"/>
        <v>100000</v>
      </c>
      <c r="AY19" s="15">
        <f t="shared" si="13"/>
        <v>100000</v>
      </c>
      <c r="AZ19" s="16">
        <f t="shared" si="14"/>
        <v>200000</v>
      </c>
      <c r="BA19" s="58">
        <v>100000</v>
      </c>
      <c r="BB19" s="58"/>
      <c r="BC19" s="15">
        <f t="shared" ref="BC19:BC42" si="18">F19</f>
        <v>0</v>
      </c>
      <c r="BD19" s="57">
        <f t="shared" si="15"/>
        <v>100000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/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VLOOKUP($A21,[6]HISTOBQUESEPT25!$A$6:$H$48,5,0)</f>
        <v>50000</v>
      </c>
      <c r="E21" s="91">
        <f>VLOOKUP($A21,[6]HISTOBQUESEPT25!$A$6:$H$48,4,0)</f>
        <v>0</v>
      </c>
      <c r="F21" s="91">
        <f>VLOOKUP($A21,[6]HISTOBQUESEPT25!$A$6:$H$48,6,0)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IFERROR(VLOOKUP(A21,[7]TONTSEPT25!$A$6:$R$41,12,0),0)</f>
        <v>0</v>
      </c>
      <c r="Q21" s="2">
        <f>IFERROR(VLOOKUP(A21,[8]TONTSEPT25!$A$6:$R$38,10,0),0)</f>
        <v>0</v>
      </c>
      <c r="R21" s="2">
        <f>IFERROR(VLOOKUP(A21,[9]TONTSEPT25!$A$6:$R$42,10,0),0)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297500</v>
      </c>
      <c r="AX21" s="15">
        <f t="shared" si="12"/>
        <v>0</v>
      </c>
      <c r="AY21" s="15">
        <f t="shared" si="13"/>
        <v>0</v>
      </c>
      <c r="AZ21" s="16">
        <f t="shared" si="14"/>
        <v>297500</v>
      </c>
      <c r="BA21" s="58">
        <v>15000</v>
      </c>
      <c r="BB21" s="58"/>
      <c r="BC21" s="15">
        <f t="shared" si="18"/>
        <v>0</v>
      </c>
      <c r="BD21" s="57">
        <f t="shared" si="15"/>
        <v>282500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0</v>
      </c>
      <c r="D22" s="9">
        <f>VLOOKUP($A22,[6]HISTOBQUESEPT25!$A$6:$H$48,5,0)</f>
        <v>471000</v>
      </c>
      <c r="E22" s="91">
        <f>VLOOKUP($A22,[6]HISTOBQUESEPT25!$A$6:$H$48,4,0)</f>
        <v>261000</v>
      </c>
      <c r="F22" s="91">
        <f>VLOOKUP($A22,[6]HISTOBQUESEPT25!$A$6:$H$48,6,0)</f>
        <v>0</v>
      </c>
      <c r="G22" s="91"/>
      <c r="H22" s="5">
        <f>IF(I22="ESPECES",3000,0)+3000</f>
        <v>3000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IFERROR(VLOOKUP(A22,[7]TONTSEPT25!$A$6:$R$41,12,0),0)</f>
        <v>0</v>
      </c>
      <c r="Q22" s="2">
        <f>IFERROR(VLOOKUP(A22,[8]TONTSEPT25!$A$6:$R$38,10,0),0)</f>
        <v>202000</v>
      </c>
      <c r="R22" s="2">
        <f>IFERROR(VLOOKUP(A22,[9]TONTSEPT25!$A$6:$R$42,10,0),0)</f>
        <v>202000</v>
      </c>
      <c r="S22" s="20"/>
      <c r="T22" s="12"/>
      <c r="U22" s="17">
        <f t="shared" si="9"/>
        <v>732000</v>
      </c>
      <c r="V22" s="12"/>
      <c r="W22" s="12"/>
      <c r="X22" s="12"/>
      <c r="Y22" s="92">
        <f t="shared" si="10"/>
        <v>325000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>
        <f>100000+100000</f>
        <v>200000</v>
      </c>
      <c r="AK22" s="12">
        <v>100000</v>
      </c>
      <c r="AL22" s="12"/>
      <c r="AM22" s="12">
        <v>2000</v>
      </c>
      <c r="AN22" s="12">
        <v>1000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0</v>
      </c>
      <c r="AX22" s="15">
        <f t="shared" si="12"/>
        <v>200000</v>
      </c>
      <c r="AY22" s="15">
        <f t="shared" si="13"/>
        <v>100000</v>
      </c>
      <c r="AZ22" s="16">
        <f t="shared" si="14"/>
        <v>300000</v>
      </c>
      <c r="BA22" s="58">
        <v>200000</v>
      </c>
      <c r="BB22" s="58"/>
      <c r="BC22" s="15">
        <f t="shared" si="18"/>
        <v>0</v>
      </c>
      <c r="BD22" s="57">
        <f t="shared" si="15"/>
        <v>100000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VLOOKUP($A23,[6]HISTOBQUESEPT25!$A$6:$H$48,5,0)</f>
        <v>50000</v>
      </c>
      <c r="E23" s="91">
        <f>VLOOKUP($A23,[6]HISTOBQUESEPT25!$A$6:$H$48,4,0)</f>
        <v>0</v>
      </c>
      <c r="F23" s="91">
        <f>VLOOKUP($A23,[6]HISTOBQUESEPT25!$A$6:$H$48,6,0)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IFERROR(VLOOKUP(A23,[7]TONTSEPT25!$A$6:$R$41,12,0),0)</f>
        <v>0</v>
      </c>
      <c r="Q23" s="2">
        <f>IFERROR(VLOOKUP(A23,[8]TONTSEPT25!$A$6:$R$38,10,0),0)</f>
        <v>0</v>
      </c>
      <c r="R23" s="2">
        <f>IFERROR(VLOOKUP(A23,[9]TONTSEPT25!$A$6:$R$42,10,0),0)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100000</v>
      </c>
      <c r="BA23" s="58"/>
      <c r="BB23" s="58"/>
      <c r="BC23" s="15">
        <f t="shared" si="18"/>
        <v>0</v>
      </c>
      <c r="BD23" s="57">
        <f t="shared" si="15"/>
        <v>100000</v>
      </c>
      <c r="BE23" s="82"/>
      <c r="BF23" s="29">
        <f t="shared" si="6"/>
        <v>0</v>
      </c>
      <c r="BG23" s="29">
        <v>3</v>
      </c>
      <c r="BH23" s="15"/>
      <c r="BI23" s="15"/>
      <c r="BJ23" s="15"/>
      <c r="BK23" s="15">
        <v>100000</v>
      </c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VLOOKUP($A24,[6]HISTOBQUESEPT25!$A$6:$H$48,5,0)</f>
        <v>125000</v>
      </c>
      <c r="E24" s="91">
        <f>VLOOKUP($A24,[6]HISTOBQUESEPT25!$A$6:$H$48,4,0)</f>
        <v>0</v>
      </c>
      <c r="F24" s="91">
        <f>VLOOKUP($A24,[6]HISTOBQUESEPT25!$A$6:$H$48,6,0)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IFERROR(VLOOKUP(A24,[7]TONTSEPT25!$A$6:$R$41,12,0),0)</f>
        <v>0</v>
      </c>
      <c r="Q24" s="2">
        <f>IFERROR(VLOOKUP(A24,[8]TONTSEPT25!$A$6:$R$38,10,0),0)</f>
        <v>0</v>
      </c>
      <c r="R24" s="2">
        <f>IFERROR(VLOOKUP(A24,[9]TONTSEPT25!$A$6:$R$42,10,0),0)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0</v>
      </c>
      <c r="BA24" s="58"/>
      <c r="BB24" s="58"/>
      <c r="BC24" s="15">
        <f t="shared" si="18"/>
        <v>0</v>
      </c>
      <c r="BD24" s="57">
        <f t="shared" si="15"/>
        <v>0</v>
      </c>
      <c r="BE24" s="82"/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VLOOKUP($A25,[6]HISTOBQUESEPT25!$A$6:$H$48,5,0)</f>
        <v>462000</v>
      </c>
      <c r="E25" s="91">
        <f>VLOOKUP($A25,[6]HISTOBQUESEPT25!$A$6:$H$48,4,0)</f>
        <v>0</v>
      </c>
      <c r="F25" s="91">
        <f>VLOOKUP($A25,[6]HISTOBQUESEPT25!$A$6:$H$48,6,0)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IFERROR(VLOOKUP(A25,[7]TONTSEPT25!$A$6:$R$41,12,0),0)</f>
        <v>0</v>
      </c>
      <c r="Q25" s="2">
        <f>IFERROR(VLOOKUP(A25,[8]TONTSEPT25!$A$6:$R$38,10,0),0)</f>
        <v>0</v>
      </c>
      <c r="R25" s="2">
        <f>IFERROR(VLOOKUP(A25,[9]TONTSEPT25!$A$6:$R$42,10,0),0)</f>
        <v>202000</v>
      </c>
      <c r="S25" s="20"/>
      <c r="T25" s="12"/>
      <c r="U25" s="17">
        <f t="shared" si="9"/>
        <v>462000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2500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4"/>
        <v>100000</v>
      </c>
      <c r="BA25" s="58"/>
      <c r="BB25" s="58"/>
      <c r="BC25" s="15">
        <f t="shared" si="18"/>
        <v>0</v>
      </c>
      <c r="BD25" s="57">
        <f t="shared" si="15"/>
        <v>100000</v>
      </c>
      <c r="BE25" s="82"/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VLOOKUP($A26,[6]HISTOBQUESEPT25!$A$6:$H$48,5,0)</f>
        <v>52500</v>
      </c>
      <c r="E26" s="91">
        <f>VLOOKUP($A26,[6]HISTOBQUESEPT25!$A$6:$H$48,4,0)</f>
        <v>240000</v>
      </c>
      <c r="F26" s="91">
        <f>VLOOKUP($A26,[6]HISTOBQUESEPT25!$A$6:$H$48,6,0)</f>
        <v>0</v>
      </c>
      <c r="G26" s="91">
        <v>12000</v>
      </c>
      <c r="H26" s="5">
        <f>IF(I26="ESPECES",3000,0)+3000</f>
        <v>3000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IFERROR(VLOOKUP(A26,[7]TONTSEPT25!$A$6:$R$41,12,0),0)</f>
        <v>0</v>
      </c>
      <c r="Q26" s="2">
        <f>IFERROR(VLOOKUP(A26,[8]TONTSEPT25!$A$6:$R$38,10,0),0)</f>
        <v>52500</v>
      </c>
      <c r="R26" s="2">
        <f>IFERROR(VLOOKUP(A26,[9]TONTSEPT25!$A$6:$R$42,10,0),0)</f>
        <v>0</v>
      </c>
      <c r="S26" s="20"/>
      <c r="T26" s="12"/>
      <c r="U26" s="17">
        <f t="shared" si="9"/>
        <v>292500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>
        <v>100000</v>
      </c>
      <c r="AK26" s="12"/>
      <c r="AL26" s="12"/>
      <c r="AM26" s="12">
        <v>1000</v>
      </c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37000</v>
      </c>
      <c r="AT26" s="15"/>
      <c r="AV26" s="15"/>
      <c r="AW26" s="15">
        <f t="shared" si="11"/>
        <v>0</v>
      </c>
      <c r="AX26" s="15">
        <f t="shared" si="12"/>
        <v>100000</v>
      </c>
      <c r="AY26" s="15">
        <f>IF(AE26=0,AK26,(1*100000*12)+(AK26)-AE26)</f>
        <v>0</v>
      </c>
      <c r="AZ26" s="16">
        <f t="shared" si="14"/>
        <v>100000</v>
      </c>
      <c r="BA26" s="58">
        <v>100000</v>
      </c>
      <c r="BB26" s="58"/>
      <c r="BC26" s="15">
        <f t="shared" si="18"/>
        <v>0</v>
      </c>
      <c r="BD26" s="57">
        <f t="shared" si="15"/>
        <v>0</v>
      </c>
      <c r="BE26" s="82"/>
      <c r="BF26" s="29">
        <f t="shared" si="6"/>
        <v>0</v>
      </c>
      <c r="BG26" s="29">
        <v>3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VLOOKUP($A27,[6]HISTOBQUESEPT25!$A$6:$H$48,5,0)</f>
        <v>350000</v>
      </c>
      <c r="E27" s="91">
        <f>VLOOKUP($A27,[6]HISTOBQUESEPT25!$A$6:$H$48,4,0)</f>
        <v>0</v>
      </c>
      <c r="F27" s="91">
        <f>VLOOKUP($A27,[6]HISTOBQUESEPT25!$A$6:$H$48,6,0)</f>
        <v>0</v>
      </c>
      <c r="G27" s="91">
        <v>-1000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IFERROR(VLOOKUP(A27,[7]TONTSEPT25!$A$6:$R$41,12,0),0)</f>
        <v>0</v>
      </c>
      <c r="Q27" s="2">
        <f>IFERROR(VLOOKUP(A27,[8]TONTSEPT25!$A$6:$R$38,10,0),0)</f>
        <v>0</v>
      </c>
      <c r="R27" s="2">
        <f>IFERROR(VLOOKUP(A27,[9]TONTSEPT25!$A$6:$R$42,10,0),0)</f>
        <v>101000</v>
      </c>
      <c r="S27" s="20"/>
      <c r="T27" s="12"/>
      <c r="U27" s="17">
        <f t="shared" si="9"/>
        <v>350000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v>200000</v>
      </c>
      <c r="AL27" s="12"/>
      <c r="AM27" s="12"/>
      <c r="AN27" s="12">
        <v>5000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24000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200000</v>
      </c>
      <c r="AZ27" s="16">
        <f t="shared" si="14"/>
        <v>200000</v>
      </c>
      <c r="BA27" s="58"/>
      <c r="BB27" s="58"/>
      <c r="BC27" s="15">
        <f t="shared" si="18"/>
        <v>0</v>
      </c>
      <c r="BD27" s="57">
        <f t="shared" si="15"/>
        <v>200000</v>
      </c>
      <c r="BE27" s="82"/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VLOOKUP($A28,[6]HISTOBQUESEPT25!$A$6:$H$48,5,0)</f>
        <v>50000</v>
      </c>
      <c r="E28" s="91">
        <f>VLOOKUP($A28,[6]HISTOBQUESEPT25!$A$6:$H$48,4,0)</f>
        <v>0</v>
      </c>
      <c r="F28" s="91">
        <f>VLOOKUP($A28,[6]HISTOBQUESEPT25!$A$6:$H$48,6,0)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IFERROR(VLOOKUP(A28,[7]TONTSEPT25!$A$6:$R$41,12,0),0)</f>
        <v>0</v>
      </c>
      <c r="Q28" s="2">
        <f>IFERROR(VLOOKUP(A28,[8]TONTSEPT25!$A$6:$R$38,10,0),0)</f>
        <v>0</v>
      </c>
      <c r="R28" s="2">
        <f>IFERROR(VLOOKUP(A28,[9]TONTSEPT25!$A$6:$R$42,10,0),0)</f>
        <v>0</v>
      </c>
      <c r="S28" s="20"/>
      <c r="T28" s="12"/>
      <c r="U28" s="17">
        <f t="shared" si="9"/>
        <v>50000</v>
      </c>
      <c r="V28" s="12"/>
      <c r="W28" s="12"/>
      <c r="X28" s="12"/>
      <c r="Y28" s="92">
        <f t="shared" si="10"/>
        <v>50000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>
        <f t="shared" si="18"/>
        <v>0</v>
      </c>
      <c r="BD28" s="57">
        <f t="shared" si="15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VLOOKUP($A29,[6]HISTOBQUESEPT25!$A$6:$H$48,5,0)</f>
        <v>50000</v>
      </c>
      <c r="E29" s="91">
        <f>VLOOKUP($A29,[6]HISTOBQUESEPT25!$A$6:$H$48,4,0)</f>
        <v>0</v>
      </c>
      <c r="F29" s="91">
        <f>VLOOKUP($A29,[6]HISTOBQUESEPT25!$A$6:$H$48,6,0)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IFERROR(VLOOKUP(A29,[7]TONTSEPT25!$A$6:$R$41,12,0),0)</f>
        <v>0</v>
      </c>
      <c r="Q29" s="2">
        <f>IFERROR(VLOOKUP(A29,[8]TONTSEPT25!$A$6:$R$38,10,0),0)</f>
        <v>0</v>
      </c>
      <c r="R29" s="2">
        <f>IFERROR(VLOOKUP(A29,[9]TONTSEPT25!$A$6:$R$42,10,0),0)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297500</v>
      </c>
      <c r="AX29" s="15">
        <f t="shared" si="12"/>
        <v>0</v>
      </c>
      <c r="AY29" s="15">
        <f t="shared" si="13"/>
        <v>0</v>
      </c>
      <c r="AZ29" s="16">
        <f t="shared" si="14"/>
        <v>297500</v>
      </c>
      <c r="BA29" s="58">
        <v>297500</v>
      </c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VLOOKUP($A30,[6]HISTOBQUESEPT25!$A$6:$H$48,5,0)</f>
        <v>125000</v>
      </c>
      <c r="E30" s="91">
        <f>VLOOKUP($A30,[6]HISTOBQUESEPT25!$A$6:$H$48,4,0)</f>
        <v>0</v>
      </c>
      <c r="F30" s="91">
        <f>VLOOKUP($A30,[6]HISTOBQUESEPT25!$A$6:$H$48,6,0)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IFERROR(VLOOKUP(A30,[7]TONTSEPT25!$A$6:$R$41,12,0),0)</f>
        <v>0</v>
      </c>
      <c r="Q30" s="2">
        <f>IFERROR(VLOOKUP(A30,[8]TONTSEPT25!$A$6:$R$38,10,0),0)</f>
        <v>0</v>
      </c>
      <c r="R30" s="2">
        <f>IFERROR(VLOOKUP(A30,[9]TONTSEPT25!$A$6:$R$42,10,0),0)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>
        <v>2500</v>
      </c>
      <c r="AD30" s="12"/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297500</v>
      </c>
      <c r="AX30" s="15">
        <f t="shared" si="12"/>
        <v>0</v>
      </c>
      <c r="AY30" s="15">
        <f t="shared" si="13"/>
        <v>0</v>
      </c>
      <c r="AZ30" s="16">
        <f t="shared" si="14"/>
        <v>297500</v>
      </c>
      <c r="BA30" s="58"/>
      <c r="BB30" s="58"/>
      <c r="BC30" s="15">
        <f t="shared" si="18"/>
        <v>0</v>
      </c>
      <c r="BD30" s="57">
        <f t="shared" si="15"/>
        <v>297500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-59000</v>
      </c>
      <c r="D31" s="9">
        <f>VLOOKUP($A31,[6]HISTOBQUESEPT25!$A$6:$H$48,5,0)</f>
        <v>50000</v>
      </c>
      <c r="E31" s="91">
        <f>VLOOKUP($A31,[6]HISTOBQUESEPT25!$A$6:$H$48,4,0)</f>
        <v>0</v>
      </c>
      <c r="F31" s="91">
        <f>VLOOKUP($A31,[6]HISTOBQUESEPT25!$A$6:$H$48,6,0)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IFERROR(VLOOKUP(A31,[7]TONTSEPT25!$A$6:$R$41,12,0),0)</f>
        <v>59000</v>
      </c>
      <c r="Q31" s="2">
        <f>IFERROR(VLOOKUP(A31,[8]TONTSEPT25!$A$6:$R$38,10,0),0)</f>
        <v>0</v>
      </c>
      <c r="R31" s="2">
        <f>IFERROR(VLOOKUP(A31,[9]TONTSEPT25!$A$6:$R$42,10,0),0)</f>
        <v>0</v>
      </c>
      <c r="S31" s="20"/>
      <c r="T31" s="12"/>
      <c r="U31" s="17">
        <f t="shared" si="9"/>
        <v>109000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59000</v>
      </c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59000</v>
      </c>
      <c r="AX31" s="15">
        <f t="shared" si="12"/>
        <v>0</v>
      </c>
      <c r="AY31" s="15">
        <f t="shared" si="13"/>
        <v>0</v>
      </c>
      <c r="AZ31" s="16">
        <f t="shared" si="14"/>
        <v>59000</v>
      </c>
      <c r="BA31" s="58"/>
      <c r="BB31" s="58"/>
      <c r="BC31" s="15">
        <f t="shared" si="18"/>
        <v>0</v>
      </c>
      <c r="BD31" s="57">
        <f t="shared" si="15"/>
        <v>59000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VLOOKUP($A32,[6]HISTOBQUESEPT25!$A$6:$H$48,5,0)</f>
        <v>250000</v>
      </c>
      <c r="E32" s="91">
        <f>VLOOKUP($A32,[6]HISTOBQUESEPT25!$A$6:$H$48,4,0)</f>
        <v>0</v>
      </c>
      <c r="F32" s="91">
        <f>VLOOKUP($A32,[6]HISTOBQUESEPT25!$A$6:$H$48,6,0)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IFERROR(VLOOKUP(A32,[7]TONTSEPT25!$A$6:$R$41,12,0),0)</f>
        <v>0</v>
      </c>
      <c r="Q32" s="2">
        <f>IFERROR(VLOOKUP(A32,[8]TONTSEPT25!$A$6:$R$38,10,0),0)</f>
        <v>0</v>
      </c>
      <c r="R32" s="2">
        <f>IFERROR(VLOOKUP(A32,[9]TONTSEPT25!$A$6:$R$42,10,0),0)</f>
        <v>0</v>
      </c>
      <c r="S32" s="20"/>
      <c r="T32" s="12"/>
      <c r="U32" s="17">
        <f t="shared" si="9"/>
        <v>250000</v>
      </c>
      <c r="V32" s="12"/>
      <c r="W32" s="12"/>
      <c r="X32" s="12"/>
      <c r="Y32" s="92">
        <f t="shared" si="10"/>
        <v>250000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>
        <v>200000</v>
      </c>
      <c r="AL32" s="12"/>
      <c r="AM32" s="12"/>
      <c r="AN32" s="12">
        <v>3500</v>
      </c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200000</v>
      </c>
      <c r="AZ32" s="16">
        <f t="shared" si="14"/>
        <v>200000</v>
      </c>
      <c r="BA32" s="58"/>
      <c r="BB32" s="58"/>
      <c r="BC32" s="15">
        <f t="shared" si="18"/>
        <v>0</v>
      </c>
      <c r="BD32" s="57">
        <f t="shared" si="15"/>
        <v>200000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VLOOKUP($A33,[6]HISTOBQUESEPT25!$A$6:$H$48,5,0)</f>
        <v>50000</v>
      </c>
      <c r="E33" s="91">
        <f>VLOOKUP($A33,[6]HISTOBQUESEPT25!$A$6:$H$48,4,0)</f>
        <v>0</v>
      </c>
      <c r="F33" s="91">
        <f>VLOOKUP($A33,[6]HISTOBQUESEPT25!$A$6:$H$48,6,0)</f>
        <v>0</v>
      </c>
      <c r="G33" s="91"/>
      <c r="H33" s="5">
        <f t="shared" si="16"/>
        <v>0</v>
      </c>
      <c r="I33" s="10" t="str">
        <f t="shared" si="0"/>
        <v>BANQUE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IFERROR(VLOOKUP(A33,[7]TONTSEPT25!$A$6:$R$41,12,0),0)</f>
        <v>0</v>
      </c>
      <c r="Q33" s="2">
        <f>IFERROR(VLOOKUP(A33,[8]TONTSEPT25!$A$6:$R$38,10,0),0)</f>
        <v>0</v>
      </c>
      <c r="R33" s="2">
        <f>IFERROR(VLOOKUP(A33,[9]TONTSEPT25!$A$6:$R$42,10,0),0)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VLOOKUP($A34,[6]HISTOBQUESEPT25!$A$6:$H$48,5,0)</f>
        <v>0</v>
      </c>
      <c r="E34" s="91">
        <f>VLOOKUP($A34,[6]HISTOBQUESEPT25!$A$6:$H$48,4,0)</f>
        <v>0</v>
      </c>
      <c r="F34" s="91">
        <f>VLOOKUP($A34,[6]HISTOBQUESEPT25!$A$6:$H$48,6,0)</f>
        <v>0</v>
      </c>
      <c r="G34" s="91"/>
      <c r="H34" s="5">
        <f t="shared" si="16"/>
        <v>0</v>
      </c>
      <c r="I34" s="10" t="str">
        <f t="shared" si="0"/>
        <v>ECHEC</v>
      </c>
      <c r="J34" s="11">
        <v>1</v>
      </c>
      <c r="K34" s="11">
        <f t="shared" si="8"/>
        <v>0</v>
      </c>
      <c r="L34" s="6"/>
      <c r="M34" s="11">
        <f t="shared" si="1"/>
        <v>0</v>
      </c>
      <c r="N34" s="6">
        <v>1</v>
      </c>
      <c r="O34" s="11">
        <f t="shared" si="2"/>
        <v>0</v>
      </c>
      <c r="P34" s="2">
        <f>IFERROR(VLOOKUP(A34,[7]TONTSEPT25!$A$6:$R$41,12,0),0)</f>
        <v>30500</v>
      </c>
      <c r="Q34" s="2">
        <f>IFERROR(VLOOKUP(A34,[8]TONTSEPT25!$A$6:$R$38,10,0),0)</f>
        <v>0</v>
      </c>
      <c r="R34" s="2">
        <f>IFERROR(VLOOKUP(A34,[9]TONTSEPT25!$A$6:$R$42,10,0),0)</f>
        <v>0</v>
      </c>
      <c r="S34" s="20"/>
      <c r="T34" s="12"/>
      <c r="U34" s="17">
        <f t="shared" si="9"/>
        <v>30500</v>
      </c>
      <c r="V34" s="12"/>
      <c r="W34" s="12"/>
      <c r="X34" s="12"/>
      <c r="Y34" s="92">
        <f t="shared" si="10"/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>
        <v>30500</v>
      </c>
      <c r="AJ34" s="12"/>
      <c r="AK34" s="12"/>
      <c r="AL34" s="12"/>
      <c r="AM34" s="12"/>
      <c r="AN34" s="12"/>
      <c r="AO34" s="12"/>
      <c r="AP34" s="12" t="s">
        <v>8</v>
      </c>
      <c r="AQ34" s="8">
        <f t="shared" si="3"/>
        <v>0</v>
      </c>
      <c r="AR34" s="8">
        <f t="shared" si="4"/>
        <v>0</v>
      </c>
      <c r="AS34" s="13">
        <f t="shared" si="17"/>
        <v>0</v>
      </c>
      <c r="AT34" s="15"/>
      <c r="AV34" s="15"/>
      <c r="AW34" s="15">
        <f t="shared" si="11"/>
        <v>30500</v>
      </c>
      <c r="AX34" s="15">
        <f t="shared" si="12"/>
        <v>0</v>
      </c>
      <c r="AY34" s="15">
        <f t="shared" si="13"/>
        <v>0</v>
      </c>
      <c r="AZ34" s="16">
        <f t="shared" si="14"/>
        <v>30500</v>
      </c>
      <c r="BA34" s="58"/>
      <c r="BB34" s="58"/>
      <c r="BC34" s="15">
        <f t="shared" si="18"/>
        <v>0</v>
      </c>
      <c r="BD34" s="57">
        <f t="shared" si="15"/>
        <v>30500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VLOOKUP($A35,[6]HISTOBQUESEPT25!$A$6:$H$48,5,0)</f>
        <v>327000</v>
      </c>
      <c r="E35" s="91">
        <f>VLOOKUP($A35,[6]HISTOBQUESEPT25!$A$6:$H$48,4,0)</f>
        <v>0</v>
      </c>
      <c r="F35" s="91">
        <f>VLOOKUP($A35,[6]HISTOBQUESEPT25!$A$6:$H$48,6,0)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IFERROR(VLOOKUP(A35,[7]TONTSEPT25!$A$6:$R$41,12,0),0)</f>
        <v>0</v>
      </c>
      <c r="Q35" s="2">
        <f>IFERROR(VLOOKUP(A35,[8]TONTSEPT25!$A$6:$R$38,10,0),0)</f>
        <v>202000</v>
      </c>
      <c r="R35" s="2">
        <f>IFERROR(VLOOKUP(A35,[9]TONTSEPT25!$A$6:$R$42,10,0),0)</f>
        <v>0</v>
      </c>
      <c r="S35" s="20"/>
      <c r="T35" s="12"/>
      <c r="U35" s="17">
        <f t="shared" si="9"/>
        <v>327000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>100000+100000</f>
        <v>200000</v>
      </c>
      <c r="AK35" s="12"/>
      <c r="AL35" s="12"/>
      <c r="AM35" s="12">
        <v>2500</v>
      </c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200000</v>
      </c>
      <c r="AY35" s="15">
        <f t="shared" si="13"/>
        <v>0</v>
      </c>
      <c r="AZ35" s="16">
        <f t="shared" si="14"/>
        <v>200000</v>
      </c>
      <c r="BA35" s="58"/>
      <c r="BB35" s="58"/>
      <c r="BC35" s="15">
        <f t="shared" si="18"/>
        <v>0</v>
      </c>
      <c r="BD35" s="57">
        <f t="shared" si="15"/>
        <v>200000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VLOOKUP($A36,[6]HISTOBQUESEPT25!$A$6:$H$48,5,0)</f>
        <v>150000</v>
      </c>
      <c r="E36" s="91">
        <f>VLOOKUP($A36,[6]HISTOBQUESEPT25!$A$6:$H$48,4,0)</f>
        <v>0</v>
      </c>
      <c r="F36" s="91">
        <f>VLOOKUP($A36,[6]HISTOBQUESEPT25!$A$6:$H$48,6,0)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IFERROR(VLOOKUP(A36,[7]TONTSEPT25!$A$6:$R$41,12,0),0)</f>
        <v>0</v>
      </c>
      <c r="Q36" s="2">
        <f>IFERROR(VLOOKUP(A36,[8]TONTSEPT25!$A$6:$R$38,10,0),0)</f>
        <v>0</v>
      </c>
      <c r="R36" s="2">
        <f>IFERROR(VLOOKUP(A36,[9]TONTSEPT25!$A$6:$R$42,10,0),0)</f>
        <v>0</v>
      </c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>
        <f t="shared" si="18"/>
        <v>0</v>
      </c>
      <c r="BD36" s="57">
        <f t="shared" si="15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VLOOKUP($A37,[6]HISTOBQUESEPT25!$A$6:$H$48,5,0)</f>
        <v>50000</v>
      </c>
      <c r="E37" s="91">
        <f>VLOOKUP($A37,[6]HISTOBQUESEPT25!$A$6:$H$48,4,0)</f>
        <v>0</v>
      </c>
      <c r="F37" s="91">
        <f>VLOOKUP($A37,[6]HISTOBQUESEPT25!$A$6:$H$48,6,0)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IFERROR(VLOOKUP(A37,[7]TONTSEPT25!$A$6:$R$41,12,0),0)</f>
        <v>0</v>
      </c>
      <c r="Q37" s="2">
        <f>IFERROR(VLOOKUP(A37,[8]TONTSEPT25!$A$6:$R$38,10,0),0)</f>
        <v>0</v>
      </c>
      <c r="R37" s="2">
        <f>IFERROR(VLOOKUP(A37,[9]TONTSEPT25!$A$6:$R$42,10,0),0)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3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VLOOKUP($A38,[6]HISTOBQUESEPT25!$A$6:$H$48,5,0)</f>
        <v>50000</v>
      </c>
      <c r="E38" s="91">
        <f>VLOOKUP($A38,[6]HISTOBQUESEPT25!$A$6:$H$48,4,0)</f>
        <v>0</v>
      </c>
      <c r="F38" s="91">
        <f>VLOOKUP($A38,[6]HISTOBQUESEPT25!$A$6:$H$48,6,0)</f>
        <v>0</v>
      </c>
      <c r="G38" s="91"/>
      <c r="H38" s="5">
        <f t="shared" si="16"/>
        <v>0</v>
      </c>
      <c r="I38" s="10" t="str">
        <f t="shared" si="0"/>
        <v>BANQUE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IFERROR(VLOOKUP(A38,[7]TONTSEPT25!$A$6:$R$41,12,0),0)</f>
        <v>0</v>
      </c>
      <c r="Q38" s="2">
        <f>IFERROR(VLOOKUP(A38,[8]TONTSEPT25!$A$6:$R$38,10,0),0)</f>
        <v>0</v>
      </c>
      <c r="R38" s="2">
        <f>IFERROR(VLOOKUP(A38,[9]TONTSEPT25!$A$6:$R$42,10,0),0)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3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VLOOKUP($A39,[6]HISTOBQUESEPT25!$A$6:$H$48,5,0)</f>
        <v>232000</v>
      </c>
      <c r="E39" s="91">
        <f>VLOOKUP($A39,[6]HISTOBQUESEPT25!$A$6:$H$48,4,0)</f>
        <v>0</v>
      </c>
      <c r="F39" s="91">
        <f>VLOOKUP($A39,[6]HISTOBQUESEPT25!$A$6:$H$48,6,0)</f>
        <v>0</v>
      </c>
      <c r="G39" s="91">
        <v>5000</v>
      </c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IFERROR(VLOOKUP(A39,[7]TONTSEPT25!$A$6:$R$41,12,0),0)</f>
        <v>0</v>
      </c>
      <c r="Q39" s="2">
        <f>IFERROR(VLOOKUP(A39,[8]TONTSEPT25!$A$6:$R$38,10,0),0)</f>
        <v>102000</v>
      </c>
      <c r="R39" s="2">
        <f>IFERROR(VLOOKUP(A39,[9]TONTSEPT25!$A$6:$R$42,10,0),0)</f>
        <v>0</v>
      </c>
      <c r="S39" s="20"/>
      <c r="T39" s="12"/>
      <c r="U39" s="17">
        <f t="shared" si="9"/>
        <v>232000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 t="s">
        <v>8</v>
      </c>
      <c r="AQ39" s="8">
        <f t="shared" si="3"/>
        <v>0</v>
      </c>
      <c r="AR39" s="8">
        <f t="shared" si="4"/>
        <v>0</v>
      </c>
      <c r="AS39" s="13">
        <f t="shared" si="17"/>
        <v>30000</v>
      </c>
      <c r="AT39" s="15"/>
      <c r="AV39" s="15"/>
      <c r="AW39" s="15">
        <f t="shared" si="11"/>
        <v>0</v>
      </c>
      <c r="AX39" s="15">
        <f t="shared" si="12"/>
        <v>0</v>
      </c>
      <c r="AY39" s="15">
        <f t="shared" si="13"/>
        <v>0</v>
      </c>
      <c r="AZ39" s="16">
        <f t="shared" si="14"/>
        <v>0</v>
      </c>
      <c r="BA39" s="58"/>
      <c r="BB39" s="58"/>
      <c r="BC39" s="15">
        <f t="shared" si="18"/>
        <v>0</v>
      </c>
      <c r="BD39" s="57">
        <f t="shared" si="15"/>
        <v>0</v>
      </c>
      <c r="BE39" s="82"/>
      <c r="BF39" s="29">
        <f t="shared" si="6"/>
        <v>0</v>
      </c>
      <c r="BG39" s="29">
        <v>3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VLOOKUP($A40,[6]HISTOBQUESEPT25!$A$6:$H$48,5,0)</f>
        <v>50000</v>
      </c>
      <c r="E40" s="91">
        <f>VLOOKUP($A40,[6]HISTOBQUESEPT25!$A$6:$H$48,4,0)</f>
        <v>0</v>
      </c>
      <c r="F40" s="91">
        <f>VLOOKUP($A40,[6]HISTOBQUESEPT25!$A$6:$H$48,6,0)</f>
        <v>0</v>
      </c>
      <c r="G40" s="91"/>
      <c r="H40" s="5">
        <f t="shared" si="16"/>
        <v>0</v>
      </c>
      <c r="I40" s="10" t="str">
        <f t="shared" si="0"/>
        <v>BANQUE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IFERROR(VLOOKUP(A40,[7]TONTSEPT25!$A$6:$R$41,12,0),0)</f>
        <v>0</v>
      </c>
      <c r="Q40" s="2">
        <f>IFERROR(VLOOKUP(A40,[8]TONTSEPT25!$A$6:$R$38,10,0),0)</f>
        <v>0</v>
      </c>
      <c r="R40" s="2">
        <f>IFERROR(VLOOKUP(A40,[9]TONTSEPT25!$A$6:$R$42,10,0),0)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3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VLOOKUP($A41,[6]HISTOBQUESEPT25!$A$6:$H$48,5,0)</f>
        <v>250000</v>
      </c>
      <c r="E41" s="91">
        <f>VLOOKUP($A41,[6]HISTOBQUESEPT25!$A$6:$H$48,4,0)</f>
        <v>0</v>
      </c>
      <c r="F41" s="91">
        <f>VLOOKUP($A41,[6]HISTOBQUESEPT25!$A$6:$H$48,6,0)</f>
        <v>0</v>
      </c>
      <c r="G41" s="91"/>
      <c r="H41" s="5">
        <f t="shared" si="16"/>
        <v>0</v>
      </c>
      <c r="I41" s="10" t="str">
        <f t="shared" si="0"/>
        <v>BANQUE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IFERROR(VLOOKUP(A41,[7]TONTSEPT25!$A$6:$R$41,12,0),0)</f>
        <v>0</v>
      </c>
      <c r="Q41" s="2">
        <f>IFERROR(VLOOKUP(A41,[8]TONTSEPT25!$A$6:$R$38,10,0),0)</f>
        <v>0</v>
      </c>
      <c r="R41" s="2">
        <f>IFERROR(VLOOKUP(A41,[9]TONTSEPT25!$A$6:$R$42,10,0),0)</f>
        <v>0</v>
      </c>
      <c r="S41" s="6"/>
      <c r="T41" s="12"/>
      <c r="U41" s="17">
        <f t="shared" si="9"/>
        <v>250000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18"/>
        <v>0</v>
      </c>
      <c r="BD41" s="57">
        <f t="shared" si="15"/>
        <v>0</v>
      </c>
      <c r="BE41" s="82"/>
      <c r="BF41" s="29">
        <f t="shared" si="6"/>
        <v>0</v>
      </c>
      <c r="BG41" s="29">
        <v>3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VLOOKUP($A42,[6]HISTOBQUESEPT25!$A$6:$H$48,5,0)</f>
        <v>225000</v>
      </c>
      <c r="E42" s="91">
        <f>VLOOKUP($A42,[6]HISTOBQUESEPT25!$A$6:$H$48,4,0)</f>
        <v>0</v>
      </c>
      <c r="F42" s="91">
        <f>VLOOKUP($A42,[6]HISTOBQUESEPT25!$A$6:$H$48,6,0)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IFERROR(VLOOKUP(A42,[7]TONTSEPT25!$A$6:$R$41,12,0),0)</f>
        <v>0</v>
      </c>
      <c r="Q42" s="2">
        <f>IFERROR(VLOOKUP(A42,[8]TONTSEPT25!$A$6:$R$38,10,0),0)</f>
        <v>0</v>
      </c>
      <c r="R42" s="2">
        <f>IFERROR(VLOOKUP(A42,[9]TONTSEPT25!$A$6:$R$42,10,0),0)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3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-59000</v>
      </c>
      <c r="D44" s="5">
        <f>SUM(D6:D43)</f>
        <v>6055500</v>
      </c>
      <c r="E44" s="5">
        <f>SUM(E6:E43)</f>
        <v>1024500</v>
      </c>
      <c r="F44" s="5">
        <f>SUM(F6:F43)</f>
        <v>800000</v>
      </c>
      <c r="G44" s="5">
        <f t="shared" ref="G44:S44" si="19">SUM(G6:G43)</f>
        <v>868000</v>
      </c>
      <c r="H44" s="5">
        <f t="shared" si="19"/>
        <v>9000</v>
      </c>
      <c r="I44" s="5">
        <f t="shared" si="19"/>
        <v>0</v>
      </c>
      <c r="J44" s="5">
        <f t="shared" si="19"/>
        <v>35</v>
      </c>
      <c r="K44" s="5">
        <f t="shared" si="19"/>
        <v>1700000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2300000</v>
      </c>
      <c r="P44" s="5">
        <f t="shared" si="19"/>
        <v>211500</v>
      </c>
      <c r="Q44" s="5">
        <f t="shared" si="19"/>
        <v>761500</v>
      </c>
      <c r="R44" s="5">
        <f t="shared" si="19"/>
        <v>1144500</v>
      </c>
      <c r="S44" s="5">
        <f t="shared" si="19"/>
        <v>0</v>
      </c>
      <c r="T44" s="5"/>
      <c r="U44" s="5">
        <f t="shared" ref="U44:AA44" si="20">SUM(U6:U43)</f>
        <v>7969500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4975000</v>
      </c>
      <c r="Z44" s="5">
        <f t="shared" si="20"/>
        <v>0</v>
      </c>
      <c r="AA44" s="5">
        <f t="shared" si="20"/>
        <v>0</v>
      </c>
      <c r="AB44" s="5"/>
      <c r="AC44" s="5">
        <f>SUM(AC6:AC43)</f>
        <v>10000</v>
      </c>
      <c r="AD44" s="5">
        <f>SUM(AD6:AD43)</f>
        <v>8500</v>
      </c>
      <c r="AE44" s="5">
        <f>SUM(AE6:AE43)</f>
        <v>30000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89500</v>
      </c>
      <c r="AJ44" s="5">
        <f t="shared" si="21"/>
        <v>800000</v>
      </c>
      <c r="AK44" s="5">
        <f t="shared" si="21"/>
        <v>1074500</v>
      </c>
      <c r="AL44" s="5">
        <f t="shared" si="21"/>
        <v>0</v>
      </c>
      <c r="AM44" s="5">
        <f t="shared" si="21"/>
        <v>9000</v>
      </c>
      <c r="AN44" s="5">
        <f t="shared" si="21"/>
        <v>18500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1718000</v>
      </c>
      <c r="AT44" s="5">
        <f t="shared" si="21"/>
        <v>120000</v>
      </c>
      <c r="AU44" s="5">
        <f t="shared" si="21"/>
        <v>0</v>
      </c>
      <c r="AV44" s="5">
        <f t="shared" si="21"/>
        <v>0</v>
      </c>
      <c r="AW44" s="5">
        <f t="shared" si="21"/>
        <v>1279500</v>
      </c>
      <c r="AX44" s="5">
        <f t="shared" si="21"/>
        <v>1691500</v>
      </c>
      <c r="AY44" s="5">
        <f t="shared" si="21"/>
        <v>3444500</v>
      </c>
      <c r="AZ44" s="5">
        <f t="shared" si="21"/>
        <v>5432500</v>
      </c>
      <c r="BA44" s="5">
        <f t="shared" si="21"/>
        <v>1077000</v>
      </c>
      <c r="BB44" s="5">
        <f t="shared" si="21"/>
        <v>175000</v>
      </c>
      <c r="BC44" s="5">
        <f t="shared" si="21"/>
        <v>800000</v>
      </c>
      <c r="BD44" s="5">
        <f t="shared" si="21"/>
        <v>4355500</v>
      </c>
      <c r="BE44" s="5">
        <f t="shared" si="21"/>
        <v>0</v>
      </c>
      <c r="BF44" s="5">
        <f t="shared" si="21"/>
        <v>0</v>
      </c>
      <c r="BH44" s="5">
        <f t="shared" ref="BH44:BL44" si="22">SUM(BH6:BH43)</f>
        <v>12000</v>
      </c>
      <c r="BI44" s="5">
        <f t="shared" si="22"/>
        <v>0</v>
      </c>
      <c r="BJ44" s="5">
        <f t="shared" si="22"/>
        <v>0</v>
      </c>
      <c r="BK44" s="5">
        <f t="shared" si="22"/>
        <v>100000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1024500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-52500</v>
      </c>
      <c r="BD47" s="14">
        <f>+BD46-BD44</f>
        <v>-4355500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4355500</v>
      </c>
      <c r="D50" s="9">
        <f>+D44</f>
        <v>6055500</v>
      </c>
      <c r="E50" s="9">
        <f>+C50-D50</f>
        <v>-1700000</v>
      </c>
      <c r="F50" s="9"/>
      <c r="G50" s="9">
        <f>E44</f>
        <v>1024500</v>
      </c>
      <c r="H50" s="14">
        <f>+BA44</f>
        <v>1077000</v>
      </c>
      <c r="I50" s="88">
        <f>+G50-H50</f>
        <v>-52500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10853000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T6:T42 AF6:AF42 AP6:AP43" xr:uid="{92876483-EFA5-4435-92C3-F6E1E028DBAC}">
      <formula1>"BANQUE,ESPECES,EN COMPTE,AUTRES"</formula1>
    </dataValidation>
    <dataValidation type="list" showInputMessage="1" showErrorMessage="1" sqref="AA6:AA42" xr:uid="{D0DAAF23-BDCF-4F8B-9E47-0CE008CDFE5E}">
      <formula1>"BANQUE,ESPECES, 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134F-DDA2-4F31-8F5D-777E3703CC5F}">
  <dimension ref="A1:BQ88"/>
  <sheetViews>
    <sheetView zoomScale="87" zoomScaleNormal="87" workbookViewId="0">
      <pane xSplit="4" ySplit="5" topLeftCell="BM27" activePane="bottomRight" state="frozen"/>
      <selection activeCell="D15" sqref="D15"/>
      <selection pane="topRight" activeCell="D15" sqref="D15"/>
      <selection pane="bottomLeft" activeCell="D15" sqref="D15"/>
      <selection pane="bottomRight" activeCell="G20" sqref="G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6.54296875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VLOOKUP($A6,[6]HISTOBQUEOCT25!$A$6:$H$48,5,0)</f>
        <v>250000</v>
      </c>
      <c r="E6" s="91">
        <f>VLOOKUP($A6,[6]HISTOBQUEOCT25!$A$6:$H$48,4,0)</f>
        <v>0</v>
      </c>
      <c r="F6" s="91">
        <f>VLOOKUP($A6,[6]HISTOBQUEOCT25!$A$6:$H$48,6,0)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IFERROR(VLOOKUP(A6,[7]TONTOCT25!$A$6:$R$41,12,0),0)</f>
        <v>0</v>
      </c>
      <c r="Q6" s="2">
        <f>IFERROR(VLOOKUP(A6,[8]TONTOCT25!$A$6:$R$38,10,0),0)</f>
        <v>0</v>
      </c>
      <c r="R6" s="2">
        <f>IFERROR(VLOOKUP(A6,[9]TONTOCT25!$A$6:$R$42,10,0),0)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6000</v>
      </c>
      <c r="BA6" s="58">
        <v>5500</v>
      </c>
      <c r="BB6" s="58"/>
      <c r="BC6" s="15">
        <f t="shared" ref="BC6:BC17" si="5">F6</f>
        <v>0</v>
      </c>
      <c r="BD6" s="57">
        <f>IF(AZ6=0,(AZ6-BA6-BC6),(AZ6-BA6-BB6-BC6))</f>
        <v>500</v>
      </c>
      <c r="BE6" s="82"/>
      <c r="BF6" s="29">
        <f t="shared" ref="BF6:BF42" si="6">Z6*1/100*BG6</f>
        <v>0</v>
      </c>
      <c r="BG6" s="29">
        <v>2</v>
      </c>
      <c r="BH6" s="15">
        <f>BQ17</f>
        <v>6000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VLOOKUP($A7,[6]HISTOBQUEOCT25!$A$6:$H$48,5,0)</f>
        <v>0</v>
      </c>
      <c r="E7" s="91">
        <f>VLOOKUP($A7,[6]HISTOBQUEOCT25!$A$6:$H$48,4,0)</f>
        <v>50000</v>
      </c>
      <c r="F7" s="91">
        <f>VLOOKUP($A7,[6]HISTOBQUEOCT25!$A$6:$H$48,6,0)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IFERROR(VLOOKUP(A7,[7]TONTOCT25!$A$6:$R$41,12,0),0)</f>
        <v>0</v>
      </c>
      <c r="Q7" s="2">
        <f>IFERROR(VLOOKUP(A7,[8]TONTOCT25!$A$6:$R$38,10,0),0)</f>
        <v>0</v>
      </c>
      <c r="R7" s="2">
        <f>IFERROR(VLOOKUP(A7,[9]TONTOCT25!$A$6:$R$42,10,0),0)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-500000</v>
      </c>
      <c r="D8" s="9">
        <f>VLOOKUP($A8,[6]HISTOBQUEOCT25!$A$6:$H$48,5,0)</f>
        <v>125000</v>
      </c>
      <c r="E8" s="91">
        <f>VLOOKUP($A8,[6]HISTOBQUEOCT25!$A$6:$H$48,4,0)</f>
        <v>101000</v>
      </c>
      <c r="F8" s="91">
        <f>VLOOKUP($A8,[6]HISTOBQUEOCT25!$A$6:$H$48,6,0)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IFERROR(VLOOKUP(A8,[7]TONTOCT25!$A$6:$R$41,12,0),0)</f>
        <v>0</v>
      </c>
      <c r="Q8" s="2">
        <f>IFERROR(VLOOKUP(A8,[8]TONTOCT25!$A$6:$R$38,10,0),0)</f>
        <v>101000</v>
      </c>
      <c r="R8" s="2">
        <f>IFERROR(VLOOKUP(A8,[9]TONTOCT25!$A$6:$R$42,10,0),0)</f>
        <v>0</v>
      </c>
      <c r="S8" s="20">
        <v>500000</v>
      </c>
      <c r="T8" s="12" t="s">
        <v>8</v>
      </c>
      <c r="U8" s="17">
        <f t="shared" si="9"/>
        <v>726000</v>
      </c>
      <c r="V8" s="12"/>
      <c r="W8" s="12"/>
      <c r="X8" s="12"/>
      <c r="Y8" s="92">
        <f t="shared" si="10"/>
        <v>125000</v>
      </c>
      <c r="Z8" s="12">
        <v>500000</v>
      </c>
      <c r="AA8" s="12" t="s">
        <v>8</v>
      </c>
      <c r="AB8" s="12"/>
      <c r="AC8" s="12"/>
      <c r="AD8" s="12">
        <v>7500</v>
      </c>
      <c r="AE8" s="12"/>
      <c r="AF8" s="12"/>
      <c r="AG8" s="12"/>
      <c r="AH8" s="12"/>
      <c r="AI8" s="12">
        <v>50000</v>
      </c>
      <c r="AJ8" s="12">
        <v>200000</v>
      </c>
      <c r="AK8" s="12"/>
      <c r="AL8" s="12">
        <v>500</v>
      </c>
      <c r="AM8" s="12">
        <v>2000</v>
      </c>
      <c r="AN8" s="12"/>
      <c r="AO8" s="12"/>
      <c r="AP8" s="12" t="s">
        <v>8</v>
      </c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50000</v>
      </c>
      <c r="AX8" s="15">
        <f t="shared" si="12"/>
        <v>1092500</v>
      </c>
      <c r="AY8" s="15">
        <f t="shared" si="13"/>
        <v>0</v>
      </c>
      <c r="AZ8" s="16">
        <f t="shared" si="14"/>
        <v>1727500</v>
      </c>
      <c r="BA8" s="58">
        <f>250000+100000</f>
        <v>350000</v>
      </c>
      <c r="BB8" s="58"/>
      <c r="BC8" s="15">
        <f t="shared" si="5"/>
        <v>0</v>
      </c>
      <c r="BD8" s="57">
        <f t="shared" si="15"/>
        <v>1377500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>
        <v>100000</v>
      </c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VLOOKUP($A9,[6]HISTOBQUEOCT25!$A$6:$H$48,5,0)</f>
        <v>0</v>
      </c>
      <c r="E9" s="91">
        <f>VLOOKUP($A9,[6]HISTOBQUEOCT25!$A$6:$H$48,4,0)-50000</f>
        <v>426500</v>
      </c>
      <c r="F9" s="91">
        <f>VLOOKUP($A9,[6]HISTOBQUEOCT25!$A$6:$H$48,6,0)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IFERROR(VLOOKUP(A9,[7]TONTOCT25!$A$6:$R$41,12,0),0)</f>
        <v>0</v>
      </c>
      <c r="Q9" s="2">
        <f>IFERROR(VLOOKUP(A9,[8]TONTOCT25!$A$6:$R$38,10,0),0)</f>
        <v>0</v>
      </c>
      <c r="R9" s="2">
        <f>IFERROR(VLOOKUP(A9,[9]TONTOCT25!$A$6:$R$42,10,0),0)</f>
        <v>176500</v>
      </c>
      <c r="S9" s="20"/>
      <c r="T9" s="12"/>
      <c r="U9" s="17">
        <f t="shared" si="9"/>
        <v>426500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>
        <v>50000</v>
      </c>
      <c r="AJ9" s="12"/>
      <c r="AK9" s="12">
        <v>200000</v>
      </c>
      <c r="AL9" s="12">
        <v>500</v>
      </c>
      <c r="AM9" s="12"/>
      <c r="AN9" s="12">
        <v>4000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50000</v>
      </c>
      <c r="AX9" s="15">
        <f t="shared" si="12"/>
        <v>0</v>
      </c>
      <c r="AY9" s="15">
        <f t="shared" si="13"/>
        <v>200000</v>
      </c>
      <c r="AZ9" s="16">
        <f t="shared" si="14"/>
        <v>250000</v>
      </c>
      <c r="BA9" s="58">
        <v>250000</v>
      </c>
      <c r="BB9" s="58"/>
      <c r="BC9" s="15">
        <f t="shared" si="5"/>
        <v>0</v>
      </c>
      <c r="BD9" s="57">
        <f t="shared" si="15"/>
        <v>0</v>
      </c>
      <c r="BE9" s="82"/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VLOOKUP($A10,[6]HISTOBQUEOCT25!$A$6:$H$48,5,0)</f>
        <v>50000</v>
      </c>
      <c r="E10" s="91">
        <f>VLOOKUP($A10,[6]HISTOBQUEOCT25!$A$6:$H$48,4,0)</f>
        <v>0</v>
      </c>
      <c r="F10" s="91">
        <f>VLOOKUP($A10,[6]HISTOBQUEOCT25!$A$6:$H$48,6,0)</f>
        <v>0</v>
      </c>
      <c r="G10" s="91"/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IFERROR(VLOOKUP(A10,[7]TONTOCT25!$A$6:$R$41,12,0),0)</f>
        <v>0</v>
      </c>
      <c r="Q10" s="2">
        <f>IFERROR(VLOOKUP(A10,[8]TONTOCT25!$A$6:$R$38,10,0),0)</f>
        <v>0</v>
      </c>
      <c r="R10" s="2">
        <f>IFERROR(VLOOKUP(A10,[9]TONTOCT25!$A$6:$R$42,10,0),0)</f>
        <v>0</v>
      </c>
      <c r="S10" s="20"/>
      <c r="T10" s="12"/>
      <c r="U10" s="17">
        <f t="shared" si="9"/>
        <v>50000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50000</v>
      </c>
      <c r="AJ10" s="12"/>
      <c r="AK10" s="12"/>
      <c r="AL10" s="12">
        <v>1000</v>
      </c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50000</v>
      </c>
      <c r="AX10" s="15">
        <f t="shared" si="12"/>
        <v>0</v>
      </c>
      <c r="AY10" s="15">
        <f t="shared" si="13"/>
        <v>0</v>
      </c>
      <c r="AZ10" s="16">
        <f t="shared" si="14"/>
        <v>50000</v>
      </c>
      <c r="BA10" s="58">
        <v>50000</v>
      </c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-1000</v>
      </c>
      <c r="D11" s="9">
        <f>VLOOKUP($A11,[6]HISTOBQUEOCT25!$A$6:$H$48,5,0)</f>
        <v>150000</v>
      </c>
      <c r="E11" s="91">
        <f>VLOOKUP($A11,[6]HISTOBQUEOCT25!$A$6:$H$48,4,0)</f>
        <v>205500</v>
      </c>
      <c r="F11" s="91">
        <f>VLOOKUP($A11,[6]HISTOBQUEOCT25!$A$6:$H$48,6,0)</f>
        <v>0</v>
      </c>
      <c r="G11" s="91"/>
      <c r="H11" s="5">
        <f>IF(I11="ESPECES",3000,0)+3000</f>
        <v>3000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IFERROR(VLOOKUP(A11,[7]TONTOCT25!$A$6:$R$41,12,0),0)</f>
        <v>0</v>
      </c>
      <c r="Q11" s="2">
        <f>IFERROR(VLOOKUP(A11,[8]TONTOCT25!$A$6:$R$38,10,0),0)</f>
        <v>0</v>
      </c>
      <c r="R11" s="2">
        <f>IFERROR(VLOOKUP(A11,[9]TONTOCT25!$A$6:$R$42,10,0),0)</f>
        <v>203500</v>
      </c>
      <c r="S11" s="20"/>
      <c r="T11" s="12"/>
      <c r="U11" s="17">
        <f t="shared" si="9"/>
        <v>356500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50000</v>
      </c>
      <c r="AJ11" s="12"/>
      <c r="AK11" s="12">
        <v>159500</v>
      </c>
      <c r="AL11" s="12">
        <v>500</v>
      </c>
      <c r="AM11" s="12"/>
      <c r="AN11" s="12">
        <v>6000</v>
      </c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50000</v>
      </c>
      <c r="AX11" s="15">
        <f t="shared" si="12"/>
        <v>0</v>
      </c>
      <c r="AY11" s="15">
        <f t="shared" si="13"/>
        <v>159500</v>
      </c>
      <c r="AZ11" s="16">
        <f t="shared" si="14"/>
        <v>209500</v>
      </c>
      <c r="BA11" s="58">
        <f>50000+159500</f>
        <v>209500</v>
      </c>
      <c r="BB11" s="58"/>
      <c r="BC11" s="15">
        <f t="shared" si="5"/>
        <v>0</v>
      </c>
      <c r="BD11" s="57">
        <f t="shared" si="15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>IF(I12&lt;&gt;"ECHEC",D12+E12+F12-U12,0)</f>
        <v>-148500</v>
      </c>
      <c r="D12" s="9">
        <f>VLOOKUP($A12,[6]HISTOBQUEOCT25!$A$6:$H$48,5,0)</f>
        <v>1125000</v>
      </c>
      <c r="E12" s="91">
        <f>VLOOKUP($A12,[6]HISTOBQUEOCT25!$A$6:$H$48,4,0)</f>
        <v>0</v>
      </c>
      <c r="F12" s="91">
        <f>VLOOKUP($A12,[6]HISTOBQUEOCT25!$A$6:$H$48,6,0)</f>
        <v>0</v>
      </c>
      <c r="G12" s="91">
        <f>23500</f>
        <v>23500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IFERROR(VLOOKUP(A12,[7]TONTOCT25!$A$6:$R$41,12,0),0)</f>
        <v>0</v>
      </c>
      <c r="Q12" s="2">
        <f>IFERROR(VLOOKUP(A12,[8]TONTOCT25!$A$6:$R$38,10,0),0)</f>
        <v>0</v>
      </c>
      <c r="R12" s="2">
        <f>IFERROR(VLOOKUP(A12,[9]TONTOCT25!$A$6:$R$42,10,0),0)</f>
        <v>0</v>
      </c>
      <c r="S12" s="20">
        <v>1000000</v>
      </c>
      <c r="T12" s="12" t="s">
        <v>8</v>
      </c>
      <c r="U12" s="17">
        <f t="shared" si="9"/>
        <v>1273500</v>
      </c>
      <c r="V12" s="12"/>
      <c r="W12" s="12"/>
      <c r="X12" s="12"/>
      <c r="Y12" s="92">
        <f t="shared" si="10"/>
        <v>250000</v>
      </c>
      <c r="Z12" s="12">
        <v>150000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7"/>
        <v>48500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>SUM(AV12:AY12)-BF12+Z12+BH12+BI12+BJ12+BK12+BL12+BM12+BN12</f>
        <v>148500</v>
      </c>
      <c r="BA12" s="58"/>
      <c r="BB12" s="58"/>
      <c r="BC12" s="15">
        <f t="shared" si="5"/>
        <v>0</v>
      </c>
      <c r="BD12" s="57">
        <f>IF(AZ12=0,(AZ12-BA12-BC12),(AZ12-BA12-BB12-BC12))</f>
        <v>148500</v>
      </c>
      <c r="BE12" s="82"/>
      <c r="BF12" s="29">
        <f>Z12*1/100*BG12</f>
        <v>1500</v>
      </c>
      <c r="BG12" s="29">
        <v>1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VLOOKUP($A13,[6]HISTOBQUEOCT25!$A$6:$H$48,5,0)</f>
        <v>50000</v>
      </c>
      <c r="E13" s="91">
        <f>VLOOKUP($A13,[6]HISTOBQUEOCT25!$A$6:$H$48,4,0)</f>
        <v>0</v>
      </c>
      <c r="F13" s="91">
        <f>VLOOKUP($A13,[6]HISTOBQUEOCT25!$A$6:$H$48,6,0)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IFERROR(VLOOKUP(A13,[7]TONTOCT25!$A$6:$R$41,12,0),0)</f>
        <v>0</v>
      </c>
      <c r="Q13" s="2">
        <f>IFERROR(VLOOKUP(A13,[8]TONTOCT25!$A$6:$R$38,10,0),0)</f>
        <v>0</v>
      </c>
      <c r="R13" s="2">
        <f>IFERROR(VLOOKUP(A13,[9]TONTOCT25!$A$6:$R$42,10,0),0)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VLOOKUP($A14,[6]HISTOBQUEOCT25!$A$6:$H$48,5,0)</f>
        <v>50000</v>
      </c>
      <c r="E14" s="91">
        <f>VLOOKUP($A14,[6]HISTOBQUEOCT25!$A$6:$H$48,4,0)</f>
        <v>0</v>
      </c>
      <c r="F14" s="91">
        <f>VLOOKUP($A14,[6]HISTOBQUEOCT25!$A$6:$H$48,6,0)</f>
        <v>0</v>
      </c>
      <c r="G14" s="91">
        <v>-3000</v>
      </c>
      <c r="H14" s="5">
        <f>IF(I14="ESPECES",3000,0)+3000</f>
        <v>3000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IFERROR(VLOOKUP(A14,[7]TONTOCT25!$A$6:$R$41,12,0),0)</f>
        <v>0</v>
      </c>
      <c r="Q14" s="2">
        <f>IFERROR(VLOOKUP(A14,[8]TONTOCT25!$A$6:$R$38,10,0),0)</f>
        <v>0</v>
      </c>
      <c r="R14" s="2">
        <f>IFERROR(VLOOKUP(A14,[9]TONTOCT25!$A$6:$R$42,10,0),0)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22000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VLOOKUP($A15,[6]HISTOBQUEOCT25!$A$6:$H$48,5,0)</f>
        <v>150000</v>
      </c>
      <c r="E15" s="91">
        <f>VLOOKUP($A15,[6]HISTOBQUEOCT25!$A$6:$H$48,4,0)</f>
        <v>0</v>
      </c>
      <c r="F15" s="91">
        <f>VLOOKUP($A15,[6]HISTOBQUEOCT25!$A$6:$H$48,6,0)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IFERROR(VLOOKUP(A15,[7]TONTOCT25!$A$6:$R$41,12,0),0)</f>
        <v>0</v>
      </c>
      <c r="Q15" s="2">
        <f>IFERROR(VLOOKUP(A15,[8]TONTOCT25!$A$6:$R$38,10,0),0)</f>
        <v>0</v>
      </c>
      <c r="R15" s="2">
        <f>IFERROR(VLOOKUP(A15,[9]TONTOCT25!$A$6:$R$42,10,0),0)</f>
        <v>0</v>
      </c>
      <c r="S15" s="20"/>
      <c r="T15" s="12"/>
      <c r="U15" s="17">
        <f t="shared" si="9"/>
        <v>150000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>
        <f t="shared" si="5"/>
        <v>0</v>
      </c>
      <c r="BD15" s="57">
        <f t="shared" si="15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VLOOKUP($A16,[6]HISTOBQUEOCT25!$A$6:$H$48,5,0)</f>
        <v>125000</v>
      </c>
      <c r="E16" s="91">
        <f>VLOOKUP($A16,[6]HISTOBQUEOCT25!$A$6:$H$48,4,0)</f>
        <v>0</v>
      </c>
      <c r="F16" s="91">
        <f>VLOOKUP($A16,[6]HISTOBQUEOCT25!$A$6:$H$48,6,0)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IFERROR(VLOOKUP(A16,[7]TONTOCT25!$A$6:$R$41,12,0),0)</f>
        <v>0</v>
      </c>
      <c r="Q16" s="2">
        <f>IFERROR(VLOOKUP(A16,[8]TONTOCT25!$A$6:$R$38,10,0),0)</f>
        <v>0</v>
      </c>
      <c r="R16" s="2">
        <f>IFERROR(VLOOKUP(A16,[9]TONTOCT25!$A$6:$R$42,10,0),0)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2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-400000</v>
      </c>
      <c r="D17" s="9">
        <f>VLOOKUP($A17,[6]HISTOBQUEOCT25!$A$6:$H$48,5,0)</f>
        <v>351500</v>
      </c>
      <c r="E17" s="91">
        <f>VLOOKUP($A17,[6]HISTOBQUEOCT25!$A$6:$H$48,4,0)</f>
        <v>0</v>
      </c>
      <c r="F17" s="91">
        <f>VLOOKUP($A17,[6]HISTOBQUEOCT25!$A$6:$H$48,6,0)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IFERROR(VLOOKUP(A17,[7]TONTOCT25!$A$6:$R$41,12,0),0)</f>
        <v>0</v>
      </c>
      <c r="Q17" s="2">
        <f>IFERROR(VLOOKUP(A17,[8]TONTOCT25!$A$6:$R$38,10,0),0)</f>
        <v>101500</v>
      </c>
      <c r="R17" s="2">
        <f>IFERROR(VLOOKUP(A17,[9]TONTOCT25!$A$6:$R$42,10,0),0)</f>
        <v>0</v>
      </c>
      <c r="S17" s="20">
        <v>400000</v>
      </c>
      <c r="T17" s="12" t="s">
        <v>8</v>
      </c>
      <c r="U17" s="17">
        <f t="shared" si="9"/>
        <v>751500</v>
      </c>
      <c r="V17" s="12"/>
      <c r="W17" s="12"/>
      <c r="X17" s="12"/>
      <c r="Y17" s="92">
        <f t="shared" si="10"/>
        <v>225000</v>
      </c>
      <c r="Z17" s="12">
        <v>400000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>
        <v>50000</v>
      </c>
      <c r="AJ17" s="12">
        <v>100000</v>
      </c>
      <c r="AK17" s="12"/>
      <c r="AL17" s="12">
        <v>500</v>
      </c>
      <c r="AM17" s="12">
        <v>1000</v>
      </c>
      <c r="AN17" s="12"/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50000</v>
      </c>
      <c r="AX17" s="15">
        <f t="shared" si="12"/>
        <v>100000</v>
      </c>
      <c r="AY17" s="15">
        <f t="shared" si="13"/>
        <v>0</v>
      </c>
      <c r="AZ17" s="16">
        <f t="shared" si="14"/>
        <v>546000</v>
      </c>
      <c r="BA17" s="58">
        <f>150000</f>
        <v>150000</v>
      </c>
      <c r="BB17" s="58"/>
      <c r="BC17" s="15">
        <f t="shared" si="5"/>
        <v>0</v>
      </c>
      <c r="BD17" s="57">
        <f t="shared" si="15"/>
        <v>396000</v>
      </c>
      <c r="BE17" s="82"/>
      <c r="BF17" s="29">
        <f t="shared" si="6"/>
        <v>4000</v>
      </c>
      <c r="BG17" s="29">
        <v>1</v>
      </c>
      <c r="BH17" s="15"/>
      <c r="BI17" s="15"/>
      <c r="BJ17" s="15"/>
      <c r="BK17" s="15"/>
      <c r="BL17" s="61"/>
      <c r="BO17" s="62" t="s">
        <v>142</v>
      </c>
      <c r="BQ17" s="62">
        <f>SUM(BQ6:BQ16)</f>
        <v>6000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VLOOKUP($A18,[6]HISTOBQUEOCT25!$A$6:$H$48,5,0)</f>
        <v>100000</v>
      </c>
      <c r="E18" s="91">
        <f>VLOOKUP($A18,[6]HISTOBQUEOCT25!$A$6:$H$48,4,0)</f>
        <v>50000</v>
      </c>
      <c r="F18" s="91">
        <f>VLOOKUP($A18,[6]HISTOBQUEOCT25!$A$6:$H$48,6,0)</f>
        <v>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IFERROR(VLOOKUP(A18,[7]TONTOCT25!$A$6:$R$41,12,0),0)</f>
        <v>0</v>
      </c>
      <c r="Q18" s="2">
        <f>IFERROR(VLOOKUP(A18,[8]TONTOCT25!$A$6:$R$38,10,0),0)</f>
        <v>0</v>
      </c>
      <c r="R18" s="2">
        <f>IFERROR(VLOOKUP(A18,[9]TONTOCT25!$A$6:$R$42,10,0),0)</f>
        <v>0</v>
      </c>
      <c r="S18" s="20"/>
      <c r="T18" s="12"/>
      <c r="U18" s="17">
        <f t="shared" si="9"/>
        <v>150000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50000</v>
      </c>
      <c r="AJ18" s="12"/>
      <c r="AK18" s="12">
        <v>100000</v>
      </c>
      <c r="AL18" s="12">
        <v>1000</v>
      </c>
      <c r="AM18" s="12"/>
      <c r="AN18" s="12">
        <v>2500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50000</v>
      </c>
      <c r="AX18" s="15">
        <f t="shared" si="12"/>
        <v>0</v>
      </c>
      <c r="AY18" s="15">
        <f t="shared" si="13"/>
        <v>100000</v>
      </c>
      <c r="AZ18" s="16">
        <f t="shared" si="14"/>
        <v>150000</v>
      </c>
      <c r="BA18" s="58">
        <v>90000</v>
      </c>
      <c r="BB18" s="58"/>
      <c r="BC18" s="15">
        <f>F18</f>
        <v>0</v>
      </c>
      <c r="BD18" s="57">
        <f>IF(AZ18=0,(AZ18-BA18-BC18),(AZ18-BA18-BB18-BC18))-50000</f>
        <v>10000</v>
      </c>
      <c r="BE18" s="82"/>
      <c r="BF18" s="29">
        <f t="shared" si="6"/>
        <v>0</v>
      </c>
      <c r="BG18" s="29">
        <v>2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-101000</v>
      </c>
      <c r="D19" s="9">
        <f>VLOOKUP($A19,[6]HISTOBQUEOCT25!$A$6:$H$48,5,0)</f>
        <v>0</v>
      </c>
      <c r="E19" s="91">
        <f>VLOOKUP($A19,[6]HISTOBQUEOCT25!$A$6:$H$48,4,0)</f>
        <v>336000</v>
      </c>
      <c r="F19" s="91">
        <f>VLOOKUP($A19,[6]HISTOBQUEOCT25!$A$6:$H$48,6,0)</f>
        <v>0</v>
      </c>
      <c r="G19" s="91">
        <v>7000</v>
      </c>
      <c r="H19" s="5">
        <f t="shared" si="16"/>
        <v>3000</v>
      </c>
      <c r="I19" s="10" t="str">
        <f t="shared" si="0"/>
        <v>ESPECES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IFERROR(VLOOKUP(A19,[7]TONTOCT25!$A$6:$R$41,12,0),0)</f>
        <v>0</v>
      </c>
      <c r="Q19" s="2">
        <f>IFERROR(VLOOKUP(A19,[8]TONTOCT25!$A$6:$R$38,10,0),0)</f>
        <v>101000</v>
      </c>
      <c r="R19" s="2">
        <f>IFERROR(VLOOKUP(A19,[9]TONTOCT25!$A$6:$R$42,10,0),0)</f>
        <v>101000</v>
      </c>
      <c r="S19" s="20"/>
      <c r="T19" s="12"/>
      <c r="U19" s="17">
        <f t="shared" si="9"/>
        <v>437000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32000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>
        <f t="shared" ref="BC19:BC42" si="18">F19</f>
        <v>0</v>
      </c>
      <c r="BD19" s="57">
        <f t="shared" si="15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>
        <v>50000</v>
      </c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VLOOKUP($A21,[6]HISTOBQUEOCT25!$A$6:$H$48,5,0)</f>
        <v>50000</v>
      </c>
      <c r="E21" s="91">
        <f>VLOOKUP($A21,[6]HISTOBQUEOCT25!$A$6:$H$48,4,0)</f>
        <v>0</v>
      </c>
      <c r="F21" s="91">
        <f>VLOOKUP($A21,[6]HISTOBQUEOCT25!$A$6:$H$48,6,0)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IFERROR(VLOOKUP(A21,[7]TONTOCT25!$A$6:$R$41,12,0),0)</f>
        <v>0</v>
      </c>
      <c r="Q21" s="2">
        <f>IFERROR(VLOOKUP(A21,[8]TONTOCT25!$A$6:$R$38,10,0),0)</f>
        <v>0</v>
      </c>
      <c r="R21" s="2">
        <f>IFERROR(VLOOKUP(A21,[9]TONTOCT25!$A$6:$R$42,10,0),0)</f>
        <v>0</v>
      </c>
      <c r="S21" s="20"/>
      <c r="T21" s="12"/>
      <c r="U21" s="17">
        <f t="shared" si="9"/>
        <v>50000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>
        <v>50000</v>
      </c>
      <c r="AJ21" s="12"/>
      <c r="AK21" s="12"/>
      <c r="AL21" s="12">
        <v>1000</v>
      </c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50000</v>
      </c>
      <c r="AX21" s="15">
        <f t="shared" si="12"/>
        <v>0</v>
      </c>
      <c r="AY21" s="15">
        <f t="shared" si="13"/>
        <v>0</v>
      </c>
      <c r="AZ21" s="16">
        <f t="shared" si="14"/>
        <v>50000</v>
      </c>
      <c r="BA21" s="58">
        <v>50000</v>
      </c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-1000000</v>
      </c>
      <c r="D22" s="9">
        <f>VLOOKUP($A22,[6]HISTOBQUEOCT25!$A$6:$H$48,5,0)</f>
        <v>428500</v>
      </c>
      <c r="E22" s="91">
        <f>VLOOKUP($A22,[6]HISTOBQUEOCT25!$A$6:$H$48,4,0)</f>
        <v>205000</v>
      </c>
      <c r="F22" s="91">
        <f>VLOOKUP($A22,[6]HISTOBQUEOCT25!$A$6:$H$48,6,0)</f>
        <v>0</v>
      </c>
      <c r="G22" s="91">
        <v>2500</v>
      </c>
      <c r="H22" s="5">
        <f>IF(I22="ESPECES",3000,0)+3000</f>
        <v>3000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IFERROR(VLOOKUP(A22,[7]TONTOCT25!$A$6:$R$41,12,0),0)</f>
        <v>0</v>
      </c>
      <c r="Q22" s="2">
        <f>IFERROR(VLOOKUP(A22,[8]TONTOCT25!$A$6:$R$38,10,0),0)</f>
        <v>202000</v>
      </c>
      <c r="R22" s="2">
        <f>IFERROR(VLOOKUP(A22,[9]TONTOCT25!$A$6:$R$42,10,0),0)</f>
        <v>101000</v>
      </c>
      <c r="S22" s="20">
        <v>1000000</v>
      </c>
      <c r="T22" s="12" t="s">
        <v>8</v>
      </c>
      <c r="U22" s="17">
        <f t="shared" si="9"/>
        <v>1633500</v>
      </c>
      <c r="V22" s="12"/>
      <c r="W22" s="12"/>
      <c r="X22" s="12"/>
      <c r="Y22" s="92">
        <f t="shared" si="10"/>
        <v>325000</v>
      </c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>
        <v>50000</v>
      </c>
      <c r="AJ22" s="12">
        <v>200000</v>
      </c>
      <c r="AK22" s="12">
        <v>200000</v>
      </c>
      <c r="AL22" s="12">
        <v>1000</v>
      </c>
      <c r="AM22" s="12">
        <v>2500</v>
      </c>
      <c r="AN22" s="12">
        <v>5500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27500</v>
      </c>
      <c r="AT22" s="15"/>
      <c r="AV22" s="15"/>
      <c r="AW22" s="15">
        <f t="shared" si="11"/>
        <v>50000</v>
      </c>
      <c r="AX22" s="15">
        <f t="shared" si="12"/>
        <v>200000</v>
      </c>
      <c r="AY22" s="15">
        <f t="shared" si="13"/>
        <v>200000</v>
      </c>
      <c r="AZ22" s="16">
        <f t="shared" si="14"/>
        <v>1420000</v>
      </c>
      <c r="BA22" s="58">
        <f>250000+200000-79000</f>
        <v>371000</v>
      </c>
      <c r="BB22" s="58"/>
      <c r="BC22" s="15">
        <f t="shared" si="18"/>
        <v>0</v>
      </c>
      <c r="BD22" s="57">
        <f t="shared" si="15"/>
        <v>1049000</v>
      </c>
      <c r="BE22" s="82"/>
      <c r="BF22" s="29">
        <f t="shared" si="6"/>
        <v>30000</v>
      </c>
      <c r="BG22" s="29">
        <v>3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VLOOKUP($A23,[6]HISTOBQUEOCT25!$A$6:$H$48,5,0)</f>
        <v>50000</v>
      </c>
      <c r="E23" s="91">
        <f>VLOOKUP($A23,[6]HISTOBQUEOCT25!$A$6:$H$48,4,0)</f>
        <v>0</v>
      </c>
      <c r="F23" s="91">
        <f>VLOOKUP($A23,[6]HISTOBQUEOCT25!$A$6:$H$48,6,0)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IFERROR(VLOOKUP(A23,[7]TONTOCT25!$A$6:$R$41,12,0),0)</f>
        <v>0</v>
      </c>
      <c r="Q23" s="2">
        <f>IFERROR(VLOOKUP(A23,[8]TONTOCT25!$A$6:$R$38,10,0),0)</f>
        <v>0</v>
      </c>
      <c r="R23" s="2">
        <f>IFERROR(VLOOKUP(A23,[9]TONTOCT25!$A$6:$R$42,10,0),0)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VLOOKUP($A24,[6]HISTOBQUEOCT25!$A$6:$H$48,5,0)</f>
        <v>125000</v>
      </c>
      <c r="E24" s="91">
        <f>VLOOKUP($A24,[6]HISTOBQUEOCT25!$A$6:$H$48,4,0)</f>
        <v>0</v>
      </c>
      <c r="F24" s="91">
        <f>VLOOKUP($A24,[6]HISTOBQUEOCT25!$A$6:$H$48,6,0)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IFERROR(VLOOKUP(A24,[7]TONTOCT25!$A$6:$R$41,12,0),0)</f>
        <v>0</v>
      </c>
      <c r="Q24" s="2">
        <f>IFERROR(VLOOKUP(A24,[8]TONTOCT25!$A$6:$R$38,10,0),0)</f>
        <v>0</v>
      </c>
      <c r="R24" s="2">
        <f>IFERROR(VLOOKUP(A24,[9]TONTOCT25!$A$6:$R$42,10,0),0)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 t="shared" si="13"/>
        <v>0</v>
      </c>
      <c r="AZ24" s="16">
        <f t="shared" si="14"/>
        <v>0</v>
      </c>
      <c r="BA24" s="58"/>
      <c r="BB24" s="58"/>
      <c r="BC24" s="15">
        <f t="shared" si="18"/>
        <v>0</v>
      </c>
      <c r="BD24" s="57">
        <f t="shared" si="15"/>
        <v>0</v>
      </c>
      <c r="BE24" s="82"/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>IF(I25&lt;&gt;"ECHEC",D25+E25+F25-U25,0)-15000</f>
        <v>-500000</v>
      </c>
      <c r="D25" s="9">
        <f>VLOOKUP($A25,[6]HISTOBQUEOCT25!$A$6:$H$48,5,0)</f>
        <v>275000</v>
      </c>
      <c r="E25" s="91">
        <f>VLOOKUP($A25,[6]HISTOBQUEOCT25!$A$6:$H$48,4,0)</f>
        <v>102500</v>
      </c>
      <c r="F25" s="91">
        <f>VLOOKUP($A25,[6]HISTOBQUEOCT25!$A$6:$H$48,6,0)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IFERROR(VLOOKUP(A25,[7]TONTOCT25!$A$6:$R$41,12,0),0)</f>
        <v>0</v>
      </c>
      <c r="Q25" s="2">
        <f>IFERROR(VLOOKUP(A25,[8]TONTOCT25!$A$6:$R$38,10,0),0)</f>
        <v>0</v>
      </c>
      <c r="R25" s="2">
        <f>IFERROR(VLOOKUP(A25,[9]TONTOCT25!$A$6:$R$42,10,0),0)</f>
        <v>102500</v>
      </c>
      <c r="S25" s="20">
        <v>500000</v>
      </c>
      <c r="T25" s="12" t="s">
        <v>8</v>
      </c>
      <c r="U25" s="17">
        <f t="shared" si="9"/>
        <v>862500</v>
      </c>
      <c r="V25" s="12"/>
      <c r="W25" s="12"/>
      <c r="X25" s="12"/>
      <c r="Y25" s="92">
        <f t="shared" si="10"/>
        <v>250000</v>
      </c>
      <c r="Z25" s="12">
        <v>500000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2500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>SUM(AV25:AY25)-BF25+Z25+BH25+BI25+BJ25+BK25+BL25+BM25+BN25+15000</f>
        <v>600000</v>
      </c>
      <c r="BA25" s="58">
        <v>100000</v>
      </c>
      <c r="BB25" s="58"/>
      <c r="BC25" s="15">
        <f t="shared" si="18"/>
        <v>0</v>
      </c>
      <c r="BD25" s="57">
        <f>IF(AZ25=0,(AZ25-BA25-BC25),(AZ25-BA25-BB25-BC25))</f>
        <v>500000</v>
      </c>
      <c r="BE25" s="82"/>
      <c r="BF25" s="29">
        <f>Z25*1/100*BG25</f>
        <v>15000</v>
      </c>
      <c r="BG25" s="29">
        <v>3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136500</v>
      </c>
      <c r="D26" s="9">
        <f>VLOOKUP($A26,[6]HISTOBQUEOCT25!$A$6:$H$48,5,0)</f>
        <v>240000</v>
      </c>
      <c r="E26" s="91">
        <f>VLOOKUP($A26,[6]HISTOBQUEOCT25!$A$6:$H$48,4,0)</f>
        <v>237500</v>
      </c>
      <c r="F26" s="91">
        <f>VLOOKUP($A26,[6]HISTOBQUEOCT25!$A$6:$H$48,6,0)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IFERROR(VLOOKUP(A26,[7]TONTOCT25!$A$6:$R$41,12,0),0)</f>
        <v>0</v>
      </c>
      <c r="Q26" s="2">
        <f>IFERROR(VLOOKUP(A26,[8]TONTOCT25!$A$6:$R$38,10,0),0)</f>
        <v>101000</v>
      </c>
      <c r="R26" s="2">
        <f>IFERROR(VLOOKUP(A26,[9]TONTOCT25!$A$6:$R$42,10,0),0)</f>
        <v>0</v>
      </c>
      <c r="S26" s="20"/>
      <c r="T26" s="12"/>
      <c r="U26" s="17">
        <f t="shared" si="9"/>
        <v>341000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>
        <v>100000</v>
      </c>
      <c r="AK26" s="12"/>
      <c r="AL26" s="12"/>
      <c r="AM26" s="12">
        <v>1500</v>
      </c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100000</v>
      </c>
      <c r="AY26" s="15">
        <f>IF(AE26=0,AK26,(1*100000*12)+(AK26)-AE26)</f>
        <v>0</v>
      </c>
      <c r="AZ26" s="16">
        <f t="shared" si="14"/>
        <v>100000</v>
      </c>
      <c r="BA26" s="58">
        <v>100000</v>
      </c>
      <c r="BB26" s="58"/>
      <c r="BC26" s="15">
        <f t="shared" si="18"/>
        <v>0</v>
      </c>
      <c r="BD26" s="57">
        <f t="shared" si="15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VLOOKUP($A27,[6]HISTOBQUEOCT25!$A$6:$H$48,5,0)</f>
        <v>460000</v>
      </c>
      <c r="E27" s="91">
        <f>VLOOKUP($A27,[6]HISTOBQUEOCT25!$A$6:$H$48,4,0)</f>
        <v>0</v>
      </c>
      <c r="F27" s="91">
        <f>VLOOKUP($A27,[6]HISTOBQUEOCT25!$A$6:$H$48,6,0)</f>
        <v>0</v>
      </c>
      <c r="G27" s="91">
        <v>5000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IFERROR(VLOOKUP(A27,[7]TONTOCT25!$A$6:$R$41,12,0),0)</f>
        <v>0</v>
      </c>
      <c r="Q27" s="2">
        <f>IFERROR(VLOOKUP(A27,[8]TONTOCT25!$A$6:$R$38,10,0),0)</f>
        <v>0</v>
      </c>
      <c r="R27" s="2">
        <f>IFERROR(VLOOKUP(A27,[9]TONTOCT25!$A$6:$R$42,10,0),0)</f>
        <v>205000</v>
      </c>
      <c r="S27" s="20"/>
      <c r="T27" s="12"/>
      <c r="U27" s="17">
        <f t="shared" si="9"/>
        <v>460000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>
        <v>50000</v>
      </c>
      <c r="AJ27" s="12"/>
      <c r="AK27" s="12">
        <v>100000</v>
      </c>
      <c r="AL27" s="12">
        <v>500</v>
      </c>
      <c r="AM27" s="12"/>
      <c r="AN27" s="12">
        <v>2500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30000</v>
      </c>
      <c r="AT27" s="15"/>
      <c r="AV27" s="15"/>
      <c r="AW27" s="15">
        <f t="shared" si="11"/>
        <v>50000</v>
      </c>
      <c r="AX27" s="15">
        <f t="shared" si="12"/>
        <v>0</v>
      </c>
      <c r="AY27" s="15">
        <f t="shared" si="13"/>
        <v>100000</v>
      </c>
      <c r="AZ27" s="16">
        <f t="shared" si="14"/>
        <v>150000</v>
      </c>
      <c r="BA27" s="58">
        <v>50000</v>
      </c>
      <c r="BB27" s="58"/>
      <c r="BC27" s="15">
        <f t="shared" si="18"/>
        <v>0</v>
      </c>
      <c r="BD27" s="57">
        <f t="shared" si="15"/>
        <v>100000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-1000000</v>
      </c>
      <c r="D28" s="9">
        <f>VLOOKUP($A28,[6]HISTOBQUEOCT25!$A$6:$H$48,5,0)</f>
        <v>50000</v>
      </c>
      <c r="E28" s="91">
        <f>VLOOKUP($A28,[6]HISTOBQUEOCT25!$A$6:$H$48,4,0)</f>
        <v>0</v>
      </c>
      <c r="F28" s="91">
        <f>VLOOKUP($A28,[6]HISTOBQUEOCT25!$A$6:$H$48,6,0)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IFERROR(VLOOKUP(A28,[7]TONTOCT25!$A$6:$R$41,12,0),0)</f>
        <v>0</v>
      </c>
      <c r="Q28" s="2">
        <f>IFERROR(VLOOKUP(A28,[8]TONTOCT25!$A$6:$R$38,10,0),0)</f>
        <v>0</v>
      </c>
      <c r="R28" s="2">
        <f>IFERROR(VLOOKUP(A28,[9]TONTOCT25!$A$6:$R$42,10,0),0)</f>
        <v>0</v>
      </c>
      <c r="S28" s="20">
        <v>1000000</v>
      </c>
      <c r="T28" s="12" t="s">
        <v>8</v>
      </c>
      <c r="U28" s="17">
        <f t="shared" si="9"/>
        <v>1050000</v>
      </c>
      <c r="V28" s="12"/>
      <c r="W28" s="12"/>
      <c r="X28" s="12"/>
      <c r="Y28" s="92">
        <f t="shared" si="10"/>
        <v>50000</v>
      </c>
      <c r="Z28" s="12">
        <v>1000000</v>
      </c>
      <c r="AA28" s="12" t="s">
        <v>8</v>
      </c>
      <c r="AB28" s="12"/>
      <c r="AC28" s="12"/>
      <c r="AD28" s="12"/>
      <c r="AE28" s="12"/>
      <c r="AF28" s="12"/>
      <c r="AG28" s="12"/>
      <c r="AH28" s="12"/>
      <c r="AI28" s="12">
        <v>50000</v>
      </c>
      <c r="AJ28" s="12"/>
      <c r="AK28" s="12"/>
      <c r="AL28" s="12">
        <v>500</v>
      </c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50000</v>
      </c>
      <c r="AX28" s="15">
        <f t="shared" si="12"/>
        <v>0</v>
      </c>
      <c r="AY28" s="15">
        <f t="shared" si="13"/>
        <v>0</v>
      </c>
      <c r="AZ28" s="16">
        <f t="shared" si="14"/>
        <v>1020000</v>
      </c>
      <c r="BA28" s="58">
        <v>50000</v>
      </c>
      <c r="BB28" s="58"/>
      <c r="BC28" s="15">
        <f t="shared" si="18"/>
        <v>0</v>
      </c>
      <c r="BD28" s="57">
        <f t="shared" si="15"/>
        <v>970000</v>
      </c>
      <c r="BE28" s="82"/>
      <c r="BF28" s="29">
        <f t="shared" si="6"/>
        <v>30000</v>
      </c>
      <c r="BG28" s="29">
        <v>3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VLOOKUP($A29,[6]HISTOBQUEOCT25!$A$6:$H$48,5,0)</f>
        <v>50000</v>
      </c>
      <c r="E29" s="91">
        <f>VLOOKUP($A29,[6]HISTOBQUEOCT25!$A$6:$H$48,4,0)</f>
        <v>0</v>
      </c>
      <c r="F29" s="91">
        <f>VLOOKUP($A29,[6]HISTOBQUEOCT25!$A$6:$H$48,6,0)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IFERROR(VLOOKUP(A29,[7]TONTOCT25!$A$6:$R$41,12,0),0)</f>
        <v>0</v>
      </c>
      <c r="Q29" s="2">
        <f>IFERROR(VLOOKUP(A29,[8]TONTOCT25!$A$6:$R$38,10,0),0)</f>
        <v>0</v>
      </c>
      <c r="R29" s="2">
        <f>IFERROR(VLOOKUP(A29,[9]TONTOCT25!$A$6:$R$42,10,0),0)</f>
        <v>0</v>
      </c>
      <c r="S29" s="20"/>
      <c r="T29" s="12"/>
      <c r="U29" s="17">
        <f t="shared" si="9"/>
        <v>50000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VLOOKUP($A30,[6]HISTOBQUEOCT25!$A$6:$H$48,5,0)</f>
        <v>125000</v>
      </c>
      <c r="E30" s="91">
        <f>VLOOKUP($A30,[6]HISTOBQUEOCT25!$A$6:$H$48,4,0)</f>
        <v>0</v>
      </c>
      <c r="F30" s="91">
        <f>VLOOKUP($A30,[6]HISTOBQUEOCT25!$A$6:$H$48,6,0)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IFERROR(VLOOKUP(A30,[7]TONTOCT25!$A$6:$R$41,12,0),0)</f>
        <v>0</v>
      </c>
      <c r="Q30" s="2">
        <f>IFERROR(VLOOKUP(A30,[8]TONTOCT25!$A$6:$R$38,10,0),0)</f>
        <v>0</v>
      </c>
      <c r="R30" s="2">
        <f>IFERROR(VLOOKUP(A30,[9]TONTOCT25!$A$6:$R$42,10,0),0)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-59000</v>
      </c>
      <c r="D31" s="9">
        <f>VLOOKUP($A31,[6]HISTOBQUEOCT25!$A$6:$H$48,5,0)</f>
        <v>50000</v>
      </c>
      <c r="E31" s="91">
        <f>VLOOKUP($A31,[6]HISTOBQUEOCT25!$A$6:$H$48,4,0)</f>
        <v>0</v>
      </c>
      <c r="F31" s="91">
        <f>VLOOKUP($A31,[6]HISTOBQUEOCT25!$A$6:$H$48,6,0)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IFERROR(VLOOKUP(A31,[7]TONTOCT25!$A$6:$R$41,12,0),0)</f>
        <v>59000</v>
      </c>
      <c r="Q31" s="2">
        <f>IFERROR(VLOOKUP(A31,[8]TONTOCT25!$A$6:$R$38,10,0),0)</f>
        <v>0</v>
      </c>
      <c r="R31" s="2">
        <f>IFERROR(VLOOKUP(A31,[9]TONTOCT25!$A$6:$R$42,10,0),0)</f>
        <v>0</v>
      </c>
      <c r="S31" s="20"/>
      <c r="T31" s="12"/>
      <c r="U31" s="17">
        <f t="shared" si="9"/>
        <v>109000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59000</v>
      </c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59000</v>
      </c>
      <c r="AX31" s="15">
        <f t="shared" si="12"/>
        <v>0</v>
      </c>
      <c r="AY31" s="15">
        <f t="shared" si="13"/>
        <v>0</v>
      </c>
      <c r="AZ31" s="16">
        <f t="shared" si="14"/>
        <v>59000</v>
      </c>
      <c r="BA31" s="58"/>
      <c r="BB31" s="58"/>
      <c r="BC31" s="15">
        <f t="shared" si="18"/>
        <v>0</v>
      </c>
      <c r="BD31" s="57">
        <f t="shared" si="15"/>
        <v>59000</v>
      </c>
      <c r="BE31" s="82"/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-1000000</v>
      </c>
      <c r="D32" s="9">
        <f>VLOOKUP($A32,[6]HISTOBQUEOCT25!$A$6:$H$48,5,0)</f>
        <v>250000</v>
      </c>
      <c r="E32" s="91">
        <f>VLOOKUP($A32,[6]HISTOBQUEOCT25!$A$6:$H$48,4,0)</f>
        <v>206500</v>
      </c>
      <c r="F32" s="91">
        <f>VLOOKUP($A32,[6]HISTOBQUEOCT25!$A$6:$H$48,6,0)</f>
        <v>0</v>
      </c>
      <c r="G32" s="91"/>
      <c r="H32" s="5">
        <f>IF(I32="ESPECES",3000,0)+3000</f>
        <v>3000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IFERROR(VLOOKUP(A32,[7]TONTOCT25!$A$6:$R$41,12,0),0)</f>
        <v>0</v>
      </c>
      <c r="Q32" s="2">
        <f>IFERROR(VLOOKUP(A32,[8]TONTOCT25!$A$6:$R$38,10,0),0)</f>
        <v>0</v>
      </c>
      <c r="R32" s="2">
        <f>IFERROR(VLOOKUP(A32,[9]TONTOCT25!$A$6:$R$42,10,0),0)</f>
        <v>203500</v>
      </c>
      <c r="S32" s="20">
        <v>1000000</v>
      </c>
      <c r="T32" s="12" t="s">
        <v>8</v>
      </c>
      <c r="U32" s="17">
        <f t="shared" si="9"/>
        <v>1456500</v>
      </c>
      <c r="V32" s="12"/>
      <c r="W32" s="12"/>
      <c r="X32" s="12"/>
      <c r="Y32" s="92">
        <f t="shared" si="10"/>
        <v>250000</v>
      </c>
      <c r="Z32" s="12">
        <v>1000000</v>
      </c>
      <c r="AA32" s="12" t="s">
        <v>8</v>
      </c>
      <c r="AB32" s="12"/>
      <c r="AC32" s="12"/>
      <c r="AD32" s="12"/>
      <c r="AE32" s="12">
        <v>15000</v>
      </c>
      <c r="AF32" s="12"/>
      <c r="AG32" s="12"/>
      <c r="AH32" s="12"/>
      <c r="AI32" s="12">
        <v>50000</v>
      </c>
      <c r="AJ32" s="12"/>
      <c r="AK32" s="12">
        <v>200000</v>
      </c>
      <c r="AL32" s="12">
        <v>1000</v>
      </c>
      <c r="AM32" s="12"/>
      <c r="AN32" s="12">
        <v>7000</v>
      </c>
      <c r="AO32" s="12"/>
      <c r="AP32" s="12"/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50000</v>
      </c>
      <c r="AX32" s="15">
        <f t="shared" si="12"/>
        <v>0</v>
      </c>
      <c r="AY32" s="15">
        <f t="shared" si="13"/>
        <v>1385000</v>
      </c>
      <c r="AZ32" s="16">
        <f t="shared" si="14"/>
        <v>2405000</v>
      </c>
      <c r="BA32" s="58">
        <v>250000</v>
      </c>
      <c r="BB32" s="58"/>
      <c r="BC32" s="15">
        <f t="shared" si="18"/>
        <v>0</v>
      </c>
      <c r="BD32" s="57">
        <f t="shared" si="15"/>
        <v>2155000</v>
      </c>
      <c r="BE32" s="82"/>
      <c r="BF32" s="29">
        <f t="shared" si="6"/>
        <v>30000</v>
      </c>
      <c r="BG32" s="29">
        <v>3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VLOOKUP($A33,[6]HISTOBQUEOCT25!$A$6:$H$48,5,0)</f>
        <v>50000</v>
      </c>
      <c r="E33" s="91">
        <f>VLOOKUP($A33,[6]HISTOBQUEOCT25!$A$6:$H$48,4,0)</f>
        <v>0</v>
      </c>
      <c r="F33" s="91">
        <f>VLOOKUP($A33,[6]HISTOBQUEOCT25!$A$6:$H$48,6,0)</f>
        <v>0</v>
      </c>
      <c r="G33" s="91"/>
      <c r="H33" s="5">
        <f t="shared" si="16"/>
        <v>0</v>
      </c>
      <c r="I33" s="10" t="str">
        <f t="shared" si="0"/>
        <v>BANQUE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IFERROR(VLOOKUP(A33,[7]TONTOCT25!$A$6:$R$41,12,0),0)</f>
        <v>0</v>
      </c>
      <c r="Q33" s="2">
        <f>IFERROR(VLOOKUP(A33,[8]TONTOCT25!$A$6:$R$38,10,0),0)</f>
        <v>0</v>
      </c>
      <c r="R33" s="2">
        <f>IFERROR(VLOOKUP(A33,[9]TONTOCT25!$A$6:$R$42,10,0),0)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>IF(I34&lt;&gt;"ECHEC",D34+E34+F34-U34,0)</f>
        <v>-30500</v>
      </c>
      <c r="D34" s="9">
        <f>VLOOKUP($A34,[6]HISTOBQUEOCT25!$A$6:$H$48,5,0)</f>
        <v>0</v>
      </c>
      <c r="E34" s="91">
        <f>VLOOKUP($A34,[6]HISTOBQUEOCT25!$A$6:$H$48,4,0)</f>
        <v>500000</v>
      </c>
      <c r="F34" s="91">
        <f>VLOOKUP($A34,[6]HISTOBQUEOCT25!$A$6:$H$48,6,0)</f>
        <v>0</v>
      </c>
      <c r="G34" s="91"/>
      <c r="H34" s="5">
        <f>IF(I34="ESPECES",3000,0)-3000</f>
        <v>0</v>
      </c>
      <c r="I34" s="10" t="str">
        <f t="shared" si="0"/>
        <v>ESPECES</v>
      </c>
      <c r="J34" s="11"/>
      <c r="K34" s="11"/>
      <c r="L34" s="6"/>
      <c r="M34" s="11"/>
      <c r="N34" s="6"/>
      <c r="O34" s="11">
        <f t="shared" si="2"/>
        <v>0</v>
      </c>
      <c r="P34" s="2">
        <f>IFERROR(VLOOKUP(A34,[7]TONTOCT25!$A$6:$R$41,12,0),0)</f>
        <v>30500</v>
      </c>
      <c r="Q34" s="2">
        <f>IFERROR(VLOOKUP(A34,[8]TONTOCT25!$A$6:$R$38,10,0),0)</f>
        <v>0</v>
      </c>
      <c r="R34" s="2">
        <f>IFERROR(VLOOKUP(A34,[9]TONTOCT25!$A$6:$R$42,10,0),0)</f>
        <v>0</v>
      </c>
      <c r="S34" s="20">
        <v>500000</v>
      </c>
      <c r="T34" s="12" t="s">
        <v>8</v>
      </c>
      <c r="U34" s="17">
        <f t="shared" si="9"/>
        <v>530500</v>
      </c>
      <c r="V34" s="12"/>
      <c r="W34" s="12"/>
      <c r="X34" s="12"/>
      <c r="Y34" s="92">
        <f t="shared" si="10"/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>
        <v>30500</v>
      </c>
      <c r="AJ34" s="12"/>
      <c r="AK34" s="12"/>
      <c r="AL34" s="12"/>
      <c r="AM34" s="12"/>
      <c r="AN34" s="12"/>
      <c r="AO34" s="12"/>
      <c r="AP34" s="12" t="s">
        <v>8</v>
      </c>
      <c r="AQ34" s="8">
        <f t="shared" si="3"/>
        <v>0</v>
      </c>
      <c r="AR34" s="8">
        <f t="shared" si="4"/>
        <v>0</v>
      </c>
      <c r="AS34" s="13">
        <f t="shared" si="17"/>
        <v>-25000</v>
      </c>
      <c r="AT34" s="15"/>
      <c r="AV34" s="15"/>
      <c r="AW34" s="15">
        <f t="shared" si="11"/>
        <v>30500</v>
      </c>
      <c r="AX34" s="15">
        <f t="shared" si="12"/>
        <v>0</v>
      </c>
      <c r="AY34" s="15">
        <f t="shared" si="13"/>
        <v>0</v>
      </c>
      <c r="AZ34" s="16">
        <f t="shared" si="14"/>
        <v>30500</v>
      </c>
      <c r="BA34" s="58"/>
      <c r="BB34" s="58"/>
      <c r="BC34" s="15">
        <f t="shared" si="18"/>
        <v>0</v>
      </c>
      <c r="BD34" s="57">
        <f t="shared" si="15"/>
        <v>30500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VLOOKUP($A35,[6]HISTOBQUEOCT25!$A$6:$H$48,5,0)</f>
        <v>125000</v>
      </c>
      <c r="E35" s="91">
        <f>VLOOKUP($A35,[6]HISTOBQUEOCT25!$A$6:$H$48,4,0)</f>
        <v>202500</v>
      </c>
      <c r="F35" s="91">
        <f>VLOOKUP($A35,[6]HISTOBQUEOCT25!$A$6:$H$48,6,0)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IFERROR(VLOOKUP(A35,[7]TONTOCT25!$A$6:$R$41,12,0),0)</f>
        <v>0</v>
      </c>
      <c r="Q35" s="2">
        <f>IFERROR(VLOOKUP(A35,[8]TONTOCT25!$A$6:$R$38,10,0),0)</f>
        <v>202500</v>
      </c>
      <c r="R35" s="2">
        <f>IFERROR(VLOOKUP(A35,[9]TONTOCT25!$A$6:$R$42,10,0),0)</f>
        <v>0</v>
      </c>
      <c r="S35" s="20"/>
      <c r="T35" s="12"/>
      <c r="U35" s="17">
        <f t="shared" si="9"/>
        <v>327500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>
        <v>50000</v>
      </c>
      <c r="AJ35" s="12">
        <v>100000</v>
      </c>
      <c r="AK35" s="12"/>
      <c r="AL35" s="12">
        <v>1000</v>
      </c>
      <c r="AM35" s="12">
        <v>1000</v>
      </c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50000</v>
      </c>
      <c r="AX35" s="15">
        <f t="shared" si="12"/>
        <v>100000</v>
      </c>
      <c r="AY35" s="15">
        <f t="shared" si="13"/>
        <v>0</v>
      </c>
      <c r="AZ35" s="16">
        <f t="shared" si="14"/>
        <v>150000</v>
      </c>
      <c r="BA35" s="58">
        <v>150000</v>
      </c>
      <c r="BB35" s="58"/>
      <c r="BC35" s="15">
        <f t="shared" si="18"/>
        <v>0</v>
      </c>
      <c r="BD35" s="57">
        <f t="shared" si="15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VLOOKUP($A36,[6]HISTOBQUEOCT25!$A$6:$H$48,5,0)</f>
        <v>150000</v>
      </c>
      <c r="E36" s="91">
        <f>VLOOKUP($A36,[6]HISTOBQUEOCT25!$A$6:$H$48,4,0)</f>
        <v>0</v>
      </c>
      <c r="F36" s="91">
        <f>VLOOKUP($A36,[6]HISTOBQUEOCT25!$A$6:$H$48,6,0)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IFERROR(VLOOKUP(A36,[7]TONTOCT25!$A$6:$R$41,12,0),0)</f>
        <v>0</v>
      </c>
      <c r="Q36" s="2">
        <f>IFERROR(VLOOKUP(A36,[8]TONTOCT25!$A$6:$R$38,10,0),0)</f>
        <v>0</v>
      </c>
      <c r="R36" s="2">
        <f>IFERROR(VLOOKUP(A36,[9]TONTOCT25!$A$6:$R$42,10,0),0)</f>
        <v>0</v>
      </c>
      <c r="S36" s="20"/>
      <c r="T36" s="12"/>
      <c r="U36" s="17">
        <f t="shared" si="9"/>
        <v>150000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>
        <v>100000</v>
      </c>
      <c r="AL36" s="12"/>
      <c r="AM36" s="12"/>
      <c r="AN36" s="12">
        <v>2500</v>
      </c>
      <c r="AO36" s="12"/>
      <c r="AP36" s="12"/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100000</v>
      </c>
      <c r="AZ36" s="16">
        <f t="shared" si="14"/>
        <v>100000</v>
      </c>
      <c r="BA36" s="58">
        <v>100000</v>
      </c>
      <c r="BB36" s="58"/>
      <c r="BC36" s="15">
        <f t="shared" si="18"/>
        <v>0</v>
      </c>
      <c r="BD36" s="57">
        <f t="shared" si="15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VLOOKUP($A37,[6]HISTOBQUEOCT25!$A$6:$H$48,5,0)</f>
        <v>50000</v>
      </c>
      <c r="E37" s="91">
        <f>VLOOKUP($A37,[6]HISTOBQUEOCT25!$A$6:$H$48,4,0)</f>
        <v>0</v>
      </c>
      <c r="F37" s="91">
        <f>VLOOKUP($A37,[6]HISTOBQUEOCT25!$A$6:$H$48,6,0)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IFERROR(VLOOKUP(A37,[7]TONTOCT25!$A$6:$R$41,12,0),0)</f>
        <v>0</v>
      </c>
      <c r="Q37" s="2">
        <f>IFERROR(VLOOKUP(A37,[8]TONTOCT25!$A$6:$R$38,10,0),0)</f>
        <v>0</v>
      </c>
      <c r="R37" s="2">
        <f>IFERROR(VLOOKUP(A37,[9]TONTOCT25!$A$6:$R$42,10,0),0)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2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VLOOKUP($A38,[6]HISTOBQUEOCT25!$A$6:$H$48,5,0)</f>
        <v>0</v>
      </c>
      <c r="E38" s="91">
        <f>VLOOKUP($A38,[6]HISTOBQUEOCT25!$A$6:$H$48,4,0)</f>
        <v>50000</v>
      </c>
      <c r="F38" s="91">
        <f>VLOOKUP($A38,[6]HISTOBQUEOCT25!$A$6:$H$48,6,0)</f>
        <v>0</v>
      </c>
      <c r="G38" s="91">
        <v>-3000</v>
      </c>
      <c r="H38" s="5">
        <f>IF(I38="ESPECES",3000,0)</f>
        <v>3000</v>
      </c>
      <c r="I38" s="10" t="str">
        <f t="shared" si="0"/>
        <v>ESPECES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IFERROR(VLOOKUP(A38,[7]TONTOCT25!$A$6:$R$41,12,0),0)</f>
        <v>0</v>
      </c>
      <c r="Q38" s="2">
        <f>IFERROR(VLOOKUP(A38,[8]TONTOCT25!$A$6:$R$38,10,0),0)</f>
        <v>0</v>
      </c>
      <c r="R38" s="2">
        <f>IFERROR(VLOOKUP(A38,[9]TONTOCT25!$A$6:$R$42,10,0),0)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22000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2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VLOOKUP($A39,[6]HISTOBQUEOCT25!$A$6:$H$48,5,0)</f>
        <v>125000</v>
      </c>
      <c r="E39" s="91">
        <f>VLOOKUP($A39,[6]HISTOBQUEOCT25!$A$6:$H$48,4,0)</f>
        <v>0</v>
      </c>
      <c r="F39" s="91">
        <f>VLOOKUP($A39,[6]HISTOBQUEOCT25!$A$6:$H$48,6,0)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IFERROR(VLOOKUP(A39,[7]TONTOCT25!$A$6:$R$41,12,0),0)</f>
        <v>0</v>
      </c>
      <c r="Q39" s="2">
        <f>IFERROR(VLOOKUP(A39,[8]TONTOCT25!$A$6:$R$38,10,0),0)</f>
        <v>0</v>
      </c>
      <c r="R39" s="2">
        <f>IFERROR(VLOOKUP(A39,[9]TONTOCT25!$A$6:$R$42,10,0),0)</f>
        <v>0</v>
      </c>
      <c r="S39" s="20"/>
      <c r="T39" s="12"/>
      <c r="U39" s="17">
        <f t="shared" si="9"/>
        <v>125000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>
        <v>50000</v>
      </c>
      <c r="AJ39" s="12">
        <v>100000</v>
      </c>
      <c r="AK39" s="12"/>
      <c r="AL39" s="12">
        <v>1000</v>
      </c>
      <c r="AM39" s="12">
        <v>1500</v>
      </c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50000</v>
      </c>
      <c r="AX39" s="15">
        <f t="shared" si="12"/>
        <v>100000</v>
      </c>
      <c r="AY39" s="15">
        <f t="shared" si="13"/>
        <v>0</v>
      </c>
      <c r="AZ39" s="16">
        <f t="shared" si="14"/>
        <v>150000</v>
      </c>
      <c r="BA39" s="58">
        <v>150000</v>
      </c>
      <c r="BB39" s="58"/>
      <c r="BC39" s="15">
        <f t="shared" si="18"/>
        <v>0</v>
      </c>
      <c r="BD39" s="57">
        <f t="shared" si="15"/>
        <v>0</v>
      </c>
      <c r="BE39" s="82"/>
      <c r="BF39" s="29">
        <f t="shared" si="6"/>
        <v>0</v>
      </c>
      <c r="BG39" s="29">
        <v>2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VLOOKUP($A40,[6]HISTOBQUEOCT25!$A$6:$H$48,5,0)</f>
        <v>50000</v>
      </c>
      <c r="E40" s="91">
        <f>VLOOKUP($A40,[6]HISTOBQUEOCT25!$A$6:$H$48,4,0)</f>
        <v>0</v>
      </c>
      <c r="F40" s="91">
        <f>VLOOKUP($A40,[6]HISTOBQUEOCT25!$A$6:$H$48,6,0)</f>
        <v>0</v>
      </c>
      <c r="G40" s="91"/>
      <c r="H40" s="5">
        <f t="shared" si="16"/>
        <v>0</v>
      </c>
      <c r="I40" s="10" t="str">
        <f t="shared" si="0"/>
        <v>BANQUE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IFERROR(VLOOKUP(A40,[7]TONTOCT25!$A$6:$R$41,12,0),0)</f>
        <v>0</v>
      </c>
      <c r="Q40" s="2">
        <f>IFERROR(VLOOKUP(A40,[8]TONTOCT25!$A$6:$R$38,10,0),0)</f>
        <v>0</v>
      </c>
      <c r="R40" s="2">
        <f>IFERROR(VLOOKUP(A40,[9]TONTOCT25!$A$6:$R$42,10,0),0)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2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VLOOKUP($A41,[6]HISTOBQUEOCT25!$A$6:$H$48,5,0)</f>
        <v>0</v>
      </c>
      <c r="E41" s="91">
        <f>VLOOKUP($A41,[6]HISTOBQUEOCT25!$A$6:$H$48,4,0)</f>
        <v>253000</v>
      </c>
      <c r="F41" s="91">
        <f>VLOOKUP($A41,[6]HISTOBQUEOCT25!$A$6:$H$48,6,0)</f>
        <v>0</v>
      </c>
      <c r="G41" s="91"/>
      <c r="H41" s="5">
        <f t="shared" si="16"/>
        <v>3000</v>
      </c>
      <c r="I41" s="10" t="str">
        <f t="shared" si="0"/>
        <v>ESPECES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IFERROR(VLOOKUP(A41,[7]TONTOCT25!$A$6:$R$41,12,0),0)</f>
        <v>0</v>
      </c>
      <c r="Q41" s="2">
        <f>IFERROR(VLOOKUP(A41,[8]TONTOCT25!$A$6:$R$38,10,0),0)</f>
        <v>0</v>
      </c>
      <c r="R41" s="2">
        <f>IFERROR(VLOOKUP(A41,[9]TONTOCT25!$A$6:$R$42,10,0),0)</f>
        <v>0</v>
      </c>
      <c r="S41" s="6"/>
      <c r="T41" s="12"/>
      <c r="U41" s="17">
        <f t="shared" si="9"/>
        <v>253000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>
        <v>15000</v>
      </c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1185000</v>
      </c>
      <c r="AZ41" s="16">
        <f t="shared" si="14"/>
        <v>1185000</v>
      </c>
      <c r="BA41" s="58">
        <v>500000</v>
      </c>
      <c r="BB41" s="58"/>
      <c r="BC41" s="15">
        <f t="shared" si="18"/>
        <v>0</v>
      </c>
      <c r="BD41" s="57">
        <f t="shared" si="15"/>
        <v>685000</v>
      </c>
      <c r="BE41" s="82"/>
      <c r="BF41" s="29">
        <f t="shared" si="6"/>
        <v>0</v>
      </c>
      <c r="BG41" s="29">
        <v>2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VLOOKUP($A42,[6]HISTOBQUEOCT25!$A$6:$H$48,5,0)</f>
        <v>225000</v>
      </c>
      <c r="E42" s="91">
        <f>VLOOKUP($A42,[6]HISTOBQUEOCT25!$A$6:$H$48,4,0)</f>
        <v>0</v>
      </c>
      <c r="F42" s="91">
        <f>VLOOKUP($A42,[6]HISTOBQUEOCT25!$A$6:$H$48,6,0)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IFERROR(VLOOKUP(A42,[7]TONTOCT25!$A$6:$R$41,12,0),0)</f>
        <v>0</v>
      </c>
      <c r="Q42" s="2">
        <f>IFERROR(VLOOKUP(A42,[8]TONTOCT25!$A$6:$R$38,10,0),0)</f>
        <v>0</v>
      </c>
      <c r="R42" s="2">
        <f>IFERROR(VLOOKUP(A42,[9]TONTOCT25!$A$6:$R$42,10,0),0)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2</v>
      </c>
      <c r="BH42" s="15"/>
      <c r="BI42" s="15"/>
      <c r="BJ42" s="15"/>
      <c r="BK42" s="15"/>
      <c r="BL42" s="15"/>
      <c r="BQ42" s="6"/>
    </row>
    <row r="43" spans="1:69" ht="18.5" x14ac:dyDescent="0.45">
      <c r="B43" s="1" t="s">
        <v>278</v>
      </c>
      <c r="E43" s="91">
        <v>50000</v>
      </c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-4603500</v>
      </c>
      <c r="D44" s="5">
        <f>SUM(D6:D43)</f>
        <v>5455000</v>
      </c>
      <c r="E44" s="5">
        <f>SUM(E6:E43)</f>
        <v>2976000</v>
      </c>
      <c r="F44" s="5">
        <f>SUM(F6:F43)</f>
        <v>0</v>
      </c>
      <c r="G44" s="5">
        <f t="shared" ref="G44:S44" si="19">SUM(G6:G43)</f>
        <v>132000</v>
      </c>
      <c r="H44" s="5">
        <f t="shared" si="19"/>
        <v>21000</v>
      </c>
      <c r="I44" s="5">
        <f t="shared" si="19"/>
        <v>0</v>
      </c>
      <c r="J44" s="5">
        <f t="shared" si="19"/>
        <v>34</v>
      </c>
      <c r="K44" s="5">
        <f t="shared" si="19"/>
        <v>1700000</v>
      </c>
      <c r="L44" s="5">
        <f t="shared" si="19"/>
        <v>13</v>
      </c>
      <c r="M44" s="5">
        <f t="shared" si="19"/>
        <v>975000</v>
      </c>
      <c r="N44" s="5">
        <f t="shared" si="19"/>
        <v>23</v>
      </c>
      <c r="O44" s="5">
        <f t="shared" si="19"/>
        <v>2300000</v>
      </c>
      <c r="P44" s="5">
        <f t="shared" si="19"/>
        <v>89500</v>
      </c>
      <c r="Q44" s="5">
        <f t="shared" si="19"/>
        <v>809000</v>
      </c>
      <c r="R44" s="5">
        <f t="shared" si="19"/>
        <v>1093000</v>
      </c>
      <c r="S44" s="5">
        <f t="shared" si="19"/>
        <v>5900000</v>
      </c>
      <c r="T44" s="5"/>
      <c r="U44" s="5">
        <f t="shared" ref="U44:AA44" si="20">SUM(U6:U43)</f>
        <v>12969500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4975000</v>
      </c>
      <c r="Z44" s="5">
        <f t="shared" si="20"/>
        <v>4550000</v>
      </c>
      <c r="AA44" s="5">
        <f t="shared" si="20"/>
        <v>0</v>
      </c>
      <c r="AB44" s="5"/>
      <c r="AC44" s="5">
        <f>SUM(AC6:AC43)</f>
        <v>0</v>
      </c>
      <c r="AD44" s="5">
        <f>SUM(AD6:AD43)</f>
        <v>7500</v>
      </c>
      <c r="AE44" s="5">
        <f>SUM(AE6:AE43)</f>
        <v>30000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739500</v>
      </c>
      <c r="AJ44" s="5">
        <f t="shared" si="21"/>
        <v>800000</v>
      </c>
      <c r="AK44" s="5">
        <f t="shared" si="21"/>
        <v>1159500</v>
      </c>
      <c r="AL44" s="5">
        <f t="shared" si="21"/>
        <v>10000</v>
      </c>
      <c r="AM44" s="5">
        <f t="shared" si="21"/>
        <v>9500</v>
      </c>
      <c r="AN44" s="5">
        <f t="shared" si="21"/>
        <v>32500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907000</v>
      </c>
      <c r="AT44" s="5">
        <f t="shared" si="21"/>
        <v>0</v>
      </c>
      <c r="AU44" s="5">
        <f t="shared" si="21"/>
        <v>0</v>
      </c>
      <c r="AV44" s="5">
        <f t="shared" si="21"/>
        <v>0</v>
      </c>
      <c r="AW44" s="5">
        <f t="shared" si="21"/>
        <v>739500</v>
      </c>
      <c r="AX44" s="5">
        <f t="shared" si="21"/>
        <v>1692500</v>
      </c>
      <c r="AY44" s="5">
        <f t="shared" si="21"/>
        <v>3529500</v>
      </c>
      <c r="AZ44" s="5">
        <f t="shared" si="21"/>
        <v>10507000</v>
      </c>
      <c r="BA44" s="5">
        <f t="shared" si="21"/>
        <v>2976000</v>
      </c>
      <c r="BB44" s="5">
        <f t="shared" si="21"/>
        <v>0</v>
      </c>
      <c r="BC44" s="5">
        <f t="shared" si="21"/>
        <v>0</v>
      </c>
      <c r="BD44" s="5">
        <f t="shared" si="21"/>
        <v>7481000</v>
      </c>
      <c r="BE44" s="5">
        <f t="shared" si="21"/>
        <v>0</v>
      </c>
      <c r="BF44" s="5">
        <f t="shared" si="21"/>
        <v>125500</v>
      </c>
      <c r="BH44" s="5">
        <f t="shared" ref="BH44:BL44" si="22">SUM(BH6:BH43)</f>
        <v>6000</v>
      </c>
      <c r="BI44" s="5">
        <f t="shared" si="22"/>
        <v>0</v>
      </c>
      <c r="BJ44" s="5">
        <f t="shared" si="22"/>
        <v>0</v>
      </c>
      <c r="BK44" s="5">
        <f t="shared" si="22"/>
        <v>100000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2976000</v>
      </c>
      <c r="BB46" t="s">
        <v>232</v>
      </c>
      <c r="BD46" s="9">
        <v>2873000</v>
      </c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0</v>
      </c>
      <c r="BD47" s="14">
        <f>+BD46-BD44</f>
        <v>-4608000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7481000</v>
      </c>
      <c r="D50" s="9">
        <f>+D44</f>
        <v>5455000</v>
      </c>
      <c r="E50" s="9">
        <f>+C50-D50</f>
        <v>2026000</v>
      </c>
      <c r="F50" s="9"/>
      <c r="G50" s="9">
        <f>E44</f>
        <v>2976000</v>
      </c>
      <c r="H50" s="14">
        <f>+BA44</f>
        <v>2976000</v>
      </c>
      <c r="I50" s="88">
        <f>+G50-H50</f>
        <v>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21008000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T6:T42 AP6:AP43 AF6:AF42" xr:uid="{2E27E2EA-D8DF-4192-95D5-F8AB0ECE8A6B}">
      <formula1>"BANQUE,ESPECES,EN COMPTE,AUTRES"</formula1>
    </dataValidation>
    <dataValidation type="list" showInputMessage="1" showErrorMessage="1" sqref="AA6:AA42" xr:uid="{16341BC8-F01D-4C0B-AED5-BC1E10C3A5B9}">
      <formula1>"BANQUE,ESPECES, 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C61D-81B1-467C-BAB2-57FCF03662D0}">
  <dimension ref="A1:BQ88"/>
  <sheetViews>
    <sheetView zoomScale="87" zoomScaleNormal="87" workbookViewId="0">
      <pane xSplit="4" ySplit="5" topLeftCell="BO33" activePane="bottomRight" state="frozen"/>
      <selection activeCell="D15" sqref="D15"/>
      <selection pane="topRight" activeCell="D15" sqref="D15"/>
      <selection pane="bottomLeft" activeCell="D15" sqref="D15"/>
      <selection pane="bottomRight" activeCell="BR30" sqref="BR3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7.81640625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0</v>
      </c>
      <c r="D6" s="9">
        <f>VLOOKUP($A6,[6]HISTOBQUENOV25!$A$6:$H$48,5,0)</f>
        <v>250000</v>
      </c>
      <c r="E6" s="91">
        <f>VLOOKUP($A6,[6]HISTOBQUENOV25!$A$6:$H$48,4,0)</f>
        <v>0</v>
      </c>
      <c r="F6" s="91">
        <f>VLOOKUP($A6,[6]HISTOBQUENOV25!$A$6:$H$48,6,0)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IFERROR(VLOOKUP(A6,[7]TONTNOV25!$A$6:$R$41,12,0),0)</f>
        <v>0</v>
      </c>
      <c r="Q6" s="2">
        <f>IFERROR(VLOOKUP(A6,[8]TONTNOV25!$A$6:$R$38,10,0),0)</f>
        <v>0</v>
      </c>
      <c r="R6" s="2">
        <f>IFERROR(VLOOKUP(A6,[9]TONTNOV25!$A$6:$R$42,10,0),0)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SUM(AV6:AY6)-BF6+Z6+BH6+BI6+BJ6+BK6+BL6+BM6+BN6</f>
        <v>106000</v>
      </c>
      <c r="BA6" s="58"/>
      <c r="BB6" s="58"/>
      <c r="BC6" s="15">
        <f t="shared" ref="BC6:BC17" si="5">F6</f>
        <v>0</v>
      </c>
      <c r="BD6" s="57">
        <f>IF(AZ6=0,(AZ6-BA6-BC6),(AZ6-BA6-BB6-BC6))</f>
        <v>106000</v>
      </c>
      <c r="BE6" s="82"/>
      <c r="BF6" s="29">
        <f t="shared" ref="BF6:BF42" si="6">Z6*1/100*BG6</f>
        <v>0</v>
      </c>
      <c r="BG6" s="29">
        <v>1</v>
      </c>
      <c r="BH6" s="15">
        <f>BQ17</f>
        <v>6000</v>
      </c>
      <c r="BI6" s="15">
        <f>BQ30</f>
        <v>0</v>
      </c>
      <c r="BJ6" s="15">
        <f>BQ36</f>
        <v>100000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VLOOKUP($A7,[6]HISTOBQUENOV25!$A$6:$H$48,5,0)</f>
        <v>0</v>
      </c>
      <c r="E7" s="91">
        <f>VLOOKUP($A7,[6]HISTOBQUENOV25!$A$6:$H$48,4,0)</f>
        <v>50000</v>
      </c>
      <c r="F7" s="91">
        <f>VLOOKUP($A7,[6]HISTOBQUENOV25!$A$6:$H$48,6,0)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IFERROR(VLOOKUP(A7,[7]TONTNOV25!$A$6:$R$41,12,0),0)</f>
        <v>0</v>
      </c>
      <c r="Q7" s="2">
        <f>IFERROR(VLOOKUP(A7,[8]TONTNOV25!$A$6:$R$38,10,0),0)</f>
        <v>0</v>
      </c>
      <c r="R7" s="2">
        <f>IFERROR(VLOOKUP(A7,[9]TONTNOV25!$A$6:$R$42,10,0),0)</f>
        <v>0</v>
      </c>
      <c r="S7" s="20"/>
      <c r="T7" s="12"/>
      <c r="U7" s="17">
        <f t="shared" ref="U7:U42" si="9">G7+H7+S7+R7+P7+O7+M7+K7+Q7+V7+W7</f>
        <v>50000</v>
      </c>
      <c r="V7" s="12"/>
      <c r="W7" s="12"/>
      <c r="X7" s="12"/>
      <c r="Y7" s="92">
        <f t="shared" ref="Y7:Y42" si="10">K7+M7+O7</f>
        <v>50000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0</v>
      </c>
      <c r="BA7" s="58"/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0</v>
      </c>
      <c r="BG7" s="29">
        <v>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500</v>
      </c>
      <c r="D8" s="9">
        <f>VLOOKUP($A8,[6]HISTOBQUENOV25!$A$6:$H$48,5,0)</f>
        <v>378000</v>
      </c>
      <c r="E8" s="91">
        <f>VLOOKUP($A8,[6]HISTOBQUENOV25!$A$6:$H$48,4,0)</f>
        <v>0</v>
      </c>
      <c r="F8" s="91">
        <f>VLOOKUP($A8,[6]HISTOBQUENOV25!$A$6:$H$48,6,0)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IFERROR(VLOOKUP(A8,[7]TONTNOV25!$A$6:$R$41,12,0),0)</f>
        <v>50500</v>
      </c>
      <c r="Q8" s="2">
        <f>IFERROR(VLOOKUP(A8,[8]TONTNOV25!$A$6:$R$38,10,0),0)</f>
        <v>202000</v>
      </c>
      <c r="R8" s="2">
        <f>IFERROR(VLOOKUP(A8,[9]TONTNOV25!$A$6:$R$42,10,0),0)</f>
        <v>0</v>
      </c>
      <c r="S8" s="20"/>
      <c r="T8" s="12"/>
      <c r="U8" s="17">
        <f t="shared" si="9"/>
        <v>377500</v>
      </c>
      <c r="V8" s="12"/>
      <c r="W8" s="12"/>
      <c r="X8" s="12"/>
      <c r="Y8" s="92">
        <f t="shared" si="10"/>
        <v>125000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 t="s">
        <v>8</v>
      </c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>
        <f t="shared" si="5"/>
        <v>0</v>
      </c>
      <c r="BD8" s="57">
        <f t="shared" si="15"/>
        <v>0</v>
      </c>
      <c r="BE8" s="82"/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VLOOKUP($A9,[6]HISTOBQUENOV25!$A$6:$H$48,5,0)</f>
        <v>100000</v>
      </c>
      <c r="E9" s="91">
        <f>VLOOKUP($A9,[6]HISTOBQUENOV25!$A$6:$H$48,4,0)</f>
        <v>404500</v>
      </c>
      <c r="F9" s="91">
        <f>VLOOKUP($A9,[6]HISTOBQUENOV25!$A$6:$H$48,6,0)</f>
        <v>0</v>
      </c>
      <c r="G9" s="91"/>
      <c r="H9" s="5">
        <f t="shared" si="16"/>
        <v>0</v>
      </c>
      <c r="I9" s="10" t="str">
        <f t="shared" si="0"/>
        <v>BANQUE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IFERROR(VLOOKUP(A9,[7]TONTNOV25!$A$6:$R$41,12,0),0)</f>
        <v>50500</v>
      </c>
      <c r="Q9" s="2">
        <f>IFERROR(VLOOKUP(A9,[8]TONTNOV25!$A$6:$R$38,10,0),0)</f>
        <v>0</v>
      </c>
      <c r="R9" s="2">
        <f>IFERROR(VLOOKUP(A9,[9]TONTNOV25!$A$6:$R$42,10,0),0)</f>
        <v>204000</v>
      </c>
      <c r="S9" s="20"/>
      <c r="T9" s="12"/>
      <c r="U9" s="17">
        <f t="shared" si="9"/>
        <v>504500</v>
      </c>
      <c r="V9" s="12"/>
      <c r="W9" s="12"/>
      <c r="X9" s="12"/>
      <c r="Y9" s="92">
        <f t="shared" si="10"/>
        <v>250000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7000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200000</v>
      </c>
      <c r="AZ9" s="16">
        <f t="shared" si="14"/>
        <v>200000</v>
      </c>
      <c r="BA9" s="58">
        <v>200000</v>
      </c>
      <c r="BB9" s="58"/>
      <c r="BC9" s="15">
        <f t="shared" si="5"/>
        <v>0</v>
      </c>
      <c r="BD9" s="57">
        <f t="shared" si="15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VLOOKUP($A10,[6]HISTOBQUENOV25!$A$6:$H$48,5,0)</f>
        <v>101000</v>
      </c>
      <c r="E10" s="91">
        <f>VLOOKUP($A10,[6]HISTOBQUENOV25!$A$6:$H$48,4,0)</f>
        <v>0</v>
      </c>
      <c r="F10" s="91">
        <f>VLOOKUP($A10,[6]HISTOBQUENOV25!$A$6:$H$48,6,0)</f>
        <v>0</v>
      </c>
      <c r="G10" s="91"/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IFERROR(VLOOKUP(A10,[7]TONTNOV25!$A$6:$R$41,12,0),0)</f>
        <v>51000</v>
      </c>
      <c r="Q10" s="2">
        <f>IFERROR(VLOOKUP(A10,[8]TONTNOV25!$A$6:$R$38,10,0),0)</f>
        <v>0</v>
      </c>
      <c r="R10" s="2">
        <f>IFERROR(VLOOKUP(A10,[9]TONTNOV25!$A$6:$R$42,10,0),0)</f>
        <v>0</v>
      </c>
      <c r="S10" s="20"/>
      <c r="T10" s="12"/>
      <c r="U10" s="17">
        <f t="shared" si="9"/>
        <v>101000</v>
      </c>
      <c r="V10" s="12"/>
      <c r="W10" s="12"/>
      <c r="X10" s="12"/>
      <c r="Y10" s="92">
        <f t="shared" si="10"/>
        <v>50000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20000</v>
      </c>
      <c r="AJ10" s="12"/>
      <c r="AK10" s="12"/>
      <c r="AL10" s="12">
        <v>500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20000</v>
      </c>
      <c r="AX10" s="15">
        <f t="shared" si="12"/>
        <v>0</v>
      </c>
      <c r="AY10" s="15">
        <f t="shared" si="13"/>
        <v>0</v>
      </c>
      <c r="AZ10" s="16">
        <f t="shared" si="14"/>
        <v>20000</v>
      </c>
      <c r="BA10" s="58">
        <v>20000</v>
      </c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14">
        <f t="shared" si="7"/>
        <v>-216000</v>
      </c>
      <c r="D11" s="9">
        <f>VLOOKUP($A11,[6]HISTOBQUENOV25!$A$6:$H$48,5,0)-150000</f>
        <v>150000</v>
      </c>
      <c r="E11" s="91">
        <f>VLOOKUP($A11,[6]HISTOBQUENOV25!$A$6:$H$48,4,0)</f>
        <v>0</v>
      </c>
      <c r="F11" s="91">
        <f>VLOOKUP($A11,[6]HISTOBQUENOV25!$A$6:$H$48,6,0)</f>
        <v>0</v>
      </c>
      <c r="G11" s="91"/>
      <c r="H11" s="5">
        <f t="shared" si="16"/>
        <v>0</v>
      </c>
      <c r="I11" s="10" t="str">
        <f t="shared" si="0"/>
        <v>BANQUE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IFERROR(VLOOKUP(A11,[7]TONTNOV25!$A$6:$R$41,12,0),0)</f>
        <v>50500</v>
      </c>
      <c r="Q11" s="2">
        <f>IFERROR(VLOOKUP(A11,[8]TONTNOV25!$A$6:$R$38,10,0),0)</f>
        <v>0</v>
      </c>
      <c r="R11" s="2">
        <f>IFERROR(VLOOKUP(A11,[9]TONTNOV25!$A$6:$R$42,10,0),0)</f>
        <v>165500</v>
      </c>
      <c r="S11" s="20"/>
      <c r="T11" s="12"/>
      <c r="U11" s="17">
        <f t="shared" si="9"/>
        <v>366000</v>
      </c>
      <c r="V11" s="12"/>
      <c r="W11" s="12"/>
      <c r="X11" s="12"/>
      <c r="Y11" s="92">
        <f t="shared" si="10"/>
        <v>150000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50500</v>
      </c>
      <c r="AJ11" s="12"/>
      <c r="AK11" s="12">
        <v>165500</v>
      </c>
      <c r="AL11" s="12">
        <v>1000</v>
      </c>
      <c r="AM11" s="12"/>
      <c r="AN11" s="12">
        <v>3000</v>
      </c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50500</v>
      </c>
      <c r="AX11" s="15">
        <f t="shared" si="12"/>
        <v>0</v>
      </c>
      <c r="AY11" s="15">
        <f t="shared" si="13"/>
        <v>165500</v>
      </c>
      <c r="AZ11" s="16">
        <f t="shared" si="14"/>
        <v>216000</v>
      </c>
      <c r="BA11" s="58"/>
      <c r="BB11" s="58"/>
      <c r="BC11" s="15">
        <f t="shared" si="5"/>
        <v>0</v>
      </c>
      <c r="BD11" s="57">
        <f>IF(AZ11=0,(AZ11-BA11-BC11),(AZ11-BA11-BB11-BC11))-216000</f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14">
        <f t="shared" si="7"/>
        <v>0</v>
      </c>
      <c r="D12" s="9">
        <f>VLOOKUP($A12,[6]HISTOBQUENOV25!$A$6:$H$48,5,0)</f>
        <v>600000</v>
      </c>
      <c r="E12" s="91">
        <f>VLOOKUP($A12,[6]HISTOBQUENOV25!$A$6:$H$48,4,0)</f>
        <v>0</v>
      </c>
      <c r="F12" s="91">
        <f>VLOOKUP($A12,[6]HISTOBQUENOV25!$A$6:$H$48,6,0)</f>
        <v>0</v>
      </c>
      <c r="G12" s="91">
        <f>200000</f>
        <v>200000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IFERROR(VLOOKUP(A12,[7]TONTNOV25!$A$6:$R$41,12,0),0)</f>
        <v>0</v>
      </c>
      <c r="Q12" s="2">
        <f>IFERROR(VLOOKUP(A12,[8]TONTNOV25!$A$6:$R$38,10,0),0)</f>
        <v>0</v>
      </c>
      <c r="R12" s="2">
        <f>IFERROR(VLOOKUP(A12,[9]TONTNOV25!$A$6:$R$42,10,0),0)</f>
        <v>0</v>
      </c>
      <c r="S12" s="20">
        <v>150000</v>
      </c>
      <c r="T12" s="12" t="s">
        <v>8</v>
      </c>
      <c r="U12" s="17">
        <f t="shared" si="9"/>
        <v>600000</v>
      </c>
      <c r="V12" s="12"/>
      <c r="W12" s="12"/>
      <c r="X12" s="12"/>
      <c r="Y12" s="92">
        <f t="shared" si="10"/>
        <v>250000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100000</v>
      </c>
      <c r="AL12" s="12"/>
      <c r="AM12" s="12"/>
      <c r="AN12" s="12">
        <v>1500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7"/>
        <v>225000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100000</v>
      </c>
      <c r="AZ12" s="16">
        <f>SUM(AV12:AY12)-BF12+Z12+BH12+BI12+BJ12+BK12+BL12+BM12+BN12+1500</f>
        <v>101500</v>
      </c>
      <c r="BA12" s="58"/>
      <c r="BB12" s="58"/>
      <c r="BC12" s="15">
        <f t="shared" si="5"/>
        <v>0</v>
      </c>
      <c r="BD12" s="57">
        <f>IF(AZ12=0,(AZ12-BA12-BC12),(AZ12-BA12-BB12-BC12))</f>
        <v>101500</v>
      </c>
      <c r="BE12" s="82"/>
      <c r="BF12" s="29">
        <f>Z12*1/100*BG12</f>
        <v>0</v>
      </c>
      <c r="BG12" s="29">
        <v>1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VLOOKUP($A13,[6]HISTOBQUENOV25!$A$6:$H$48,5,0)</f>
        <v>50000</v>
      </c>
      <c r="E13" s="91">
        <f>VLOOKUP($A13,[6]HISTOBQUENOV25!$A$6:$H$48,4,0)</f>
        <v>0</v>
      </c>
      <c r="F13" s="91">
        <f>VLOOKUP($A13,[6]HISTOBQUENOV25!$A$6:$H$48,6,0)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IFERROR(VLOOKUP(A13,[7]TONTNOV25!$A$6:$R$41,12,0),0)</f>
        <v>0</v>
      </c>
      <c r="Q13" s="2">
        <f>IFERROR(VLOOKUP(A13,[8]TONTNOV25!$A$6:$R$38,10,0),0)</f>
        <v>0</v>
      </c>
      <c r="R13" s="2">
        <f>IFERROR(VLOOKUP(A13,[9]TONTNOV25!$A$6:$R$42,10,0),0)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VLOOKUP($A14,[6]HISTOBQUENOV25!$A$6:$H$48,5,0)</f>
        <v>50000</v>
      </c>
      <c r="E14" s="91">
        <f>VLOOKUP($A14,[6]HISTOBQUENOV25!$A$6:$H$48,4,0)</f>
        <v>0</v>
      </c>
      <c r="F14" s="91">
        <f>VLOOKUP($A14,[6]HISTOBQUENOV25!$A$6:$H$48,6,0)</f>
        <v>0</v>
      </c>
      <c r="G14" s="91"/>
      <c r="H14" s="5">
        <f t="shared" si="16"/>
        <v>0</v>
      </c>
      <c r="I14" s="10" t="str">
        <f t="shared" si="0"/>
        <v>BANQUE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IFERROR(VLOOKUP(A14,[7]TONTNOV25!$A$6:$R$41,12,0),0)</f>
        <v>0</v>
      </c>
      <c r="Q14" s="2">
        <f>IFERROR(VLOOKUP(A14,[8]TONTNOV25!$A$6:$R$38,10,0),0)</f>
        <v>0</v>
      </c>
      <c r="R14" s="2">
        <f>IFERROR(VLOOKUP(A14,[9]TONTNOV25!$A$6:$R$42,10,0),0)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297500</v>
      </c>
      <c r="AX14" s="15">
        <f t="shared" si="12"/>
        <v>0</v>
      </c>
      <c r="AY14" s="15">
        <f t="shared" si="13"/>
        <v>0</v>
      </c>
      <c r="AZ14" s="16">
        <f t="shared" si="14"/>
        <v>297500</v>
      </c>
      <c r="BA14" s="58">
        <v>197500</v>
      </c>
      <c r="BB14" s="58"/>
      <c r="BC14" s="15">
        <f t="shared" si="5"/>
        <v>0</v>
      </c>
      <c r="BD14" s="57">
        <f>IF(AZ14=0,(AZ14-BA14-BC14),(AZ14-BA14-BB14-BC14))-100000</f>
        <v>0</v>
      </c>
      <c r="BE14" s="82"/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VLOOKUP($A15,[6]HISTOBQUENOV25!$A$6:$H$48,5,0)</f>
        <v>150000</v>
      </c>
      <c r="E15" s="91">
        <f>VLOOKUP($A15,[6]HISTOBQUENOV25!$A$6:$H$48,4,0)</f>
        <v>0</v>
      </c>
      <c r="F15" s="91">
        <f>VLOOKUP($A15,[6]HISTOBQUENOV25!$A$6:$H$48,6,0)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IFERROR(VLOOKUP(A15,[7]TONTNOV25!$A$6:$R$41,12,0),0)</f>
        <v>0</v>
      </c>
      <c r="Q15" s="2">
        <f>IFERROR(VLOOKUP(A15,[8]TONTNOV25!$A$6:$R$38,10,0),0)</f>
        <v>0</v>
      </c>
      <c r="R15" s="2">
        <f>IFERROR(VLOOKUP(A15,[9]TONTNOV25!$A$6:$R$42,10,0),0)</f>
        <v>0</v>
      </c>
      <c r="S15" s="20"/>
      <c r="T15" s="12"/>
      <c r="U15" s="17">
        <f t="shared" si="9"/>
        <v>150000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>
        <v>200000</v>
      </c>
      <c r="AL15" s="12"/>
      <c r="AM15" s="12"/>
      <c r="AN15" s="12">
        <v>3000</v>
      </c>
      <c r="AO15" s="12"/>
      <c r="AP15" s="12"/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200000</v>
      </c>
      <c r="AZ15" s="16">
        <f t="shared" si="14"/>
        <v>200000</v>
      </c>
      <c r="BA15" s="58"/>
      <c r="BB15" s="58"/>
      <c r="BC15" s="15">
        <f t="shared" si="5"/>
        <v>0</v>
      </c>
      <c r="BD15" s="57">
        <f t="shared" si="15"/>
        <v>200000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0</v>
      </c>
      <c r="D16" s="9">
        <f>VLOOKUP($A16,[6]HISTOBQUENOV25!$A$6:$H$48,5,0)</f>
        <v>125000</v>
      </c>
      <c r="E16" s="91">
        <f>VLOOKUP($A16,[6]HISTOBQUENOV25!$A$6:$H$48,4,0)</f>
        <v>0</v>
      </c>
      <c r="F16" s="91">
        <f>VLOOKUP($A16,[6]HISTOBQUENOV25!$A$6:$H$48,6,0)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IFERROR(VLOOKUP(A16,[7]TONTNOV25!$A$6:$R$41,12,0),0)</f>
        <v>0</v>
      </c>
      <c r="Q16" s="2">
        <f>IFERROR(VLOOKUP(A16,[8]TONTNOV25!$A$6:$R$38,10,0),0)</f>
        <v>0</v>
      </c>
      <c r="R16" s="2">
        <f>IFERROR(VLOOKUP(A16,[9]TONTNOV25!$A$6:$R$42,10,0),0)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14">
        <f t="shared" si="7"/>
        <v>-345500</v>
      </c>
      <c r="D17" s="9">
        <f>VLOOKUP($A17,[6]HISTOBQUENOV25!$A$6:$H$48,5,0)</f>
        <v>395500</v>
      </c>
      <c r="E17" s="91">
        <f>VLOOKUP($A17,[6]HISTOBQUENOV25!$A$6:$H$48,4,0)</f>
        <v>50500</v>
      </c>
      <c r="F17" s="91">
        <f>VLOOKUP($A17,[6]HISTOBQUENOV25!$A$6:$H$48,6,0)</f>
        <v>0</v>
      </c>
      <c r="G17" s="91">
        <v>15000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IFERROR(VLOOKUP(A17,[7]TONTNOV25!$A$6:$R$41,12,0),0)</f>
        <v>50500</v>
      </c>
      <c r="Q17" s="2">
        <f>IFERROR(VLOOKUP(A17,[8]TONTNOV25!$A$6:$R$38,10,0),0)</f>
        <v>101000</v>
      </c>
      <c r="R17" s="2">
        <f>IFERROR(VLOOKUP(A17,[9]TONTNOV25!$A$6:$R$42,10,0),0)</f>
        <v>0</v>
      </c>
      <c r="S17" s="20">
        <v>400000</v>
      </c>
      <c r="T17" s="12" t="s">
        <v>8</v>
      </c>
      <c r="U17" s="17">
        <f t="shared" si="9"/>
        <v>791500</v>
      </c>
      <c r="V17" s="12"/>
      <c r="W17" s="12"/>
      <c r="X17" s="12"/>
      <c r="Y17" s="92">
        <f t="shared" si="10"/>
        <v>225000</v>
      </c>
      <c r="Z17" s="12">
        <v>400000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3000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40000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200000</v>
      </c>
      <c r="AZ17" s="16">
        <f t="shared" si="14"/>
        <v>596000</v>
      </c>
      <c r="BA17" s="58"/>
      <c r="BB17" s="58"/>
      <c r="BC17" s="15">
        <f t="shared" si="5"/>
        <v>0</v>
      </c>
      <c r="BD17" s="57">
        <f>IF(AZ17=0,(AZ17-BA17-BC17),(AZ17-BA17-BB17-BC17))+4000</f>
        <v>600000</v>
      </c>
      <c r="BE17" s="82"/>
      <c r="BF17" s="29">
        <f>Z17*1/100*BG17</f>
        <v>4000</v>
      </c>
      <c r="BG17" s="29">
        <v>1</v>
      </c>
      <c r="BH17" s="15"/>
      <c r="BI17" s="15"/>
      <c r="BJ17" s="15"/>
      <c r="BK17" s="15"/>
      <c r="BL17" s="61"/>
      <c r="BO17" s="62" t="s">
        <v>142</v>
      </c>
      <c r="BQ17" s="62">
        <f>SUM(BQ6:BQ16)</f>
        <v>6000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-153500</v>
      </c>
      <c r="D18" s="9">
        <f>VLOOKUP($A18,[6]HISTOBQUENOV25!$A$6:$H$48,5,0)</f>
        <v>0</v>
      </c>
      <c r="E18" s="91">
        <f>VLOOKUP($A18,[6]HISTOBQUENOV25!$A$6:$H$48,4,0)</f>
        <v>150000</v>
      </c>
      <c r="F18" s="91">
        <f>VLOOKUP($A18,[6]HISTOBQUENOV25!$A$6:$H$48,6,0)</f>
        <v>0</v>
      </c>
      <c r="G18" s="91">
        <v>-3000</v>
      </c>
      <c r="H18" s="5">
        <f t="shared" si="16"/>
        <v>3000</v>
      </c>
      <c r="I18" s="10" t="str">
        <f t="shared" si="0"/>
        <v>ESPECES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IFERROR(VLOOKUP(A18,[7]TONTNOV25!$A$6:$R$41,12,0),0)</f>
        <v>51000</v>
      </c>
      <c r="Q18" s="2">
        <f>IFERROR(VLOOKUP(A18,[8]TONTNOV25!$A$6:$R$38,10,0),0)</f>
        <v>0</v>
      </c>
      <c r="R18" s="2">
        <f>IFERROR(VLOOKUP(A18,[9]TONTNOV25!$A$6:$R$42,10,0),0)</f>
        <v>102500</v>
      </c>
      <c r="S18" s="20"/>
      <c r="T18" s="12"/>
      <c r="U18" s="17">
        <f t="shared" si="9"/>
        <v>303500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51000</v>
      </c>
      <c r="AJ18" s="12"/>
      <c r="AK18" s="12">
        <v>207500</v>
      </c>
      <c r="AL18" s="12">
        <v>2000</v>
      </c>
      <c r="AM18" s="12"/>
      <c r="AN18" s="12">
        <v>3000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7"/>
        <v>22000</v>
      </c>
      <c r="AT18" s="15"/>
      <c r="AV18" s="15"/>
      <c r="AW18" s="15">
        <f t="shared" si="11"/>
        <v>51000</v>
      </c>
      <c r="AX18" s="15">
        <f t="shared" si="12"/>
        <v>0</v>
      </c>
      <c r="AY18" s="15">
        <f t="shared" si="13"/>
        <v>207500</v>
      </c>
      <c r="AZ18" s="16">
        <f t="shared" si="14"/>
        <v>358500</v>
      </c>
      <c r="BA18" s="58">
        <v>100000</v>
      </c>
      <c r="BB18" s="58"/>
      <c r="BC18" s="15">
        <f>F18</f>
        <v>0</v>
      </c>
      <c r="BD18" s="57">
        <f>IF(AZ18=0,(AZ18-BA18-BC18),(AZ18-BA18-BB18-BC18))-158500</f>
        <v>100000</v>
      </c>
      <c r="BE18" s="82"/>
      <c r="BF18" s="29">
        <f t="shared" si="6"/>
        <v>0</v>
      </c>
      <c r="BG18" s="29">
        <v>1</v>
      </c>
      <c r="BH18" s="15"/>
      <c r="BI18" s="15"/>
      <c r="BJ18" s="15"/>
      <c r="BK18" s="15">
        <v>100000</v>
      </c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103000</v>
      </c>
      <c r="D19" s="9">
        <f>VLOOKUP($A19,[6]HISTOBQUENOV25!$A$6:$H$48,5,0)</f>
        <v>335000</v>
      </c>
      <c r="E19" s="91">
        <f>VLOOKUP($A19,[6]HISTOBQUENOV25!$A$6:$H$48,4,0)</f>
        <v>0</v>
      </c>
      <c r="F19" s="91">
        <f>VLOOKUP($A19,[6]HISTOBQUENOV25!$A$6:$H$48,6,0)</f>
        <v>0</v>
      </c>
      <c r="G19" s="91">
        <v>7000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IFERROR(VLOOKUP(A19,[7]TONTNOV25!$A$6:$R$41,12,0),0)</f>
        <v>0</v>
      </c>
      <c r="Q19" s="2">
        <f>IFERROR(VLOOKUP(A19,[8]TONTNOV25!$A$6:$R$38,10,0),0)</f>
        <v>0</v>
      </c>
      <c r="R19" s="2">
        <f>IFERROR(VLOOKUP(A19,[9]TONTNOV25!$A$6:$R$42,10,0),0)</f>
        <v>0</v>
      </c>
      <c r="S19" s="20"/>
      <c r="T19" s="12"/>
      <c r="U19" s="17">
        <f t="shared" si="9"/>
        <v>232000</v>
      </c>
      <c r="V19" s="12"/>
      <c r="W19" s="12"/>
      <c r="X19" s="12"/>
      <c r="Y19" s="92">
        <f t="shared" si="10"/>
        <v>225000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>
        <f>100000+100000</f>
        <v>200000</v>
      </c>
      <c r="AL19" s="12"/>
      <c r="AM19" s="12"/>
      <c r="AN19" s="12">
        <v>8000</v>
      </c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32000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200000</v>
      </c>
      <c r="AZ19" s="16">
        <f t="shared" si="14"/>
        <v>200000</v>
      </c>
      <c r="BA19" s="58">
        <v>100000</v>
      </c>
      <c r="BB19" s="58"/>
      <c r="BC19" s="15">
        <f t="shared" ref="BC19:BC42" si="18">F19</f>
        <v>0</v>
      </c>
      <c r="BD19" s="57">
        <f t="shared" si="15"/>
        <v>100000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/>
      <c r="F20" s="91"/>
      <c r="G20" s="91"/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14">
        <f t="shared" si="7"/>
        <v>-51000</v>
      </c>
      <c r="D21" s="9">
        <f>VLOOKUP($A21,[6]HISTOBQUENOV25!$A$6:$H$48,5,0)</f>
        <v>50000</v>
      </c>
      <c r="E21" s="91">
        <f>VLOOKUP($A21,[6]HISTOBQUENOV25!$A$6:$H$48,4,0)</f>
        <v>0</v>
      </c>
      <c r="F21" s="91">
        <f>VLOOKUP($A21,[6]HISTOBQUENOV25!$A$6:$H$48,6,0)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IFERROR(VLOOKUP(A21,[7]TONTNOV25!$A$6:$R$41,12,0),0)</f>
        <v>51000</v>
      </c>
      <c r="Q21" s="2">
        <f>IFERROR(VLOOKUP(A21,[8]TONTNOV25!$A$6:$R$38,10,0),0)</f>
        <v>0</v>
      </c>
      <c r="R21" s="2">
        <f>IFERROR(VLOOKUP(A21,[9]TONTNOV25!$A$6:$R$42,10,0),0)</f>
        <v>0</v>
      </c>
      <c r="S21" s="20"/>
      <c r="T21" s="12"/>
      <c r="U21" s="17">
        <f t="shared" si="9"/>
        <v>101000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>
        <v>51000</v>
      </c>
      <c r="AJ21" s="12"/>
      <c r="AK21" s="12"/>
      <c r="AL21" s="12">
        <v>2000</v>
      </c>
      <c r="AM21" s="12"/>
      <c r="AN21" s="12"/>
      <c r="AO21" s="12"/>
      <c r="AP21" s="12" t="s">
        <v>8</v>
      </c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51000</v>
      </c>
      <c r="AX21" s="15">
        <f t="shared" si="12"/>
        <v>0</v>
      </c>
      <c r="AY21" s="15">
        <f t="shared" si="13"/>
        <v>0</v>
      </c>
      <c r="AZ21" s="16">
        <f t="shared" si="14"/>
        <v>51000</v>
      </c>
      <c r="BA21" s="58"/>
      <c r="BB21" s="58"/>
      <c r="BC21" s="15">
        <f t="shared" si="18"/>
        <v>0</v>
      </c>
      <c r="BD21" s="57">
        <f>IF(AZ21=0,(AZ21-BA21-BC21),(AZ21-BA21-BB21-BC21))-51000</f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0</v>
      </c>
      <c r="D22" s="9">
        <f>VLOOKUP($A22,[6]HISTOBQUENOV25!$A$6:$H$48,5,0)</f>
        <v>784400</v>
      </c>
      <c r="E22" s="91">
        <f>VLOOKUP($A22,[6]HISTOBQUENOV25!$A$6:$H$48,4,0)</f>
        <v>0</v>
      </c>
      <c r="F22" s="91">
        <f>VLOOKUP($A22,[6]HISTOBQUENOV25!$A$6:$H$48,6,0)</f>
        <v>0</v>
      </c>
      <c r="G22" s="91">
        <v>400</v>
      </c>
      <c r="H22" s="5">
        <f t="shared" si="16"/>
        <v>0</v>
      </c>
      <c r="I22" s="10" t="str">
        <f t="shared" si="0"/>
        <v>BANQUE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IFERROR(VLOOKUP(A22,[7]TONTNOV25!$A$6:$R$41,12,0),0)</f>
        <v>51000</v>
      </c>
      <c r="Q22" s="2">
        <f>IFERROR(VLOOKUP(A22,[8]TONTNOV25!$A$6:$R$38,10,0),0)</f>
        <v>202500</v>
      </c>
      <c r="R22" s="2">
        <f>IFERROR(VLOOKUP(A22,[9]TONTNOV25!$A$6:$R$42,10,0),0)</f>
        <v>205500</v>
      </c>
      <c r="S22" s="20"/>
      <c r="T22" s="12"/>
      <c r="U22" s="17">
        <f t="shared" si="9"/>
        <v>784400</v>
      </c>
      <c r="V22" s="12"/>
      <c r="W22" s="12"/>
      <c r="X22" s="12"/>
      <c r="Y22" s="92">
        <f t="shared" si="10"/>
        <v>325000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>
        <v>144000</v>
      </c>
      <c r="AL22" s="12"/>
      <c r="AM22" s="12"/>
      <c r="AN22" s="12">
        <v>2000</v>
      </c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25400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144000</v>
      </c>
      <c r="AZ22" s="16">
        <f t="shared" si="14"/>
        <v>144000</v>
      </c>
      <c r="BA22" s="58">
        <v>44000</v>
      </c>
      <c r="BB22" s="58"/>
      <c r="BC22" s="15">
        <f t="shared" si="18"/>
        <v>0</v>
      </c>
      <c r="BD22" s="57">
        <f t="shared" si="15"/>
        <v>100000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VLOOKUP($A23,[6]HISTOBQUENOV25!$A$6:$H$48,5,0)</f>
        <v>50000</v>
      </c>
      <c r="E23" s="91">
        <f>VLOOKUP($A23,[6]HISTOBQUENOV25!$A$6:$H$48,4,0)</f>
        <v>0</v>
      </c>
      <c r="F23" s="91">
        <f>VLOOKUP($A23,[6]HISTOBQUENOV25!$A$6:$H$48,6,0)</f>
        <v>0</v>
      </c>
      <c r="G23" s="91"/>
      <c r="H23" s="5">
        <f t="shared" si="16"/>
        <v>0</v>
      </c>
      <c r="I23" s="10" t="str">
        <f t="shared" si="0"/>
        <v>BANQUE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IFERROR(VLOOKUP(A23,[7]TONTNOV25!$A$6:$R$41,12,0),0)</f>
        <v>0</v>
      </c>
      <c r="Q23" s="2">
        <f>IFERROR(VLOOKUP(A23,[8]TONTNOV25!$A$6:$R$38,10,0),0)</f>
        <v>0</v>
      </c>
      <c r="R23" s="2">
        <f>IFERROR(VLOOKUP(A23,[9]TONTNOV25!$A$6:$R$42,10,0),0)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 t="shared" si="7"/>
        <v>0</v>
      </c>
      <c r="D24" s="9">
        <f>VLOOKUP($A24,[6]HISTOBQUENOV25!$A$6:$H$48,5,0)</f>
        <v>125000</v>
      </c>
      <c r="E24" s="91">
        <f>VLOOKUP($A24,[6]HISTOBQUENOV25!$A$6:$H$48,4,0)</f>
        <v>0</v>
      </c>
      <c r="F24" s="91">
        <f>VLOOKUP($A24,[6]HISTOBQUENOV25!$A$6:$H$48,6,0)</f>
        <v>0</v>
      </c>
      <c r="G24" s="91"/>
      <c r="H24" s="5">
        <f t="shared" si="16"/>
        <v>0</v>
      </c>
      <c r="I24" s="10" t="str">
        <f t="shared" si="0"/>
        <v>BANQUE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/>
      <c r="O24" s="11">
        <f t="shared" si="2"/>
        <v>0</v>
      </c>
      <c r="P24" s="2">
        <f>IFERROR(VLOOKUP(A24,[7]TONTNOV25!$A$6:$R$41,12,0),0)</f>
        <v>0</v>
      </c>
      <c r="Q24" s="2">
        <f>IFERROR(VLOOKUP(A24,[8]TONTNOV25!$A$6:$R$38,10,0),0)</f>
        <v>0</v>
      </c>
      <c r="R24" s="2">
        <f>IFERROR(VLOOKUP(A24,[9]TONTNOV25!$A$6:$R$42,10,0),0)</f>
        <v>0</v>
      </c>
      <c r="S24" s="20"/>
      <c r="T24" s="12"/>
      <c r="U24" s="17">
        <f t="shared" si="9"/>
        <v>125000</v>
      </c>
      <c r="V24" s="12"/>
      <c r="W24" s="12"/>
      <c r="X24" s="12"/>
      <c r="Y24" s="92">
        <f t="shared" si="10"/>
        <v>125000</v>
      </c>
      <c r="Z24" s="12"/>
      <c r="AA24" s="12"/>
      <c r="AB24" s="12"/>
      <c r="AC24" s="12">
        <v>2500</v>
      </c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7"/>
        <v>25000</v>
      </c>
      <c r="AT24" s="15"/>
      <c r="AV24" s="15"/>
      <c r="AW24" s="15">
        <f t="shared" si="11"/>
        <v>297500</v>
      </c>
      <c r="AX24" s="15">
        <f t="shared" si="12"/>
        <v>0</v>
      </c>
      <c r="AY24" s="15">
        <f t="shared" si="13"/>
        <v>0</v>
      </c>
      <c r="AZ24" s="16">
        <f t="shared" si="14"/>
        <v>297500</v>
      </c>
      <c r="BA24" s="58">
        <v>297500</v>
      </c>
      <c r="BB24" s="58"/>
      <c r="BC24" s="15">
        <f t="shared" si="18"/>
        <v>0</v>
      </c>
      <c r="BD24" s="57">
        <f t="shared" si="15"/>
        <v>0</v>
      </c>
      <c r="BE24" s="82"/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O24" s="62" t="s">
        <v>142</v>
      </c>
      <c r="BQ24" s="62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VLOOKUP($A25,[6]HISTOBQUENOV25!$A$6:$H$48,5,0)</f>
        <v>362500</v>
      </c>
      <c r="E25" s="91">
        <f>VLOOKUP($A25,[6]HISTOBQUENOV25!$A$6:$H$48,4,0)</f>
        <v>0</v>
      </c>
      <c r="F25" s="91">
        <f>VLOOKUP($A25,[6]HISTOBQUENOV25!$A$6:$H$48,6,0)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IFERROR(VLOOKUP(A25,[7]TONTNOV25!$A$6:$R$41,12,0),0)</f>
        <v>0</v>
      </c>
      <c r="Q25" s="2">
        <f>IFERROR(VLOOKUP(A25,[8]TONTNOV25!$A$6:$R$38,10,0),0)</f>
        <v>0</v>
      </c>
      <c r="R25" s="2">
        <f>IFERROR(VLOOKUP(A25,[9]TONTNOV25!$A$6:$R$42,10,0),0)</f>
        <v>102500</v>
      </c>
      <c r="S25" s="20"/>
      <c r="T25" s="12"/>
      <c r="U25" s="17">
        <f t="shared" si="9"/>
        <v>362500</v>
      </c>
      <c r="V25" s="12"/>
      <c r="W25" s="12"/>
      <c r="X25" s="12"/>
      <c r="Y25" s="92">
        <f t="shared" si="10"/>
        <v>250000</v>
      </c>
      <c r="Z25" s="12"/>
      <c r="AA25" s="12"/>
      <c r="AB25" s="12"/>
      <c r="AC25" s="12"/>
      <c r="AD25" s="12"/>
      <c r="AE25" s="12">
        <v>10000</v>
      </c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3000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1390000</v>
      </c>
      <c r="AZ25" s="16">
        <f t="shared" si="14"/>
        <v>1390000</v>
      </c>
      <c r="BA25" s="58"/>
      <c r="BB25" s="58"/>
      <c r="BC25" s="15">
        <f t="shared" si="18"/>
        <v>0</v>
      </c>
      <c r="BD25" s="57">
        <f t="shared" si="15"/>
        <v>1390000</v>
      </c>
      <c r="BE25" s="82"/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>IF(I26&lt;&gt;"ECHEC",D26+E26+F26-U26,0)+101500</f>
        <v>0</v>
      </c>
      <c r="D26" s="9">
        <f>VLOOKUP($A26,[6]HISTOBQUENOV25!$A$6:$H$48,5,0)</f>
        <v>240000</v>
      </c>
      <c r="E26" s="91">
        <f>VLOOKUP($A26,[6]HISTOBQUENOV25!$A$6:$H$48,4,0)</f>
        <v>0</v>
      </c>
      <c r="F26" s="91">
        <f>VLOOKUP($A26,[6]HISTOBQUENOV25!$A$6:$H$48,6,0)</f>
        <v>0</v>
      </c>
      <c r="G26" s="91">
        <v>15000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IFERROR(VLOOKUP(A26,[7]TONTNOV25!$A$6:$R$41,12,0),0)</f>
        <v>0</v>
      </c>
      <c r="Q26" s="2">
        <f>IFERROR(VLOOKUP(A26,[8]TONTNOV25!$A$6:$R$38,10,0),0)</f>
        <v>101500</v>
      </c>
      <c r="R26" s="2">
        <f>IFERROR(VLOOKUP(A26,[9]TONTNOV25!$A$6:$R$42,10,0),0)</f>
        <v>0</v>
      </c>
      <c r="S26" s="20"/>
      <c r="T26" s="12"/>
      <c r="U26" s="17">
        <f t="shared" si="9"/>
        <v>341500</v>
      </c>
      <c r="V26" s="12"/>
      <c r="W26" s="12"/>
      <c r="X26" s="12"/>
      <c r="Y26" s="92">
        <f t="shared" si="10"/>
        <v>225000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>
        <v>101500</v>
      </c>
      <c r="AK26" s="12">
        <v>200000</v>
      </c>
      <c r="AL26" s="12"/>
      <c r="AM26" s="12">
        <v>3000</v>
      </c>
      <c r="AN26" s="12">
        <v>3000</v>
      </c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40000</v>
      </c>
      <c r="AT26" s="15"/>
      <c r="AV26" s="15"/>
      <c r="AW26" s="15">
        <f t="shared" si="11"/>
        <v>0</v>
      </c>
      <c r="AX26" s="15">
        <f t="shared" si="12"/>
        <v>101500</v>
      </c>
      <c r="AY26" s="15">
        <f>IF(AE26=0,AK26,(1*100000*12)+(AK26)-AE26)</f>
        <v>200000</v>
      </c>
      <c r="AZ26" s="16">
        <f t="shared" si="14"/>
        <v>301500</v>
      </c>
      <c r="BA26" s="58">
        <v>12000</v>
      </c>
      <c r="BB26" s="58"/>
      <c r="BC26" s="15">
        <f t="shared" si="18"/>
        <v>0</v>
      </c>
      <c r="BD26" s="57">
        <f>IF(AZ26=0,(AZ26-BA26-BC26),(AZ26-BA26-BB26-BC26))-89500</f>
        <v>200000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VLOOKUP($A27,[6]HISTOBQUENOV25!$A$6:$H$48,5,0)+50500</f>
        <v>410500</v>
      </c>
      <c r="E27" s="91">
        <f>VLOOKUP($A27,[6]HISTOBQUENOV25!$A$6:$H$48,4,0)</f>
        <v>0</v>
      </c>
      <c r="F27" s="91">
        <f>VLOOKUP($A27,[6]HISTOBQUENOV25!$A$6:$H$48,6,0)</f>
        <v>0</v>
      </c>
      <c r="G27" s="91">
        <v>7500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IFERROR(VLOOKUP(A27,[7]TONTNOV25!$A$6:$R$41,12,0),0)</f>
        <v>50500</v>
      </c>
      <c r="Q27" s="2">
        <f>IFERROR(VLOOKUP(A27,[8]TONTNOV25!$A$6:$R$38,10,0),0)</f>
        <v>0</v>
      </c>
      <c r="R27" s="2">
        <f>IFERROR(VLOOKUP(A27,[9]TONTNOV25!$A$6:$R$42,10,0),0)</f>
        <v>102500</v>
      </c>
      <c r="S27" s="20"/>
      <c r="T27" s="12"/>
      <c r="U27" s="17">
        <f t="shared" si="9"/>
        <v>410500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v>200000</v>
      </c>
      <c r="AL27" s="12"/>
      <c r="AM27" s="12"/>
      <c r="AN27" s="12">
        <v>6500</v>
      </c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32500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200000</v>
      </c>
      <c r="AZ27" s="16">
        <f t="shared" si="14"/>
        <v>200000</v>
      </c>
      <c r="BA27" s="58"/>
      <c r="BB27" s="58"/>
      <c r="BC27" s="15">
        <f t="shared" si="18"/>
        <v>0</v>
      </c>
      <c r="BD27" s="57">
        <f t="shared" si="15"/>
        <v>200000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14">
        <f>IF(I28&lt;&gt;"ECHEC",D28+E28+F28-U28,0)</f>
        <v>1000</v>
      </c>
      <c r="D28" s="9">
        <f>VLOOKUP($A28,[6]HISTOBQUENOV25!$A$6:$H$48,5,0)</f>
        <v>100500</v>
      </c>
      <c r="E28" s="91">
        <f>VLOOKUP($A28,[6]HISTOBQUENOV25!$A$6:$H$48,4,0)</f>
        <v>0</v>
      </c>
      <c r="F28" s="91">
        <f>VLOOKUP($A28,[6]HISTOBQUENOV25!$A$6:$H$48,6,0)</f>
        <v>0</v>
      </c>
      <c r="G28" s="91">
        <v>-1000</v>
      </c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IFERROR(VLOOKUP(A28,[7]TONTNOV25!$A$6:$R$41,12,0),0)</f>
        <v>50500</v>
      </c>
      <c r="Q28" s="2">
        <f>IFERROR(VLOOKUP(A28,[8]TONTNOV25!$A$6:$R$38,10,0),0)</f>
        <v>0</v>
      </c>
      <c r="R28" s="2">
        <f>IFERROR(VLOOKUP(A28,[9]TONTNOV25!$A$6:$R$42,10,0),0)</f>
        <v>0</v>
      </c>
      <c r="S28" s="20"/>
      <c r="T28" s="12"/>
      <c r="U28" s="17">
        <f t="shared" si="9"/>
        <v>99500</v>
      </c>
      <c r="V28" s="12"/>
      <c r="W28" s="12"/>
      <c r="X28" s="12"/>
      <c r="Y28" s="92">
        <f t="shared" si="10"/>
        <v>50000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>
        <v>50500</v>
      </c>
      <c r="AJ28" s="12"/>
      <c r="AK28" s="12"/>
      <c r="AL28" s="12">
        <v>1000</v>
      </c>
      <c r="AM28" s="12"/>
      <c r="AN28" s="12"/>
      <c r="AO28" s="12"/>
      <c r="AP28" s="12" t="s">
        <v>8</v>
      </c>
      <c r="AQ28" s="8">
        <f t="shared" si="3"/>
        <v>0</v>
      </c>
      <c r="AR28" s="8">
        <f t="shared" si="4"/>
        <v>0</v>
      </c>
      <c r="AS28" s="13">
        <f t="shared" si="17"/>
        <v>24000</v>
      </c>
      <c r="AT28" s="15"/>
      <c r="AV28" s="15"/>
      <c r="AW28" s="15">
        <f t="shared" si="11"/>
        <v>50500</v>
      </c>
      <c r="AX28" s="15">
        <f t="shared" si="12"/>
        <v>0</v>
      </c>
      <c r="AY28" s="15">
        <f t="shared" si="13"/>
        <v>0</v>
      </c>
      <c r="AZ28" s="16">
        <f t="shared" si="14"/>
        <v>50500</v>
      </c>
      <c r="BA28" s="58"/>
      <c r="BB28" s="58"/>
      <c r="BC28" s="15">
        <f t="shared" si="18"/>
        <v>0</v>
      </c>
      <c r="BD28" s="57">
        <f>IF(AZ28=0,(AZ28-BA28-BC28),(AZ28-BA28-BB28-BC28))+500</f>
        <v>51000</v>
      </c>
      <c r="BE28" s="82"/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VLOOKUP($A29,[6]HISTOBQUENOV25!$A$6:$H$48,5,0)</f>
        <v>50000</v>
      </c>
      <c r="E29" s="91">
        <f>VLOOKUP($A29,[6]HISTOBQUENOV25!$A$6:$H$48,4,0)</f>
        <v>150000</v>
      </c>
      <c r="F29" s="91">
        <f>VLOOKUP($A29,[6]HISTOBQUENOV25!$A$6:$H$48,6,0)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IFERROR(VLOOKUP(A29,[7]TONTNOV25!$A$6:$R$41,12,0),0)</f>
        <v>0</v>
      </c>
      <c r="Q29" s="2">
        <f>IFERROR(VLOOKUP(A29,[8]TONTNOV25!$A$6:$R$38,10,0),0)</f>
        <v>0</v>
      </c>
      <c r="R29" s="2">
        <f>IFERROR(VLOOKUP(A29,[9]TONTNOV25!$A$6:$R$42,10,0),0)</f>
        <v>0</v>
      </c>
      <c r="S29" s="20">
        <v>150000</v>
      </c>
      <c r="T29" s="12" t="s">
        <v>8</v>
      </c>
      <c r="U29" s="17">
        <f t="shared" si="9"/>
        <v>200000</v>
      </c>
      <c r="V29" s="12"/>
      <c r="W29" s="12"/>
      <c r="X29" s="12"/>
      <c r="Y29" s="92">
        <f t="shared" si="10"/>
        <v>50000</v>
      </c>
      <c r="Z29" s="12">
        <v>250000</v>
      </c>
      <c r="AA29" s="12" t="s">
        <v>8</v>
      </c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247500</v>
      </c>
      <c r="BA29" s="58"/>
      <c r="BB29" s="58"/>
      <c r="BC29" s="15">
        <f t="shared" si="18"/>
        <v>0</v>
      </c>
      <c r="BD29" s="57">
        <f>IF(AZ29=0,(AZ29-BA29-BC29),(AZ29-BA29-BB29-BC29))+100000</f>
        <v>347500</v>
      </c>
      <c r="BE29" s="82"/>
      <c r="BF29" s="29">
        <f t="shared" si="6"/>
        <v>2500</v>
      </c>
      <c r="BG29" s="29">
        <v>1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VLOOKUP($A30,[6]HISTOBQUENOV25!$A$6:$H$48,5,0)</f>
        <v>125000</v>
      </c>
      <c r="E30" s="91">
        <f>VLOOKUP($A30,[6]HISTOBQUENOV25!$A$6:$H$48,4,0)</f>
        <v>0</v>
      </c>
      <c r="F30" s="91">
        <f>VLOOKUP($A30,[6]HISTOBQUENOV25!$A$6:$H$48,6,0)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IFERROR(VLOOKUP(A30,[7]TONTNOV25!$A$6:$R$41,12,0),0)</f>
        <v>0</v>
      </c>
      <c r="Q30" s="2">
        <f>IFERROR(VLOOKUP(A30,[8]TONTNOV25!$A$6:$R$38,10,0),0)</f>
        <v>0</v>
      </c>
      <c r="R30" s="2">
        <f>IFERROR(VLOOKUP(A30,[9]TONTNOV25!$A$6:$R$42,10,0),0)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-59000</v>
      </c>
      <c r="D31" s="9">
        <f>VLOOKUP($A31,[6]HISTOBQUENOV25!$A$6:$H$48,5,0)</f>
        <v>50000</v>
      </c>
      <c r="E31" s="91">
        <f>VLOOKUP($A31,[6]HISTOBQUENOV25!$A$6:$H$48,4,0)</f>
        <v>0</v>
      </c>
      <c r="F31" s="91">
        <f>VLOOKUP($A31,[6]HISTOBQUENOV25!$A$6:$H$48,6,0)</f>
        <v>0</v>
      </c>
      <c r="G31" s="91"/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IFERROR(VLOOKUP(A31,[7]TONTNOV25!$A$6:$R$41,12,0),0)</f>
        <v>59000</v>
      </c>
      <c r="Q31" s="2">
        <f>IFERROR(VLOOKUP(A31,[8]TONTNOV25!$A$6:$R$38,10,0),0)</f>
        <v>0</v>
      </c>
      <c r="R31" s="2">
        <f>IFERROR(VLOOKUP(A31,[9]TONTNOV25!$A$6:$R$42,10,0),0)</f>
        <v>0</v>
      </c>
      <c r="S31" s="20"/>
      <c r="T31" s="12"/>
      <c r="U31" s="17">
        <f t="shared" si="9"/>
        <v>109000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59000</v>
      </c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7"/>
        <v>25000</v>
      </c>
      <c r="AT31" s="15"/>
      <c r="AV31" s="15"/>
      <c r="AW31" s="15">
        <f t="shared" si="11"/>
        <v>59000</v>
      </c>
      <c r="AX31" s="15">
        <f t="shared" si="12"/>
        <v>0</v>
      </c>
      <c r="AY31" s="15">
        <f t="shared" si="13"/>
        <v>0</v>
      </c>
      <c r="AZ31" s="16">
        <f t="shared" si="14"/>
        <v>59000</v>
      </c>
      <c r="BA31" s="58"/>
      <c r="BB31" s="58"/>
      <c r="BC31" s="15">
        <f t="shared" si="18"/>
        <v>0</v>
      </c>
      <c r="BD31" s="57">
        <f t="shared" si="15"/>
        <v>59000</v>
      </c>
      <c r="BE31" s="82"/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VLOOKUP($A32,[6]HISTOBQUENOV25!$A$6:$H$48,5,0)</f>
        <v>508000</v>
      </c>
      <c r="E32" s="91">
        <f>VLOOKUP($A32,[6]HISTOBQUENOV25!$A$6:$H$48,4,0)</f>
        <v>0</v>
      </c>
      <c r="F32" s="91">
        <f>VLOOKUP($A32,[6]HISTOBQUENOV25!$A$6:$H$48,6,0)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IFERROR(VLOOKUP(A32,[7]TONTNOV25!$A$6:$R$41,12,0),0)</f>
        <v>51000</v>
      </c>
      <c r="Q32" s="2">
        <f>IFERROR(VLOOKUP(A32,[8]TONTNOV25!$A$6:$R$38,10,0),0)</f>
        <v>0</v>
      </c>
      <c r="R32" s="2">
        <f>IFERROR(VLOOKUP(A32,[9]TONTNOV25!$A$6:$R$42,10,0),0)</f>
        <v>207000</v>
      </c>
      <c r="S32" s="20"/>
      <c r="T32" s="12"/>
      <c r="U32" s="17">
        <f t="shared" si="9"/>
        <v>508000</v>
      </c>
      <c r="V32" s="12"/>
      <c r="W32" s="12"/>
      <c r="X32" s="12"/>
      <c r="Y32" s="92">
        <f t="shared" si="10"/>
        <v>250000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>
        <v>200000</v>
      </c>
      <c r="AL32" s="12"/>
      <c r="AM32" s="12"/>
      <c r="AN32" s="12">
        <v>3000</v>
      </c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200000</v>
      </c>
      <c r="AZ32" s="16">
        <f t="shared" si="14"/>
        <v>200000</v>
      </c>
      <c r="BA32" s="58"/>
      <c r="BB32" s="58"/>
      <c r="BC32" s="15">
        <f t="shared" si="18"/>
        <v>0</v>
      </c>
      <c r="BD32" s="57">
        <f t="shared" si="15"/>
        <v>200000</v>
      </c>
      <c r="BE32" s="82"/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>
        <v>100000</v>
      </c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0</v>
      </c>
      <c r="D33" s="9">
        <f>VLOOKUP($A33,[6]HISTOBQUENOV25!$A$6:$H$48,5,0)</f>
        <v>0</v>
      </c>
      <c r="E33" s="91">
        <f>VLOOKUP($A33,[6]HISTOBQUENOV25!$A$6:$H$48,4,0)</f>
        <v>50000</v>
      </c>
      <c r="F33" s="91">
        <f>VLOOKUP($A33,[6]HISTOBQUENOV25!$A$6:$H$48,6,0)</f>
        <v>0</v>
      </c>
      <c r="G33" s="91">
        <v>-3000</v>
      </c>
      <c r="H33" s="5">
        <f t="shared" si="16"/>
        <v>3000</v>
      </c>
      <c r="I33" s="10" t="str">
        <f t="shared" si="0"/>
        <v>ESPECES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IFERROR(VLOOKUP(A33,[7]TONTNOV25!$A$6:$R$41,12,0),0)</f>
        <v>0</v>
      </c>
      <c r="Q33" s="2">
        <f>IFERROR(VLOOKUP(A33,[8]TONTNOV25!$A$6:$R$38,10,0),0)</f>
        <v>0</v>
      </c>
      <c r="R33" s="2">
        <f>IFERROR(VLOOKUP(A33,[9]TONTNOV25!$A$6:$R$42,10,0),0)</f>
        <v>0</v>
      </c>
      <c r="S33" s="20"/>
      <c r="T33" s="12"/>
      <c r="U33" s="17">
        <f t="shared" si="9"/>
        <v>50000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22000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>
        <f t="shared" si="18"/>
        <v>0</v>
      </c>
      <c r="BD33" s="57">
        <f t="shared" si="15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VLOOKUP($A34,[6]HISTOBQUENOV25!$A$6:$H$48,5,0)</f>
        <v>0</v>
      </c>
      <c r="E34" s="91">
        <f>VLOOKUP($A34,[6]HISTOBQUENOV25!$A$6:$H$48,4,0)</f>
        <v>0</v>
      </c>
      <c r="F34" s="91">
        <f>VLOOKUP($A34,[6]HISTOBQUENOV25!$A$6:$H$48,6,0)</f>
        <v>0</v>
      </c>
      <c r="G34" s="91"/>
      <c r="H34" s="5">
        <f t="shared" si="16"/>
        <v>0</v>
      </c>
      <c r="I34" s="10" t="str">
        <f t="shared" si="0"/>
        <v>ECHEC</v>
      </c>
      <c r="J34" s="11">
        <v>1</v>
      </c>
      <c r="K34" s="11">
        <f t="shared" si="8"/>
        <v>0</v>
      </c>
      <c r="L34" s="6"/>
      <c r="M34" s="11">
        <f t="shared" si="1"/>
        <v>0</v>
      </c>
      <c r="N34" s="6">
        <v>1</v>
      </c>
      <c r="O34" s="11">
        <f t="shared" si="2"/>
        <v>0</v>
      </c>
      <c r="P34" s="2">
        <f>IFERROR(VLOOKUP(A34,[7]TONTNOV25!$A$6:$R$41,12,0),0)</f>
        <v>30500</v>
      </c>
      <c r="Q34" s="2">
        <f>IFERROR(VLOOKUP(A34,[8]TONTNOV25!$A$6:$R$38,10,0),0)</f>
        <v>0</v>
      </c>
      <c r="R34" s="2">
        <f>IFERROR(VLOOKUP(A34,[9]TONTNOV25!$A$6:$R$42,10,0),0)</f>
        <v>0</v>
      </c>
      <c r="S34" s="20"/>
      <c r="T34" s="12"/>
      <c r="U34" s="17">
        <f t="shared" si="9"/>
        <v>30500</v>
      </c>
      <c r="V34" s="12"/>
      <c r="W34" s="12"/>
      <c r="X34" s="12"/>
      <c r="Y34" s="92">
        <f t="shared" si="10"/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>
        <v>30500</v>
      </c>
      <c r="AJ34" s="12"/>
      <c r="AK34" s="12"/>
      <c r="AL34" s="12"/>
      <c r="AM34" s="12"/>
      <c r="AN34" s="12"/>
      <c r="AO34" s="12"/>
      <c r="AP34" s="12" t="s">
        <v>8</v>
      </c>
      <c r="AQ34" s="8">
        <f t="shared" si="3"/>
        <v>0</v>
      </c>
      <c r="AR34" s="8">
        <f t="shared" si="4"/>
        <v>0</v>
      </c>
      <c r="AS34" s="13">
        <f t="shared" si="17"/>
        <v>0</v>
      </c>
      <c r="AT34" s="15"/>
      <c r="AV34" s="15"/>
      <c r="AW34" s="15">
        <f t="shared" si="11"/>
        <v>30500</v>
      </c>
      <c r="AX34" s="15">
        <f t="shared" si="12"/>
        <v>0</v>
      </c>
      <c r="AY34" s="15">
        <f t="shared" si="13"/>
        <v>0</v>
      </c>
      <c r="AZ34" s="16">
        <f t="shared" si="14"/>
        <v>30500</v>
      </c>
      <c r="BA34" s="58"/>
      <c r="BB34" s="58"/>
      <c r="BC34" s="15">
        <f t="shared" si="18"/>
        <v>0</v>
      </c>
      <c r="BD34" s="57">
        <f t="shared" si="15"/>
        <v>30500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VLOOKUP($A35,[6]HISTOBQUENOV25!$A$6:$H$48,5,0)</f>
        <v>277000</v>
      </c>
      <c r="E35" s="91">
        <f>VLOOKUP($A35,[6]HISTOBQUENOV25!$A$6:$H$48,4,0)</f>
        <v>0</v>
      </c>
      <c r="F35" s="91">
        <f>VLOOKUP($A35,[6]HISTOBQUENOV25!$A$6:$H$48,6,0)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IFERROR(VLOOKUP(A35,[7]TONTNOV25!$A$6:$R$41,12,0),0)</f>
        <v>51000</v>
      </c>
      <c r="Q35" s="2">
        <f>IFERROR(VLOOKUP(A35,[8]TONTNOV25!$A$6:$R$38,10,0),0)</f>
        <v>101000</v>
      </c>
      <c r="R35" s="2">
        <f>IFERROR(VLOOKUP(A35,[9]TONTNOV25!$A$6:$R$42,10,0),0)</f>
        <v>0</v>
      </c>
      <c r="S35" s="20"/>
      <c r="T35" s="12"/>
      <c r="U35" s="17">
        <f t="shared" si="9"/>
        <v>277000</v>
      </c>
      <c r="V35" s="12"/>
      <c r="W35" s="12"/>
      <c r="X35" s="12"/>
      <c r="Y35" s="92">
        <f t="shared" si="10"/>
        <v>125000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 t="s">
        <v>8</v>
      </c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>
        <f t="shared" si="18"/>
        <v>0</v>
      </c>
      <c r="BD35" s="57">
        <f>IF(AZ35=0,(AZ35-BA35-BC35),(AZ35-BA35-BB35-BC35))-200000</f>
        <v>-200000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0</v>
      </c>
      <c r="D36" s="9">
        <f>VLOOKUP($A36,[6]HISTOBQUENOV25!$A$6:$H$48,5,0)</f>
        <v>150000</v>
      </c>
      <c r="E36" s="91">
        <f>VLOOKUP($A36,[6]HISTOBQUENOV25!$A$6:$H$48,4,0)</f>
        <v>102500</v>
      </c>
      <c r="F36" s="91">
        <f>VLOOKUP($A36,[6]HISTOBQUENOV25!$A$6:$H$48,6,0)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IFERROR(VLOOKUP(A36,[7]TONTNOV25!$A$6:$R$41,12,0),0)</f>
        <v>0</v>
      </c>
      <c r="Q36" s="2">
        <f>IFERROR(VLOOKUP(A36,[8]TONTNOV25!$A$6:$R$38,10,0),0)</f>
        <v>0</v>
      </c>
      <c r="R36" s="2">
        <f>IFERROR(VLOOKUP(A36,[9]TONTNOV25!$A$6:$R$42,10,0),0)</f>
        <v>102500</v>
      </c>
      <c r="S36" s="20"/>
      <c r="T36" s="12"/>
      <c r="U36" s="17">
        <f t="shared" si="9"/>
        <v>252500</v>
      </c>
      <c r="V36" s="12"/>
      <c r="W36" s="12"/>
      <c r="X36" s="12"/>
      <c r="Y36" s="92">
        <f t="shared" si="10"/>
        <v>150000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>
        <v>100000</v>
      </c>
      <c r="AL36" s="12"/>
      <c r="AM36" s="12"/>
      <c r="AN36" s="12">
        <v>3500</v>
      </c>
      <c r="AO36" s="12"/>
      <c r="AP36" s="12" t="s">
        <v>8</v>
      </c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100000</v>
      </c>
      <c r="AZ36" s="16">
        <f t="shared" si="14"/>
        <v>100000</v>
      </c>
      <c r="BA36" s="58">
        <v>100000</v>
      </c>
      <c r="BB36" s="58"/>
      <c r="BC36" s="15">
        <f t="shared" si="18"/>
        <v>0</v>
      </c>
      <c r="BD36" s="57">
        <f t="shared" si="15"/>
        <v>0</v>
      </c>
      <c r="BE36" s="82"/>
      <c r="BF36" s="29">
        <f t="shared" si="6"/>
        <v>0</v>
      </c>
      <c r="BG36" s="29">
        <v>1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100000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14">
        <f t="shared" si="7"/>
        <v>-217500</v>
      </c>
      <c r="D37" s="9">
        <f>VLOOKUP($A37,[6]HISTOBQUENOV25!$A$6:$H$48,5,0)</f>
        <v>50000</v>
      </c>
      <c r="E37" s="91">
        <f>VLOOKUP($A37,[6]HISTOBQUENOV25!$A$6:$H$48,4,0)</f>
        <v>0</v>
      </c>
      <c r="F37" s="91">
        <f>VLOOKUP($A37,[6]HISTOBQUENOV25!$A$6:$H$48,6,0)</f>
        <v>0</v>
      </c>
      <c r="G37" s="91">
        <v>217500</v>
      </c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IFERROR(VLOOKUP(A37,[7]TONTNOV25!$A$6:$R$41,12,0),0)</f>
        <v>0</v>
      </c>
      <c r="Q37" s="2">
        <f>IFERROR(VLOOKUP(A37,[8]TONTNOV25!$A$6:$R$38,10,0),0)</f>
        <v>0</v>
      </c>
      <c r="R37" s="2">
        <f>IFERROR(VLOOKUP(A37,[9]TONTNOV25!$A$6:$R$42,10,0),0)</f>
        <v>0</v>
      </c>
      <c r="S37" s="20"/>
      <c r="T37" s="12"/>
      <c r="U37" s="17">
        <f t="shared" si="9"/>
        <v>267500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>
        <v>2500</v>
      </c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242500</v>
      </c>
      <c r="AT37" s="15"/>
      <c r="AV37" s="15"/>
      <c r="AW37" s="15">
        <f t="shared" si="11"/>
        <v>297500</v>
      </c>
      <c r="AX37" s="15">
        <f t="shared" si="12"/>
        <v>0</v>
      </c>
      <c r="AY37" s="15">
        <f t="shared" si="13"/>
        <v>0</v>
      </c>
      <c r="AZ37" s="16">
        <f t="shared" si="14"/>
        <v>297500</v>
      </c>
      <c r="BA37" s="58">
        <v>80000</v>
      </c>
      <c r="BB37" s="58"/>
      <c r="BC37" s="15">
        <f t="shared" si="18"/>
        <v>0</v>
      </c>
      <c r="BD37" s="57">
        <f>IF(AZ37=0,(AZ37-BA37-BC37),(AZ37-BA37-BB37-BC37))-217500</f>
        <v>0</v>
      </c>
      <c r="BE37" s="82"/>
      <c r="BF37" s="29">
        <f t="shared" si="6"/>
        <v>0</v>
      </c>
      <c r="BG37" s="29">
        <v>1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100000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0</v>
      </c>
      <c r="D38" s="9">
        <f>VLOOKUP($A38,[6]HISTOBQUENOV25!$A$6:$H$48,5,0)</f>
        <v>0</v>
      </c>
      <c r="E38" s="91">
        <f>VLOOKUP($A38,[6]HISTOBQUENOV25!$A$6:$H$48,4,0)</f>
        <v>50000</v>
      </c>
      <c r="F38" s="91">
        <f>VLOOKUP($A38,[6]HISTOBQUENOV25!$A$6:$H$48,6,0)</f>
        <v>0</v>
      </c>
      <c r="G38" s="91">
        <v>-3000</v>
      </c>
      <c r="H38" s="5">
        <f t="shared" si="16"/>
        <v>3000</v>
      </c>
      <c r="I38" s="10" t="str">
        <f t="shared" si="0"/>
        <v>ESPECES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IFERROR(VLOOKUP(A38,[7]TONTNOV25!$A$6:$R$41,12,0),0)</f>
        <v>0</v>
      </c>
      <c r="Q38" s="2">
        <f>IFERROR(VLOOKUP(A38,[8]TONTNOV25!$A$6:$R$38,10,0),0)</f>
        <v>0</v>
      </c>
      <c r="R38" s="2">
        <f>IFERROR(VLOOKUP(A38,[9]TONTNOV25!$A$6:$R$42,10,0),0)</f>
        <v>0</v>
      </c>
      <c r="S38" s="20"/>
      <c r="T38" s="12"/>
      <c r="U38" s="17">
        <f t="shared" si="9"/>
        <v>50000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22000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>
        <f t="shared" si="18"/>
        <v>0</v>
      </c>
      <c r="BD38" s="57">
        <f t="shared" si="15"/>
        <v>0</v>
      </c>
      <c r="BE38" s="82"/>
      <c r="BF38" s="29">
        <f t="shared" si="6"/>
        <v>0</v>
      </c>
      <c r="BG38" s="29">
        <v>1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14">
        <f t="shared" si="7"/>
        <v>-892500</v>
      </c>
      <c r="D39" s="9">
        <f>VLOOKUP($A39,[6]HISTOBQUENOV25!$A$6:$H$48,5,0)</f>
        <v>125000</v>
      </c>
      <c r="E39" s="91">
        <f>VLOOKUP($A39,[6]HISTOBQUENOV25!$A$6:$H$48,4,0)</f>
        <v>152500</v>
      </c>
      <c r="F39" s="91">
        <f>VLOOKUP($A39,[6]HISTOBQUENOV25!$A$6:$H$48,6,0)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IFERROR(VLOOKUP(A39,[7]TONTNOV25!$A$6:$R$41,12,0),0)</f>
        <v>51000</v>
      </c>
      <c r="Q39" s="2">
        <f>IFERROR(VLOOKUP(A39,[8]TONTNOV25!$A$6:$R$38,10,0),0)</f>
        <v>101500</v>
      </c>
      <c r="R39" s="2">
        <f>IFERROR(VLOOKUP(A39,[9]TONTNOV25!$A$6:$R$42,10,0),0)</f>
        <v>0</v>
      </c>
      <c r="S39" s="20">
        <v>892500</v>
      </c>
      <c r="T39" s="12" t="s">
        <v>8</v>
      </c>
      <c r="U39" s="17">
        <f t="shared" si="9"/>
        <v>1170000</v>
      </c>
      <c r="V39" s="12"/>
      <c r="W39" s="12"/>
      <c r="X39" s="12"/>
      <c r="Y39" s="92">
        <f t="shared" si="10"/>
        <v>125000</v>
      </c>
      <c r="Z39" s="12"/>
      <c r="AA39" s="12"/>
      <c r="AB39" s="12"/>
      <c r="AC39" s="12"/>
      <c r="AD39" s="12">
        <v>7500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 t="s">
        <v>8</v>
      </c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892500</v>
      </c>
      <c r="AY39" s="15">
        <f t="shared" si="13"/>
        <v>0</v>
      </c>
      <c r="AZ39" s="16">
        <f t="shared" si="14"/>
        <v>892500</v>
      </c>
      <c r="BA39" s="58"/>
      <c r="BB39" s="58"/>
      <c r="BC39" s="15">
        <f t="shared" si="18"/>
        <v>0</v>
      </c>
      <c r="BD39" s="57">
        <f>IF(AZ39=0,(AZ39-BA39-BC39),(AZ39-BA39-BB39-BC39))-5000-892500</f>
        <v>-5000</v>
      </c>
      <c r="BE39" s="82"/>
      <c r="BF39" s="29">
        <f t="shared" si="6"/>
        <v>0</v>
      </c>
      <c r="BG39" s="29">
        <v>1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14">
        <f t="shared" si="7"/>
        <v>3000</v>
      </c>
      <c r="D40" s="9">
        <f>VLOOKUP($A40,[6]HISTOBQUENOV25!$A$6:$H$48,5,0)</f>
        <v>50000</v>
      </c>
      <c r="E40" s="91">
        <f>VLOOKUP($A40,[6]HISTOBQUENOV25!$A$6:$H$48,4,0)</f>
        <v>0</v>
      </c>
      <c r="F40" s="91">
        <f>VLOOKUP($A40,[6]HISTOBQUENOV25!$A$6:$H$48,6,0)</f>
        <v>0</v>
      </c>
      <c r="G40" s="91">
        <v>-3000</v>
      </c>
      <c r="H40" s="5">
        <f t="shared" si="16"/>
        <v>0</v>
      </c>
      <c r="I40" s="10" t="str">
        <f t="shared" si="0"/>
        <v>BANQUE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IFERROR(VLOOKUP(A40,[7]TONTNOV25!$A$6:$R$41,12,0),0)</f>
        <v>0</v>
      </c>
      <c r="Q40" s="2">
        <f>IFERROR(VLOOKUP(A40,[8]TONTNOV25!$A$6:$R$38,10,0),0)</f>
        <v>0</v>
      </c>
      <c r="R40" s="2">
        <f>IFERROR(VLOOKUP(A40,[9]TONTNOV25!$A$6:$R$42,10,0),0)</f>
        <v>0</v>
      </c>
      <c r="S40" s="20"/>
      <c r="T40" s="12"/>
      <c r="U40" s="17">
        <f t="shared" si="9"/>
        <v>47000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>
        <v>2500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22000</v>
      </c>
      <c r="AT40" s="15"/>
      <c r="AV40" s="15"/>
      <c r="AW40" s="15">
        <f t="shared" si="11"/>
        <v>297500</v>
      </c>
      <c r="AX40" s="15">
        <f t="shared" si="12"/>
        <v>0</v>
      </c>
      <c r="AY40" s="15">
        <f t="shared" si="13"/>
        <v>0</v>
      </c>
      <c r="AZ40" s="16">
        <f t="shared" si="14"/>
        <v>297500</v>
      </c>
      <c r="BA40" s="58">
        <v>262500</v>
      </c>
      <c r="BB40" s="58"/>
      <c r="BC40" s="15">
        <f t="shared" si="18"/>
        <v>0</v>
      </c>
      <c r="BD40" s="57">
        <f t="shared" si="15"/>
        <v>35000</v>
      </c>
      <c r="BE40" s="82"/>
      <c r="BF40" s="29">
        <f t="shared" si="6"/>
        <v>0</v>
      </c>
      <c r="BG40" s="29">
        <v>1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VLOOKUP($A41,[6]HISTOBQUENOV25!$A$6:$H$48,5,0)</f>
        <v>0</v>
      </c>
      <c r="E41" s="91">
        <f>VLOOKUP($A41,[6]HISTOBQUENOV25!$A$6:$H$48,4,0)</f>
        <v>253000</v>
      </c>
      <c r="F41" s="91">
        <f>VLOOKUP($A41,[6]HISTOBQUENOV25!$A$6:$H$48,6,0)</f>
        <v>0</v>
      </c>
      <c r="G41" s="91"/>
      <c r="H41" s="5">
        <f t="shared" si="16"/>
        <v>3000</v>
      </c>
      <c r="I41" s="10" t="str">
        <f t="shared" si="0"/>
        <v>ESPECES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IFERROR(VLOOKUP(A41,[7]TONTNOV25!$A$6:$R$41,12,0),0)</f>
        <v>0</v>
      </c>
      <c r="Q41" s="2">
        <f>IFERROR(VLOOKUP(A41,[8]TONTNOV25!$A$6:$R$38,10,0),0)</f>
        <v>0</v>
      </c>
      <c r="R41" s="2">
        <f>IFERROR(VLOOKUP(A41,[9]TONTNOV25!$A$6:$R$42,10,0),0)</f>
        <v>0</v>
      </c>
      <c r="S41" s="6"/>
      <c r="T41" s="12"/>
      <c r="U41" s="17">
        <f t="shared" si="9"/>
        <v>253000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2">
        <v>200000</v>
      </c>
      <c r="AL41" s="12"/>
      <c r="AM41" s="12"/>
      <c r="AN41" s="12">
        <v>3000</v>
      </c>
      <c r="AO41" s="11"/>
      <c r="AP41" s="12"/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200000</v>
      </c>
      <c r="AZ41" s="16">
        <f t="shared" si="14"/>
        <v>200000</v>
      </c>
      <c r="BA41" s="58"/>
      <c r="BB41" s="58"/>
      <c r="BC41" s="15">
        <f t="shared" si="18"/>
        <v>0</v>
      </c>
      <c r="BD41" s="57">
        <f t="shared" si="15"/>
        <v>200000</v>
      </c>
      <c r="BE41" s="82"/>
      <c r="BF41" s="29">
        <f t="shared" si="6"/>
        <v>0</v>
      </c>
      <c r="BG41" s="29">
        <v>1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VLOOKUP($A42,[6]HISTOBQUENOV25!$A$6:$H$48,5,0)</f>
        <v>225000</v>
      </c>
      <c r="E42" s="91">
        <f>VLOOKUP($A42,[6]HISTOBQUENOV25!$A$6:$H$48,4,0)</f>
        <v>0</v>
      </c>
      <c r="F42" s="91">
        <f>VLOOKUP($A42,[6]HISTOBQUENOV25!$A$6:$H$48,6,0)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IFERROR(VLOOKUP(A42,[7]TONTNOV25!$A$6:$R$41,12,0),0)</f>
        <v>0</v>
      </c>
      <c r="Q42" s="2">
        <f>IFERROR(VLOOKUP(A42,[8]TONTNOV25!$A$6:$R$38,10,0),0)</f>
        <v>0</v>
      </c>
      <c r="R42" s="2">
        <f>IFERROR(VLOOKUP(A42,[9]TONTNOV25!$A$6:$R$42,10,0),0)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>
        <v>2500</v>
      </c>
      <c r="AD42" s="12">
        <v>7500</v>
      </c>
      <c r="AE42" s="12">
        <v>10000</v>
      </c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/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297500</v>
      </c>
      <c r="AX42" s="15">
        <f t="shared" si="12"/>
        <v>892500</v>
      </c>
      <c r="AY42" s="15">
        <f t="shared" si="13"/>
        <v>1190000</v>
      </c>
      <c r="AZ42" s="16">
        <f t="shared" si="14"/>
        <v>2380000</v>
      </c>
      <c r="BA42" s="58"/>
      <c r="BB42" s="58"/>
      <c r="BC42" s="15">
        <f t="shared" si="18"/>
        <v>0</v>
      </c>
      <c r="BD42" s="57">
        <f t="shared" si="15"/>
        <v>2380000</v>
      </c>
      <c r="BE42" s="82"/>
      <c r="BF42" s="29">
        <f t="shared" si="6"/>
        <v>0</v>
      </c>
      <c r="BG42" s="29">
        <v>1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-1827500</v>
      </c>
      <c r="D44" s="5">
        <f>SUM(D6:D43)</f>
        <v>6417400</v>
      </c>
      <c r="E44" s="5">
        <f>SUM(E6:E43)</f>
        <v>1413000</v>
      </c>
      <c r="F44" s="5">
        <f>SUM(F6:F43)</f>
        <v>0</v>
      </c>
      <c r="G44" s="5">
        <f t="shared" ref="G44:S44" si="19">SUM(G6:G43)</f>
        <v>459400</v>
      </c>
      <c r="H44" s="5">
        <f t="shared" si="19"/>
        <v>12000</v>
      </c>
      <c r="I44" s="5">
        <f t="shared" si="19"/>
        <v>0</v>
      </c>
      <c r="J44" s="5">
        <f t="shared" si="19"/>
        <v>35</v>
      </c>
      <c r="K44" s="5">
        <f t="shared" si="19"/>
        <v>1700000</v>
      </c>
      <c r="L44" s="5">
        <f t="shared" si="19"/>
        <v>13</v>
      </c>
      <c r="M44" s="5">
        <f t="shared" si="19"/>
        <v>975000</v>
      </c>
      <c r="N44" s="5">
        <f t="shared" si="19"/>
        <v>24</v>
      </c>
      <c r="O44" s="5">
        <f t="shared" si="19"/>
        <v>2300000</v>
      </c>
      <c r="P44" s="5">
        <f t="shared" si="19"/>
        <v>749500</v>
      </c>
      <c r="Q44" s="5">
        <f t="shared" si="19"/>
        <v>809500</v>
      </c>
      <c r="R44" s="5">
        <f t="shared" si="19"/>
        <v>1192000</v>
      </c>
      <c r="S44" s="5">
        <f t="shared" si="19"/>
        <v>1592500</v>
      </c>
      <c r="T44" s="5"/>
      <c r="U44" s="5">
        <f t="shared" ref="U44:AA44" si="20">SUM(U6:U43)</f>
        <v>9789900</v>
      </c>
      <c r="V44" s="5">
        <f t="shared" si="20"/>
        <v>0</v>
      </c>
      <c r="W44" s="5">
        <f t="shared" si="20"/>
        <v>0</v>
      </c>
      <c r="X44" s="5">
        <f t="shared" si="20"/>
        <v>0</v>
      </c>
      <c r="Y44" s="5">
        <f t="shared" si="20"/>
        <v>4975000</v>
      </c>
      <c r="Z44" s="5">
        <f t="shared" si="20"/>
        <v>650000</v>
      </c>
      <c r="AA44" s="5">
        <f t="shared" si="20"/>
        <v>0</v>
      </c>
      <c r="AB44" s="5"/>
      <c r="AC44" s="5">
        <f>SUM(AC6:AC43)</f>
        <v>12500</v>
      </c>
      <c r="AD44" s="5">
        <f>SUM(AD6:AD43)</f>
        <v>15000</v>
      </c>
      <c r="AE44" s="5">
        <f>SUM(AE6:AE43)</f>
        <v>20000</v>
      </c>
      <c r="AF44" s="5">
        <f>SUM(AF6:AF43)</f>
        <v>0</v>
      </c>
      <c r="AG44" s="5">
        <f>SUM(AG6:AG43)</f>
        <v>0</v>
      </c>
      <c r="AH44" s="5"/>
      <c r="AI44" s="5">
        <f t="shared" ref="AI44:BF44" si="21">SUM(AI6:AI43)</f>
        <v>312500</v>
      </c>
      <c r="AJ44" s="5">
        <f t="shared" si="21"/>
        <v>101500</v>
      </c>
      <c r="AK44" s="5">
        <f t="shared" si="21"/>
        <v>2517000</v>
      </c>
      <c r="AL44" s="5">
        <f t="shared" si="21"/>
        <v>6500</v>
      </c>
      <c r="AM44" s="5">
        <f t="shared" si="21"/>
        <v>3000</v>
      </c>
      <c r="AN44" s="5">
        <f t="shared" si="21"/>
        <v>52500</v>
      </c>
      <c r="AO44" s="5">
        <f t="shared" si="21"/>
        <v>0</v>
      </c>
      <c r="AP44" s="5"/>
      <c r="AQ44" s="5">
        <f t="shared" si="21"/>
        <v>0</v>
      </c>
      <c r="AR44" s="5">
        <f t="shared" si="21"/>
        <v>0</v>
      </c>
      <c r="AS44" s="5">
        <f t="shared" si="21"/>
        <v>1309400</v>
      </c>
      <c r="AT44" s="5">
        <f t="shared" si="21"/>
        <v>0</v>
      </c>
      <c r="AU44" s="5">
        <f t="shared" si="21"/>
        <v>0</v>
      </c>
      <c r="AV44" s="5">
        <f t="shared" si="21"/>
        <v>0</v>
      </c>
      <c r="AW44" s="5">
        <f t="shared" si="21"/>
        <v>1800000</v>
      </c>
      <c r="AX44" s="5">
        <f t="shared" si="21"/>
        <v>1886500</v>
      </c>
      <c r="AY44" s="5">
        <f t="shared" si="21"/>
        <v>4897000</v>
      </c>
      <c r="AZ44" s="5">
        <f t="shared" si="21"/>
        <v>9434500</v>
      </c>
      <c r="BA44" s="5">
        <f t="shared" si="21"/>
        <v>1413500</v>
      </c>
      <c r="BB44" s="5">
        <f t="shared" si="21"/>
        <v>0</v>
      </c>
      <c r="BC44" s="5">
        <f t="shared" si="21"/>
        <v>0</v>
      </c>
      <c r="BD44" s="5">
        <f t="shared" si="21"/>
        <v>6195500</v>
      </c>
      <c r="BE44" s="5">
        <f t="shared" si="21"/>
        <v>0</v>
      </c>
      <c r="BF44" s="5">
        <f t="shared" si="21"/>
        <v>6500</v>
      </c>
      <c r="BH44" s="5">
        <f t="shared" ref="BH44:BL44" si="22">SUM(BH6:BH43)</f>
        <v>6000</v>
      </c>
      <c r="BI44" s="5">
        <f t="shared" si="22"/>
        <v>0</v>
      </c>
      <c r="BJ44" s="5">
        <f t="shared" si="22"/>
        <v>100000</v>
      </c>
      <c r="BK44" s="5">
        <f t="shared" si="22"/>
        <v>100000</v>
      </c>
      <c r="BL44" s="5">
        <f t="shared" si="22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1413000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-500</v>
      </c>
      <c r="BD47" s="14">
        <f>+BD46-BD44</f>
        <v>-6195500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6195500</v>
      </c>
      <c r="D50" s="9">
        <f>+D44</f>
        <v>6417400</v>
      </c>
      <c r="E50" s="9">
        <f>+C50-D50</f>
        <v>-221900</v>
      </c>
      <c r="F50" s="9"/>
      <c r="G50" s="9">
        <f>E44</f>
        <v>1413000</v>
      </c>
      <c r="H50" s="14">
        <f>+BA44</f>
        <v>1413500</v>
      </c>
      <c r="I50" s="88">
        <f>+G50-H50</f>
        <v>-500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18763000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T6:T42 AP6:AP43 AF6:AF42" xr:uid="{4EE9222D-3078-4CFD-A926-83C05A5680A8}">
      <formula1>"BANQUE,ESPECES,EN COMPTE,AUTRES"</formula1>
    </dataValidation>
    <dataValidation type="list" showInputMessage="1" showErrorMessage="1" sqref="AA6:AA42" xr:uid="{BF53A70A-51A2-4F29-A762-0006DD7BE7E8}">
      <formula1>"BANQUE,ESPECES, EN COMPTE,AUTRES"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9F7D-0E31-424D-A934-6BAE614BD31B}">
  <dimension ref="A1:BQ88"/>
  <sheetViews>
    <sheetView tabSelected="1" zoomScale="87" zoomScaleNormal="87" workbookViewId="0">
      <pane xSplit="4" ySplit="5" topLeftCell="Y27" activePane="bottomRight" state="frozen"/>
      <selection activeCell="D15" sqref="D15"/>
      <selection pane="topRight" activeCell="D15" sqref="D15"/>
      <selection pane="bottomLeft" activeCell="D15" sqref="D15"/>
      <selection pane="bottomRight" activeCell="A31" sqref="A31:XFD31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20.36328125" customWidth="1"/>
    <col min="54" max="54" width="16.90625" customWidth="1"/>
    <col min="55" max="55" width="13.1796875" bestFit="1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80000</v>
      </c>
      <c r="D6" s="9">
        <f>VLOOKUP($A6,[6]HISTOBQUEDEC25!$A$6:$H$48,5,0)</f>
        <v>250000</v>
      </c>
      <c r="E6" s="91">
        <f>VLOOKUP($A6,[6]HISTOBQUEDEC25!$A$6:$H$48,4,0)+32000+48000</f>
        <v>80000</v>
      </c>
      <c r="F6" s="91">
        <f>VLOOKUP($A6,[6]HISTOBQUEDEC25!$A$6:$H$48,6,0)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IFERROR(VLOOKUP(A6,[7]TONTDEC25!$A$6:$R$41,12,0),0)</f>
        <v>0</v>
      </c>
      <c r="Q6" s="2">
        <f>IFERROR(VLOOKUP(A6,[8]TONTDEC25!$A$6:$R$38,10,0),0)</f>
        <v>0</v>
      </c>
      <c r="R6" s="2">
        <f>IFERROR(VLOOKUP(A6,[9]TONTDEC25!$A$6:$R$42,10,0),0)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>
        <v>7500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0</v>
      </c>
      <c r="AZ6" s="16">
        <f>SUM(AV6:AY6)-BF6+Z6+BH6+BI6+BJ6+BK6+BL6+BM6+BN6</f>
        <v>944500</v>
      </c>
      <c r="BA6" s="58">
        <f>46000</f>
        <v>46000</v>
      </c>
      <c r="BB6" s="58"/>
      <c r="BC6" s="15">
        <f t="shared" ref="BC6:BC17" si="5">F6</f>
        <v>0</v>
      </c>
      <c r="BD6" s="57">
        <f>IF(AZ6=0,(AZ6-BA6-BC6),(AZ6-BA6-BB6-BC6))</f>
        <v>898500</v>
      </c>
      <c r="BE6" s="82"/>
      <c r="BF6" s="29">
        <f t="shared" ref="BF6:BF42" si="6">Z6*1/100*BG6</f>
        <v>0</v>
      </c>
      <c r="BG6" s="29">
        <v>1</v>
      </c>
      <c r="BH6" s="15">
        <f>BQ17</f>
        <v>52000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VLOOKUP($A7,[6]HISTOBQUEDEC25!$A$6:$H$48,5,0)</f>
        <v>0</v>
      </c>
      <c r="E7" s="91">
        <f>VLOOKUP($A7,[6]HISTOBQUEDEC25!$A$6:$H$48,4,0)</f>
        <v>1050000</v>
      </c>
      <c r="F7" s="91">
        <f>VLOOKUP($A7,[6]HISTOBQUEDEC25!$A$6:$H$48,6,0)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IFERROR(VLOOKUP(A7,[7]TONTDEC25!$A$6:$R$41,12,0),0)</f>
        <v>0</v>
      </c>
      <c r="Q7" s="2">
        <f>IFERROR(VLOOKUP(A7,[8]TONTDEC25!$A$6:$R$38,10,0),0)</f>
        <v>0</v>
      </c>
      <c r="R7" s="2">
        <f>IFERROR(VLOOKUP(A7,[9]TONTDEC25!$A$6:$R$42,10,0),0)</f>
        <v>0</v>
      </c>
      <c r="S7" s="20">
        <v>1000000</v>
      </c>
      <c r="T7" s="12" t="s">
        <v>9</v>
      </c>
      <c r="U7" s="17">
        <f t="shared" ref="U7:U42" si="9">G7+H7+S7+R7+P7+O7+M7+K7+Q7+V7+W7</f>
        <v>1050000</v>
      </c>
      <c r="V7" s="12"/>
      <c r="W7" s="12"/>
      <c r="X7" s="12"/>
      <c r="Y7" s="92">
        <f t="shared" ref="Y7:Y42" si="10">K7+M7+O7</f>
        <v>50000</v>
      </c>
      <c r="Z7" s="12">
        <v>1000000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980000</v>
      </c>
      <c r="BA7" s="58">
        <v>980000</v>
      </c>
      <c r="BB7" s="58"/>
      <c r="BC7" s="15">
        <f t="shared" si="5"/>
        <v>0</v>
      </c>
      <c r="BD7" s="57">
        <f t="shared" ref="BD7:BD42" si="15">IF(AZ7=0,(AZ7-BA7-BC7),(AZ7-BA7-BB7-BC7))</f>
        <v>0</v>
      </c>
      <c r="BE7" s="82"/>
      <c r="BF7" s="29">
        <f t="shared" si="6"/>
        <v>20000</v>
      </c>
      <c r="BG7" s="29">
        <v>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VLOOKUP($A8,[6]HISTOBQUEDEC25!$A$6:$H$48,5,0)</f>
        <v>125000</v>
      </c>
      <c r="E8" s="91">
        <f>VLOOKUP($A8,[6]HISTOBQUEDEC25!$A$6:$H$48,4,0)</f>
        <v>500000</v>
      </c>
      <c r="F8" s="91">
        <f>VLOOKUP($A8,[6]HISTOBQUEDEC25!$A$6:$H$48,6,0)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IFERROR(VLOOKUP(A8,[7]TONTDEC25!$A$6:$R$41,12,0),0)</f>
        <v>0</v>
      </c>
      <c r="Q8" s="2">
        <f>IFERROR(VLOOKUP(A8,[8]TONTDEC25!$A$6:$R$38,10,0),0)</f>
        <v>0</v>
      </c>
      <c r="R8" s="2">
        <f>IFERROR(VLOOKUP(A8,[9]TONTDEC25!$A$6:$R$42,10,0),0)</f>
        <v>0</v>
      </c>
      <c r="S8" s="20">
        <v>500000</v>
      </c>
      <c r="T8" s="12" t="s">
        <v>9</v>
      </c>
      <c r="U8" s="17">
        <f t="shared" si="9"/>
        <v>625000</v>
      </c>
      <c r="V8" s="12"/>
      <c r="W8" s="12"/>
      <c r="X8" s="12"/>
      <c r="Y8" s="92">
        <f t="shared" si="10"/>
        <v>125000</v>
      </c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490000</v>
      </c>
      <c r="BA8" s="58">
        <v>490000</v>
      </c>
      <c r="BB8" s="58"/>
      <c r="BC8" s="15">
        <f t="shared" si="5"/>
        <v>0</v>
      </c>
      <c r="BD8" s="57">
        <f t="shared" si="15"/>
        <v>0</v>
      </c>
      <c r="BE8" s="82"/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f>36000+10000</f>
        <v>46000</v>
      </c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VLOOKUP($A9,[6]HISTOBQUEDEC25!$A$6:$H$48,5,0)</f>
        <v>0</v>
      </c>
      <c r="E9" s="91">
        <f>VLOOKUP($A9,[6]HISTOBQUEDEC25!$A$6:$H$48,4,0)</f>
        <v>1457000</v>
      </c>
      <c r="F9" s="91">
        <f>VLOOKUP($A9,[6]HISTOBQUEDEC25!$A$6:$H$48,6,0)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IFERROR(VLOOKUP(A9,[7]TONTDEC25!$A$6:$R$41,12,0),0)</f>
        <v>0</v>
      </c>
      <c r="Q9" s="2">
        <f>IFERROR(VLOOKUP(A9,[8]TONTDEC25!$A$6:$R$38,10,0),0)</f>
        <v>0</v>
      </c>
      <c r="R9" s="2">
        <f>IFERROR(VLOOKUP(A9,[9]TONTDEC25!$A$6:$R$42,10,0),0)</f>
        <v>207000</v>
      </c>
      <c r="S9" s="20">
        <v>1000000</v>
      </c>
      <c r="T9" s="12" t="s">
        <v>9</v>
      </c>
      <c r="U9" s="17">
        <f t="shared" si="9"/>
        <v>1457000</v>
      </c>
      <c r="V9" s="12"/>
      <c r="W9" s="12"/>
      <c r="X9" s="12"/>
      <c r="Y9" s="92">
        <f t="shared" si="10"/>
        <v>250000</v>
      </c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880000</v>
      </c>
      <c r="BA9" s="58">
        <v>880000</v>
      </c>
      <c r="BB9" s="58"/>
      <c r="BC9" s="15">
        <f t="shared" si="5"/>
        <v>0</v>
      </c>
      <c r="BD9" s="57">
        <f t="shared" si="15"/>
        <v>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VLOOKUP($A10,[6]HISTOBQUEDEC25!$A$6:$H$48,5,0)</f>
        <v>70000</v>
      </c>
      <c r="E10" s="91">
        <f>VLOOKUP($A10,[6]HISTOBQUEDEC25!$A$6:$H$48,4,0)</f>
        <v>1000500</v>
      </c>
      <c r="F10" s="91">
        <f>VLOOKUP($A10,[6]HISTOBQUEDEC25!$A$6:$H$48,6,0)</f>
        <v>0</v>
      </c>
      <c r="G10" s="91"/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IFERROR(VLOOKUP(A10,[7]TONTDEC25!$A$6:$R$41,12,0),0)</f>
        <v>20500</v>
      </c>
      <c r="Q10" s="2">
        <f>IFERROR(VLOOKUP(A10,[8]TONTDEC25!$A$6:$R$38,10,0),0)</f>
        <v>0</v>
      </c>
      <c r="R10" s="2">
        <f>IFERROR(VLOOKUP(A10,[9]TONTDEC25!$A$6:$R$42,10,0),0)</f>
        <v>0</v>
      </c>
      <c r="S10" s="20">
        <v>1000000</v>
      </c>
      <c r="T10" s="12" t="s">
        <v>9</v>
      </c>
      <c r="U10" s="17">
        <f t="shared" si="9"/>
        <v>1070500</v>
      </c>
      <c r="V10" s="12"/>
      <c r="W10" s="12"/>
      <c r="X10" s="12"/>
      <c r="Y10" s="92">
        <f t="shared" si="10"/>
        <v>50000</v>
      </c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880000</v>
      </c>
      <c r="BA10" s="58">
        <v>880000</v>
      </c>
      <c r="BB10" s="58"/>
      <c r="BC10" s="15">
        <f t="shared" si="5"/>
        <v>0</v>
      </c>
      <c r="BD10" s="57">
        <f t="shared" si="15"/>
        <v>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VLOOKUP($A11,[6]HISTOBQUEDEC25!$A$6:$H$48,5,0)</f>
        <v>0</v>
      </c>
      <c r="E11" s="91">
        <f>VLOOKUP($A11,[6]HISTOBQUEDEC25!$A$6:$H$48,4,0)</f>
        <v>1101500</v>
      </c>
      <c r="F11" s="91">
        <f>VLOOKUP($A11,[6]HISTOBQUEDEC25!$A$6:$H$48,6,0)</f>
        <v>268500</v>
      </c>
      <c r="G11" s="91"/>
      <c r="H11" s="5">
        <f>IF(I11="ESPECES",3000,0)-3000</f>
        <v>0</v>
      </c>
      <c r="I11" s="10" t="str">
        <f t="shared" si="0"/>
        <v>ESPECES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IFERROR(VLOOKUP(A11,[7]TONTDEC25!$A$6:$R$41,12,0),0)</f>
        <v>51500</v>
      </c>
      <c r="Q11" s="2">
        <f>IFERROR(VLOOKUP(A11,[8]TONTDEC25!$A$6:$R$38,10,0),0)</f>
        <v>0</v>
      </c>
      <c r="R11" s="2">
        <f>IFERROR(VLOOKUP(A11,[9]TONTDEC25!$A$6:$R$42,10,0),0)</f>
        <v>168500</v>
      </c>
      <c r="S11" s="20">
        <v>1000000</v>
      </c>
      <c r="T11" s="12" t="s">
        <v>9</v>
      </c>
      <c r="U11" s="17">
        <f t="shared" si="9"/>
        <v>1370000</v>
      </c>
      <c r="V11" s="12"/>
      <c r="W11" s="12"/>
      <c r="X11" s="12"/>
      <c r="Y11" s="92">
        <f t="shared" si="10"/>
        <v>150000</v>
      </c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980000</v>
      </c>
      <c r="BA11" s="58">
        <f>880000+100000</f>
        <v>980000</v>
      </c>
      <c r="BB11" s="58"/>
      <c r="BC11" s="15">
        <f t="shared" si="5"/>
        <v>268500</v>
      </c>
      <c r="BD11" s="57">
        <f t="shared" si="15"/>
        <v>-268500</v>
      </c>
      <c r="BE11" s="82"/>
      <c r="BF11" s="29">
        <f t="shared" si="6"/>
        <v>120000</v>
      </c>
      <c r="BG11" s="29">
        <v>12</v>
      </c>
      <c r="BH11" s="15"/>
      <c r="BI11" s="15"/>
      <c r="BJ11" s="15"/>
      <c r="BK11" s="15">
        <v>100000</v>
      </c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VLOOKUP($A12,[6]HISTOBQUEDEC25!$A$6:$H$48,5,0)</f>
        <v>260000</v>
      </c>
      <c r="E12" s="91">
        <f>VLOOKUP($A12,[6]HISTOBQUEDEC25!$A$6:$H$48,4,0)</f>
        <v>101500</v>
      </c>
      <c r="F12" s="91">
        <f>VLOOKUP($A12,[6]HISTOBQUEDEC25!$A$6:$H$48,6,0)</f>
        <v>0</v>
      </c>
      <c r="G12" s="91">
        <v>10000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IFERROR(VLOOKUP(A12,[7]TONTDEC25!$A$6:$R$41,12,0),0)</f>
        <v>0</v>
      </c>
      <c r="Q12" s="2">
        <f>IFERROR(VLOOKUP(A12,[8]TONTDEC25!$A$6:$R$38,10,0),0)</f>
        <v>0</v>
      </c>
      <c r="R12" s="2">
        <f>IFERROR(VLOOKUP(A12,[9]TONTDEC25!$A$6:$R$42,10,0),0)</f>
        <v>101500</v>
      </c>
      <c r="S12" s="20"/>
      <c r="T12" s="12"/>
      <c r="U12" s="17">
        <f t="shared" si="9"/>
        <v>361500</v>
      </c>
      <c r="V12" s="12"/>
      <c r="W12" s="12"/>
      <c r="X12" s="12"/>
      <c r="Y12" s="92">
        <f t="shared" si="10"/>
        <v>250000</v>
      </c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7"/>
        <v>35000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940000</v>
      </c>
      <c r="BA12" s="58"/>
      <c r="BB12" s="58"/>
      <c r="BC12" s="15">
        <f t="shared" si="5"/>
        <v>0</v>
      </c>
      <c r="BD12" s="57">
        <f>IF(AZ12=0,(AZ12-BA12-BC12),(AZ12-BA12-BB12-BC12))+400000</f>
        <v>1340000</v>
      </c>
      <c r="BE12" s="82" t="s">
        <v>276</v>
      </c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VLOOKUP($A13,[6]HISTOBQUEDEC25!$A$6:$H$48,5,0)</f>
        <v>50000</v>
      </c>
      <c r="E13" s="91">
        <f>VLOOKUP($A13,[6]HISTOBQUEDEC25!$A$6:$H$48,4,0)</f>
        <v>0</v>
      </c>
      <c r="F13" s="91">
        <f>VLOOKUP($A13,[6]HISTOBQUEDEC25!$A$6:$H$48,6,0)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IFERROR(VLOOKUP(A13,[7]TONTDEC25!$A$6:$R$41,12,0),0)</f>
        <v>0</v>
      </c>
      <c r="Q13" s="2">
        <f>IFERROR(VLOOKUP(A13,[8]TONTDEC25!$A$6:$R$38,10,0),0)</f>
        <v>0</v>
      </c>
      <c r="R13" s="2">
        <f>IFERROR(VLOOKUP(A13,[9]TONTDEC25!$A$6:$R$42,10,0),0)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VLOOKUP($A14,[6]HISTOBQUEDEC25!$A$6:$H$48,5,0)</f>
        <v>0</v>
      </c>
      <c r="E14" s="91">
        <f>VLOOKUP($A14,[6]HISTOBQUEDEC25!$A$6:$H$48,4,0)</f>
        <v>50000</v>
      </c>
      <c r="F14" s="91">
        <f>VLOOKUP($A14,[6]HISTOBQUEDEC25!$A$6:$H$48,6,0)</f>
        <v>0</v>
      </c>
      <c r="G14" s="91"/>
      <c r="H14" s="5">
        <f>IF(I14="ESPECES",3000,0)-3000</f>
        <v>0</v>
      </c>
      <c r="I14" s="10" t="str">
        <f t="shared" si="0"/>
        <v>ESPECES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IFERROR(VLOOKUP(A14,[7]TONTDEC25!$A$6:$R$41,12,0),0)</f>
        <v>0</v>
      </c>
      <c r="Q14" s="2">
        <f>IFERROR(VLOOKUP(A14,[8]TONTDEC25!$A$6:$R$38,10,0),0)</f>
        <v>0</v>
      </c>
      <c r="R14" s="2">
        <f>IFERROR(VLOOKUP(A14,[9]TONTDEC25!$A$6:$R$42,10,0),0)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VLOOKUP($A15,[6]HISTOBQUEDEC25!$A$6:$H$48,5,0)</f>
        <v>150000</v>
      </c>
      <c r="E15" s="91">
        <f>VLOOKUP($A15,[6]HISTOBQUEDEC25!$A$6:$H$48,4,0)</f>
        <v>203000</v>
      </c>
      <c r="F15" s="91">
        <f>VLOOKUP($A15,[6]HISTOBQUEDEC25!$A$6:$H$48,6,0)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IFERROR(VLOOKUP(A15,[7]TONTDEC25!$A$6:$R$41,12,0),0)</f>
        <v>0</v>
      </c>
      <c r="Q15" s="2">
        <f>IFERROR(VLOOKUP(A15,[8]TONTDEC25!$A$6:$R$38,10,0),0)</f>
        <v>0</v>
      </c>
      <c r="R15" s="2">
        <f>IFERROR(VLOOKUP(A15,[9]TONTDEC25!$A$6:$R$42,10,0),0)</f>
        <v>203000</v>
      </c>
      <c r="S15" s="20"/>
      <c r="T15" s="12"/>
      <c r="U15" s="17">
        <f t="shared" si="9"/>
        <v>353000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>
        <f t="shared" si="5"/>
        <v>0</v>
      </c>
      <c r="BD15" s="57">
        <f t="shared" si="15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26000</v>
      </c>
      <c r="D16" s="9">
        <f>VLOOKUP($A16,[6]HISTOBQUEDEC25!$A$6:$H$48,5,0)</f>
        <v>125000</v>
      </c>
      <c r="E16" s="91">
        <f>VLOOKUP($A16,[6]HISTOBQUEDEC25!$A$6:$H$48,4,0)+26000</f>
        <v>26000</v>
      </c>
      <c r="F16" s="91">
        <f>VLOOKUP($A16,[6]HISTOBQUEDEC25!$A$6:$H$48,6,0)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IFERROR(VLOOKUP(A16,[7]TONTDEC25!$A$6:$R$41,12,0),0)</f>
        <v>0</v>
      </c>
      <c r="Q16" s="2">
        <f>IFERROR(VLOOKUP(A16,[8]TONTDEC25!$A$6:$R$38,10,0),0)</f>
        <v>0</v>
      </c>
      <c r="R16" s="2">
        <f>IFERROR(VLOOKUP(A16,[9]TONTDEC25!$A$6:$R$42,10,0),0)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VLOOKUP($A17,[6]HISTOBQUEDEC25!$A$6:$H$48,5,0)</f>
        <v>250000</v>
      </c>
      <c r="E17" s="91">
        <f>VLOOKUP($A17,[6]HISTOBQUEDEC25!$A$6:$H$48,4,0)</f>
        <v>603000</v>
      </c>
      <c r="F17" s="91">
        <f>VLOOKUP($A17,[6]HISTOBQUEDEC25!$A$6:$H$48,6,0)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IFERROR(VLOOKUP(A17,[7]TONTDEC25!$A$6:$R$41,12,0),0)</f>
        <v>0</v>
      </c>
      <c r="Q17" s="2">
        <f>IFERROR(VLOOKUP(A17,[8]TONTDEC25!$A$6:$R$38,10,0),0)</f>
        <v>0</v>
      </c>
      <c r="R17" s="2">
        <f>IFERROR(VLOOKUP(A17,[9]TONTDEC25!$A$6:$R$42,10,0),0)</f>
        <v>203000</v>
      </c>
      <c r="S17" s="20">
        <v>400000</v>
      </c>
      <c r="T17" s="12" t="s">
        <v>9</v>
      </c>
      <c r="U17" s="17">
        <f t="shared" si="9"/>
        <v>853000</v>
      </c>
      <c r="V17" s="12"/>
      <c r="W17" s="12"/>
      <c r="X17" s="12"/>
      <c r="Y17" s="92">
        <f t="shared" si="10"/>
        <v>225000</v>
      </c>
      <c r="Z17" s="12">
        <v>400000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392000</v>
      </c>
      <c r="BA17" s="58">
        <v>392000</v>
      </c>
      <c r="BB17" s="58"/>
      <c r="BC17" s="15">
        <f t="shared" si="5"/>
        <v>0</v>
      </c>
      <c r="BD17" s="57">
        <f t="shared" si="15"/>
        <v>0</v>
      </c>
      <c r="BE17" s="82"/>
      <c r="BF17" s="29">
        <f t="shared" si="6"/>
        <v>8000</v>
      </c>
      <c r="BG17" s="29">
        <v>2</v>
      </c>
      <c r="BH17" s="15"/>
      <c r="BI17" s="15"/>
      <c r="BJ17" s="15"/>
      <c r="BK17" s="15"/>
      <c r="BL17" s="61"/>
      <c r="BO17" s="62" t="s">
        <v>142</v>
      </c>
      <c r="BQ17" s="62">
        <f>SUM(BQ6:BQ16)</f>
        <v>52000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-500000</v>
      </c>
      <c r="D18" s="9">
        <f>VLOOKUP($A18,[6]HISTOBQUEDEC25!$A$6:$H$48,5,0)</f>
        <v>250000</v>
      </c>
      <c r="E18" s="91">
        <f>VLOOKUP($A18,[6]HISTOBQUEDEC25!$A$6:$H$48,4,0)</f>
        <v>20000</v>
      </c>
      <c r="F18" s="91">
        <f>VLOOKUP($A18,[6]HISTOBQUEDEC25!$A$6:$H$48,6,0)</f>
        <v>143500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IFERROR(VLOOKUP(A18,[7]TONTDEC25!$A$6:$R$41,12,0),0)</f>
        <v>53000</v>
      </c>
      <c r="Q18" s="2">
        <f>IFERROR(VLOOKUP(A18,[8]TONTDEC25!$A$6:$R$38,10,0),0)</f>
        <v>0</v>
      </c>
      <c r="R18" s="2">
        <f>IFERROR(VLOOKUP(A18,[9]TONTDEC25!$A$6:$R$42,10,0),0)</f>
        <v>210500</v>
      </c>
      <c r="S18" s="20">
        <v>500000</v>
      </c>
      <c r="T18" s="12" t="s">
        <v>9</v>
      </c>
      <c r="U18" s="17">
        <f t="shared" si="9"/>
        <v>913500</v>
      </c>
      <c r="V18" s="12"/>
      <c r="W18" s="12"/>
      <c r="X18" s="12"/>
      <c r="Y18" s="92">
        <f t="shared" si="10"/>
        <v>150000</v>
      </c>
      <c r="Z18" s="12">
        <v>500000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475000</v>
      </c>
      <c r="BA18" s="58"/>
      <c r="BB18" s="58"/>
      <c r="BC18" s="15">
        <f>F18</f>
        <v>143500</v>
      </c>
      <c r="BD18" s="57">
        <f t="shared" si="15"/>
        <v>331500</v>
      </c>
      <c r="BE18" s="82"/>
      <c r="BF18" s="29">
        <v>25000</v>
      </c>
      <c r="BG18" s="29">
        <v>1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0</v>
      </c>
      <c r="D19" s="9">
        <f>VLOOKUP($A19,[6]HISTOBQUEDEC25!$A$6:$H$48,5,0)</f>
        <v>208000</v>
      </c>
      <c r="E19" s="91">
        <f>VLOOKUP($A19,[6]HISTOBQUEDEC25!$A$6:$H$48,4,0)</f>
        <v>1235000</v>
      </c>
      <c r="F19" s="91">
        <f>VLOOKUP($A19,[6]HISTOBQUEDEC25!$A$6:$H$48,6,0)</f>
        <v>0</v>
      </c>
      <c r="G19" s="91">
        <v>10000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IFERROR(VLOOKUP(A19,[7]TONTDEC25!$A$6:$R$41,12,0),0)</f>
        <v>0</v>
      </c>
      <c r="Q19" s="2">
        <f>IFERROR(VLOOKUP(A19,[8]TONTDEC25!$A$6:$R$38,10,0),0)</f>
        <v>0</v>
      </c>
      <c r="R19" s="2">
        <f>IFERROR(VLOOKUP(A19,[9]TONTDEC25!$A$6:$R$42,10,0),0)</f>
        <v>208000</v>
      </c>
      <c r="S19" s="20">
        <v>1000000</v>
      </c>
      <c r="T19" s="12" t="s">
        <v>9</v>
      </c>
      <c r="U19" s="17">
        <f t="shared" si="9"/>
        <v>1443000</v>
      </c>
      <c r="V19" s="12"/>
      <c r="W19" s="12"/>
      <c r="X19" s="12"/>
      <c r="Y19" s="92">
        <f t="shared" si="10"/>
        <v>225000</v>
      </c>
      <c r="Z19" s="12">
        <v>1000000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880000</v>
      </c>
      <c r="BA19" s="58"/>
      <c r="BB19" s="58"/>
      <c r="BC19" s="15">
        <f t="shared" ref="BC19:BC42" si="18">F19</f>
        <v>0</v>
      </c>
      <c r="BD19" s="57">
        <f t="shared" si="15"/>
        <v>880000</v>
      </c>
      <c r="BE19" s="82" t="s">
        <v>186</v>
      </c>
      <c r="BF19" s="29">
        <f t="shared" si="6"/>
        <v>120000</v>
      </c>
      <c r="BG19" s="29">
        <v>12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>
        <v>50000</v>
      </c>
      <c r="F20" s="91"/>
      <c r="G20" s="91">
        <v>50000</v>
      </c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VLOOKUP($A21,[6]HISTOBQUEDEC25!$A$6:$H$48,5,0)</f>
        <v>50000</v>
      </c>
      <c r="E21" s="91">
        <f>VLOOKUP($A21,[6]HISTOBQUEDEC25!$A$6:$H$48,4,0)</f>
        <v>53000</v>
      </c>
      <c r="F21" s="91">
        <f>VLOOKUP($A21,[6]HISTOBQUEDEC25!$A$6:$H$48,6,0)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IFERROR(VLOOKUP(A21,[7]TONTDEC25!$A$6:$R$41,12,0),0)</f>
        <v>53000</v>
      </c>
      <c r="Q21" s="2">
        <f>IFERROR(VLOOKUP(A21,[8]TONTDEC25!$A$6:$R$38,10,0),0)</f>
        <v>0</v>
      </c>
      <c r="R21" s="2">
        <f>IFERROR(VLOOKUP(A21,[9]TONTDEC25!$A$6:$R$42,10,0),0)</f>
        <v>0</v>
      </c>
      <c r="S21" s="20"/>
      <c r="T21" s="12"/>
      <c r="U21" s="17">
        <f t="shared" si="9"/>
        <v>103000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0</v>
      </c>
      <c r="D22" s="9">
        <f>VLOOKUP($A22,[6]HISTOBQUEDEC25!$A$6:$H$48,5,0)</f>
        <v>0</v>
      </c>
      <c r="E22" s="91">
        <f>VLOOKUP($A22,[6]HISTOBQUEDEC25!$A$6:$H$48,4,0)</f>
        <v>1471000</v>
      </c>
      <c r="F22" s="91">
        <f>VLOOKUP($A22,[6]HISTOBQUEDEC25!$A$6:$H$48,6,0)</f>
        <v>0</v>
      </c>
      <c r="G22" s="91"/>
      <c r="H22" s="5">
        <f>IF(I22="ESPECES",3000,0)-3000</f>
        <v>0</v>
      </c>
      <c r="I22" s="10" t="str">
        <f t="shared" si="0"/>
        <v>ESPECES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IFERROR(VLOOKUP(A22,[7]TONTDEC25!$A$6:$R$41,12,0),0)</f>
        <v>0</v>
      </c>
      <c r="Q22" s="2">
        <f>IFERROR(VLOOKUP(A22,[8]TONTDEC25!$A$6:$R$38,10,0),0)</f>
        <v>0</v>
      </c>
      <c r="R22" s="2">
        <f>IFERROR(VLOOKUP(A22,[9]TONTDEC25!$A$6:$R$42,10,0),0)</f>
        <v>146000</v>
      </c>
      <c r="S22" s="20">
        <v>1000000</v>
      </c>
      <c r="T22" s="12" t="s">
        <v>9</v>
      </c>
      <c r="U22" s="17">
        <f t="shared" si="9"/>
        <v>1471000</v>
      </c>
      <c r="V22" s="12"/>
      <c r="W22" s="12"/>
      <c r="X22" s="12"/>
      <c r="Y22" s="92">
        <f t="shared" si="10"/>
        <v>325000</v>
      </c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880000</v>
      </c>
      <c r="BA22" s="58">
        <v>970000</v>
      </c>
      <c r="BB22" s="58"/>
      <c r="BC22" s="15">
        <f t="shared" si="18"/>
        <v>0</v>
      </c>
      <c r="BD22" s="57">
        <f t="shared" si="15"/>
        <v>-90000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VLOOKUP($A23,[6]HISTOBQUEDEC25!$A$6:$H$48,5,0)</f>
        <v>0</v>
      </c>
      <c r="E23" s="91">
        <f>VLOOKUP($A23,[6]HISTOBQUEDEC25!$A$6:$H$48,4,0)</f>
        <v>50000</v>
      </c>
      <c r="F23" s="91">
        <f>VLOOKUP($A23,[6]HISTOBQUEDEC25!$A$6:$H$48,6,0)</f>
        <v>0</v>
      </c>
      <c r="G23" s="91"/>
      <c r="H23" s="5">
        <f t="shared" ref="H23" si="19">IF(I23="ESPECES",3000,0)-3000</f>
        <v>0</v>
      </c>
      <c r="I23" s="10" t="str">
        <f t="shared" si="0"/>
        <v>ESPECES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IFERROR(VLOOKUP(A23,[7]TONTDEC25!$A$6:$R$41,12,0),0)</f>
        <v>0</v>
      </c>
      <c r="Q23" s="2">
        <f>IFERROR(VLOOKUP(A23,[8]TONTDEC25!$A$6:$R$38,10,0),0)</f>
        <v>0</v>
      </c>
      <c r="R23" s="2">
        <f>IFERROR(VLOOKUP(A23,[9]TONTDEC25!$A$6:$R$42,10,0),0)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  <c r="BQ23" s="6"/>
    </row>
    <row r="24" spans="1:69" s="110" customFormat="1" ht="18.5" x14ac:dyDescent="0.45">
      <c r="A24" s="60" t="s">
        <v>27</v>
      </c>
      <c r="B24" s="60" t="str">
        <f>VLOOKUP(A24,[5]LISTADHERENT!A$5:H$50,3,0)</f>
        <v>NANKAM APPOLINAIRE</v>
      </c>
      <c r="C24" s="99">
        <f t="shared" si="7"/>
        <v>26000</v>
      </c>
      <c r="D24" s="9">
        <f>VLOOKUP($A24,[6]HISTOBQUEDEC25!$A$6:$H$48,5,0)</f>
        <v>125000</v>
      </c>
      <c r="E24" s="99">
        <f>VLOOKUP($A24,[6]HISTOBQUEDEC25!$A$6:$H$48,4,0)+26000</f>
        <v>26000</v>
      </c>
      <c r="F24" s="99">
        <f>VLOOKUP($A24,[6]HISTOBQUEDEC25!$A$6:$H$48,6,0)</f>
        <v>900000</v>
      </c>
      <c r="G24" s="99"/>
      <c r="H24" s="99">
        <f t="shared" si="16"/>
        <v>0</v>
      </c>
      <c r="I24" s="100" t="str">
        <f t="shared" si="0"/>
        <v>BANQUE</v>
      </c>
      <c r="J24" s="101">
        <v>1</v>
      </c>
      <c r="K24" s="101">
        <f t="shared" si="8"/>
        <v>50000</v>
      </c>
      <c r="L24" s="102">
        <v>1</v>
      </c>
      <c r="M24" s="101">
        <f t="shared" si="1"/>
        <v>75000</v>
      </c>
      <c r="N24" s="102"/>
      <c r="O24" s="101">
        <f t="shared" si="2"/>
        <v>0</v>
      </c>
      <c r="P24" s="103">
        <f>IFERROR(VLOOKUP(A24,[7]TONTDEC25!$A$6:$R$41,12,0),0)</f>
        <v>0</v>
      </c>
      <c r="Q24" s="103">
        <f>IFERROR(VLOOKUP(A24,[8]TONTDEC25!$A$6:$R$38,10,0),0)</f>
        <v>0</v>
      </c>
      <c r="R24" s="103">
        <f>IFERROR(VLOOKUP(A24,[9]TONTDEC25!$A$6:$R$42,10,0),0)</f>
        <v>0</v>
      </c>
      <c r="S24" s="104">
        <v>900000</v>
      </c>
      <c r="T24" s="105" t="s">
        <v>209</v>
      </c>
      <c r="U24" s="106">
        <f t="shared" si="9"/>
        <v>1025000</v>
      </c>
      <c r="V24" s="105"/>
      <c r="W24" s="105"/>
      <c r="X24" s="105"/>
      <c r="Y24" s="92">
        <f t="shared" si="10"/>
        <v>125000</v>
      </c>
      <c r="Z24" s="105">
        <v>900000</v>
      </c>
      <c r="AA24" s="105" t="s">
        <v>8</v>
      </c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8">
        <f t="shared" si="3"/>
        <v>0</v>
      </c>
      <c r="AR24" s="108">
        <f t="shared" si="4"/>
        <v>0</v>
      </c>
      <c r="AS24" s="101">
        <f t="shared" si="17"/>
        <v>25000</v>
      </c>
      <c r="AT24" s="109"/>
      <c r="AV24" s="109"/>
      <c r="AW24" s="109">
        <f t="shared" si="11"/>
        <v>0</v>
      </c>
      <c r="AX24" s="109">
        <f t="shared" si="12"/>
        <v>0</v>
      </c>
      <c r="AY24" s="109">
        <f t="shared" si="13"/>
        <v>0</v>
      </c>
      <c r="AZ24" s="111">
        <f>SUM(AV24:AY24)-BF24+Z24+BH24+BI24+BJ24+BK24+BL24+BM24+BN24-140000</f>
        <v>652000</v>
      </c>
      <c r="BA24" s="112"/>
      <c r="BB24" s="112"/>
      <c r="BC24" s="109">
        <f t="shared" si="18"/>
        <v>900000</v>
      </c>
      <c r="BD24" s="111">
        <f t="shared" si="15"/>
        <v>-248000</v>
      </c>
      <c r="BE24" s="117"/>
      <c r="BF24" s="113">
        <f t="shared" si="6"/>
        <v>108000</v>
      </c>
      <c r="BG24" s="113">
        <v>12</v>
      </c>
      <c r="BH24" s="109"/>
      <c r="BI24" s="109"/>
      <c r="BJ24" s="109"/>
      <c r="BK24" s="109"/>
      <c r="BL24" s="103"/>
      <c r="BO24" s="111" t="s">
        <v>142</v>
      </c>
      <c r="BQ24" s="111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VLOOKUP($A25,[6]HISTOBQUEDEC25!$A$6:$H$48,5,0)</f>
        <v>760000</v>
      </c>
      <c r="E25" s="91">
        <f>VLOOKUP($A25,[6]HISTOBQUEDEC25!$A$6:$H$48,4,0)</f>
        <v>203000</v>
      </c>
      <c r="F25" s="91">
        <f>VLOOKUP($A25,[6]HISTOBQUEDEC25!$A$6:$H$48,6,0)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IFERROR(VLOOKUP(A25,[7]TONTDEC25!$A$6:$R$41,12,0),0)</f>
        <v>0</v>
      </c>
      <c r="Q25" s="2">
        <f>IFERROR(VLOOKUP(A25,[8]TONTDEC25!$A$6:$R$38,10,0),0)</f>
        <v>0</v>
      </c>
      <c r="R25" s="2">
        <f>IFERROR(VLOOKUP(A25,[9]TONTDEC25!$A$6:$R$42,10,0),0)</f>
        <v>203000</v>
      </c>
      <c r="S25" s="20">
        <v>500000</v>
      </c>
      <c r="T25" s="12" t="s">
        <v>8</v>
      </c>
      <c r="U25" s="17">
        <f t="shared" si="9"/>
        <v>963000</v>
      </c>
      <c r="V25" s="12"/>
      <c r="W25" s="12"/>
      <c r="X25" s="12"/>
      <c r="Y25" s="92">
        <f t="shared" si="10"/>
        <v>250000</v>
      </c>
      <c r="Z25" s="12">
        <v>500000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470000</v>
      </c>
      <c r="BA25" s="58">
        <v>376500</v>
      </c>
      <c r="BB25" s="58"/>
      <c r="BC25" s="15">
        <f t="shared" si="18"/>
        <v>0</v>
      </c>
      <c r="BD25" s="57">
        <f t="shared" si="15"/>
        <v>93500</v>
      </c>
      <c r="BE25" s="82" t="s">
        <v>186</v>
      </c>
      <c r="BF25" s="29">
        <f t="shared" si="6"/>
        <v>30000</v>
      </c>
      <c r="BG25" s="29">
        <v>6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VLOOKUP($A26,[6]HISTOBQUEDEC25!$A$6:$H$48,5,0)</f>
        <v>1550000</v>
      </c>
      <c r="E26" s="91">
        <f>VLOOKUP($A26,[6]HISTOBQUEDEC25!$A$6:$H$48,4,0)</f>
        <v>0</v>
      </c>
      <c r="F26" s="91">
        <f>VLOOKUP($A26,[6]HISTOBQUEDEC25!$A$6:$H$48,6,0)</f>
        <v>0</v>
      </c>
      <c r="G26" s="91">
        <v>17500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IFERROR(VLOOKUP(A26,[7]TONTDEC25!$A$6:$R$41,12,0),0)</f>
        <v>0</v>
      </c>
      <c r="Q26" s="2">
        <f>IFERROR(VLOOKUP(A26,[8]TONTDEC25!$A$6:$R$38,10,0),0)</f>
        <v>104500</v>
      </c>
      <c r="R26" s="2">
        <f>IFERROR(VLOOKUP(A26,[9]TONTDEC25!$A$6:$R$42,10,0),0)</f>
        <v>203000</v>
      </c>
      <c r="S26" s="20">
        <v>1000000</v>
      </c>
      <c r="T26" s="12" t="s">
        <v>8</v>
      </c>
      <c r="U26" s="17">
        <f t="shared" si="9"/>
        <v>1550000</v>
      </c>
      <c r="V26" s="12"/>
      <c r="W26" s="12"/>
      <c r="X26" s="12"/>
      <c r="Y26" s="92">
        <f t="shared" si="10"/>
        <v>225000</v>
      </c>
      <c r="Z26" s="12">
        <v>1000000</v>
      </c>
      <c r="AA26" s="12" t="s">
        <v>8</v>
      </c>
      <c r="AB26" s="12"/>
      <c r="AC26" s="12">
        <v>2500</v>
      </c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42500</v>
      </c>
      <c r="AT26" s="15"/>
      <c r="AV26" s="15"/>
      <c r="AW26" s="15">
        <f t="shared" si="11"/>
        <v>297500</v>
      </c>
      <c r="AX26" s="15">
        <f t="shared" si="12"/>
        <v>0</v>
      </c>
      <c r="AY26" s="15">
        <f>IF(AE26=0,AK26,(1*100000*12)+(AK26)-AE26)</f>
        <v>0</v>
      </c>
      <c r="AZ26" s="16">
        <f t="shared" si="14"/>
        <v>1177500</v>
      </c>
      <c r="BA26" s="58"/>
      <c r="BB26" s="58"/>
      <c r="BC26" s="15">
        <f t="shared" si="18"/>
        <v>0</v>
      </c>
      <c r="BD26" s="57">
        <f t="shared" si="15"/>
        <v>1177500</v>
      </c>
      <c r="BE26" s="82" t="s">
        <v>186</v>
      </c>
      <c r="BF26" s="29">
        <f t="shared" si="6"/>
        <v>120000</v>
      </c>
      <c r="BG26" s="29">
        <v>12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VLOOKUP($A27,[6]HISTOBQUEDEC25!$A$6:$H$48,5,0)</f>
        <v>450000</v>
      </c>
      <c r="E27" s="91">
        <f>VLOOKUP($A27,[6]HISTOBQUEDEC25!$A$6:$H$48,4,0)</f>
        <v>0</v>
      </c>
      <c r="F27" s="91">
        <f>VLOOKUP($A27,[6]HISTOBQUEDEC25!$A$6:$H$48,6,0)</f>
        <v>0</v>
      </c>
      <c r="G27" s="91">
        <v>-6500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IFERROR(VLOOKUP(A27,[7]TONTDEC25!$A$6:$R$41,12,0),0)</f>
        <v>0</v>
      </c>
      <c r="Q27" s="2">
        <f>IFERROR(VLOOKUP(A27,[8]TONTDEC25!$A$6:$R$38,10,0),0)</f>
        <v>0</v>
      </c>
      <c r="R27" s="2">
        <f>IFERROR(VLOOKUP(A27,[9]TONTDEC25!$A$6:$R$42,10,0),0)</f>
        <v>206500</v>
      </c>
      <c r="S27" s="20"/>
      <c r="T27" s="12"/>
      <c r="U27" s="17">
        <f t="shared" si="9"/>
        <v>450000</v>
      </c>
      <c r="V27" s="12"/>
      <c r="W27" s="12"/>
      <c r="X27" s="12"/>
      <c r="Y27" s="92">
        <f t="shared" si="10"/>
        <v>250000</v>
      </c>
      <c r="Z27" s="12">
        <v>1000000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18500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950000</v>
      </c>
      <c r="BA27" s="58"/>
      <c r="BB27" s="58"/>
      <c r="BC27" s="15">
        <f t="shared" si="18"/>
        <v>0</v>
      </c>
      <c r="BD27" s="57">
        <f t="shared" si="15"/>
        <v>950000</v>
      </c>
      <c r="BE27" s="82"/>
      <c r="BF27" s="29">
        <v>50000</v>
      </c>
      <c r="BG27" s="29">
        <v>1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VLOOKUP($A28,[6]HISTOBQUEDEC25!$A$6:$H$48,5,0)</f>
        <v>51500</v>
      </c>
      <c r="E28" s="91">
        <f>VLOOKUP($A28,[6]HISTOBQUEDEC25!$A$6:$H$48,4,0)</f>
        <v>1050000</v>
      </c>
      <c r="F28" s="91">
        <f>VLOOKUP($A28,[6]HISTOBQUEDEC25!$A$6:$H$48,6,0)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IFERROR(VLOOKUP(A28,[7]TONTDEC25!$A$6:$R$41,12,0),0)</f>
        <v>51500</v>
      </c>
      <c r="Q28" s="2">
        <f>IFERROR(VLOOKUP(A28,[8]TONTDEC25!$A$6:$R$38,10,0),0)</f>
        <v>0</v>
      </c>
      <c r="R28" s="2">
        <f>IFERROR(VLOOKUP(A28,[9]TONTDEC25!$A$6:$R$42,10,0),0)</f>
        <v>0</v>
      </c>
      <c r="S28" s="20">
        <v>1000000</v>
      </c>
      <c r="T28" s="12" t="s">
        <v>9</v>
      </c>
      <c r="U28" s="17">
        <f t="shared" si="9"/>
        <v>1101500</v>
      </c>
      <c r="V28" s="12"/>
      <c r="W28" s="12"/>
      <c r="X28" s="12"/>
      <c r="Y28" s="92">
        <f t="shared" si="10"/>
        <v>50000</v>
      </c>
      <c r="Z28" s="12">
        <v>1000000</v>
      </c>
      <c r="AA28" s="12" t="s">
        <v>8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 t="s">
        <v>8</v>
      </c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970000</v>
      </c>
      <c r="BA28" s="58">
        <f>150000+329500</f>
        <v>479500</v>
      </c>
      <c r="BB28" s="58"/>
      <c r="BC28" s="15">
        <f t="shared" si="18"/>
        <v>0</v>
      </c>
      <c r="BD28" s="57">
        <f t="shared" si="15"/>
        <v>490500</v>
      </c>
      <c r="BE28" s="82" t="s">
        <v>186</v>
      </c>
      <c r="BF28" s="29">
        <f t="shared" si="6"/>
        <v>30000</v>
      </c>
      <c r="BG28" s="29">
        <v>3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VLOOKUP($A29,[6]HISTOBQUEDEC25!$A$6:$H$48,5,0)</f>
        <v>300000</v>
      </c>
      <c r="E29" s="91">
        <f>VLOOKUP($A29,[6]HISTOBQUEDEC25!$A$6:$H$48,4,0)</f>
        <v>0</v>
      </c>
      <c r="F29" s="91">
        <f>VLOOKUP($A29,[6]HISTOBQUEDEC25!$A$6:$H$48,6,0)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IFERROR(VLOOKUP(A29,[7]TONTDEC25!$A$6:$R$41,12,0),0)</f>
        <v>0</v>
      </c>
      <c r="Q29" s="2">
        <f>IFERROR(VLOOKUP(A29,[8]TONTDEC25!$A$6:$R$38,10,0),0)</f>
        <v>0</v>
      </c>
      <c r="R29" s="2">
        <f>IFERROR(VLOOKUP(A29,[9]TONTDEC25!$A$6:$R$42,10,0),0)</f>
        <v>0</v>
      </c>
      <c r="S29" s="20">
        <v>250000</v>
      </c>
      <c r="T29" s="12" t="s">
        <v>8</v>
      </c>
      <c r="U29" s="17">
        <f t="shared" si="9"/>
        <v>300000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VLOOKUP($A30,[6]HISTOBQUEDEC25!$A$6:$H$48,5,0)</f>
        <v>125000</v>
      </c>
      <c r="E30" s="91">
        <f>VLOOKUP($A30,[6]HISTOBQUEDEC25!$A$6:$H$48,4,0)</f>
        <v>0</v>
      </c>
      <c r="F30" s="91">
        <f>VLOOKUP($A30,[6]HISTOBQUEDEC25!$A$6:$H$48,6,0)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IFERROR(VLOOKUP(A30,[7]TONTDEC25!$A$6:$R$41,12,0),0)</f>
        <v>0</v>
      </c>
      <c r="Q30" s="2">
        <f>IFERROR(VLOOKUP(A30,[8]TONTDEC25!$A$6:$R$38,10,0),0)</f>
        <v>0</v>
      </c>
      <c r="R30" s="2">
        <f>IFERROR(VLOOKUP(A30,[9]TONTDEC25!$A$6:$R$42,10,0),0)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-1000000</v>
      </c>
      <c r="D31" s="9">
        <f>VLOOKUP($A31,[6]HISTOBQUEDEC25!$A$6:$H$48,5,0)</f>
        <v>110000</v>
      </c>
      <c r="E31" s="91">
        <f>VLOOKUP($A31,[6]HISTOBQUEDEC25!$A$6:$H$48,4,0)</f>
        <v>0</v>
      </c>
      <c r="F31" s="91">
        <f>VLOOKUP($A31,[6]HISTOBQUEDEC25!$A$6:$H$48,6,0)</f>
        <v>0</v>
      </c>
      <c r="G31" s="91">
        <v>1000</v>
      </c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IFERROR(VLOOKUP(A31,[7]TONTDEC25!$A$6:$R$41,12,0),0)</f>
        <v>59000</v>
      </c>
      <c r="Q31" s="2">
        <f>IFERROR(VLOOKUP(A31,[8]TONTDEC25!$A$6:$R$38,10,0),0)</f>
        <v>0</v>
      </c>
      <c r="R31" s="2">
        <f>IFERROR(VLOOKUP(A31,[9]TONTDEC25!$A$6:$R$42,10,0),0)</f>
        <v>0</v>
      </c>
      <c r="S31" s="20">
        <f>100000+900000</f>
        <v>1000000</v>
      </c>
      <c r="T31" s="12" t="s">
        <v>8</v>
      </c>
      <c r="U31" s="17">
        <f t="shared" si="9"/>
        <v>1110000</v>
      </c>
      <c r="V31" s="12"/>
      <c r="W31" s="12"/>
      <c r="X31" s="12"/>
      <c r="Y31" s="92">
        <f t="shared" si="10"/>
        <v>50000</v>
      </c>
      <c r="Z31" s="12">
        <v>900000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7"/>
        <v>26000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855000</v>
      </c>
      <c r="BA31" s="58"/>
      <c r="BB31" s="58"/>
      <c r="BC31" s="15">
        <f t="shared" si="18"/>
        <v>0</v>
      </c>
      <c r="BD31" s="57">
        <f t="shared" si="15"/>
        <v>855000</v>
      </c>
      <c r="BE31" s="82"/>
      <c r="BF31" s="29">
        <v>45000</v>
      </c>
      <c r="BG31" s="29">
        <v>1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VLOOKUP($A32,[6]HISTOBQUEDEC25!$A$6:$H$48,5,0)</f>
        <v>250000</v>
      </c>
      <c r="E32" s="91">
        <f>VLOOKUP($A32,[6]HISTOBQUEDEC25!$A$6:$H$48,4,0)</f>
        <v>1203000</v>
      </c>
      <c r="F32" s="91">
        <f>VLOOKUP($A32,[6]HISTOBQUEDEC25!$A$6:$H$48,6,0)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IFERROR(VLOOKUP(A32,[7]TONTDEC25!$A$6:$R$41,12,0),0)</f>
        <v>0</v>
      </c>
      <c r="Q32" s="2">
        <f>IFERROR(VLOOKUP(A32,[8]TONTDEC25!$A$6:$R$38,10,0),0)</f>
        <v>0</v>
      </c>
      <c r="R32" s="2">
        <f>IFERROR(VLOOKUP(A32,[9]TONTDEC25!$A$6:$R$42,10,0),0)</f>
        <v>203000</v>
      </c>
      <c r="S32" s="20">
        <v>1000000</v>
      </c>
      <c r="T32" s="12" t="s">
        <v>9</v>
      </c>
      <c r="U32" s="17">
        <f t="shared" si="9"/>
        <v>1453000</v>
      </c>
      <c r="V32" s="12"/>
      <c r="W32" s="12"/>
      <c r="X32" s="12"/>
      <c r="Y32" s="92">
        <f t="shared" si="10"/>
        <v>250000</v>
      </c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970000</v>
      </c>
      <c r="BA32" s="58">
        <v>970000</v>
      </c>
      <c r="BB32" s="58"/>
      <c r="BC32" s="15">
        <f t="shared" si="18"/>
        <v>0</v>
      </c>
      <c r="BD32" s="57">
        <f t="shared" si="15"/>
        <v>0</v>
      </c>
      <c r="BE32" s="82"/>
      <c r="BF32" s="29">
        <f t="shared" si="6"/>
        <v>30000</v>
      </c>
      <c r="BG32" s="29">
        <v>3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-294500</v>
      </c>
      <c r="D33" s="9">
        <f>VLOOKUP($A33,[6]HISTOBQUEDEC25!$A$6:$H$48,5,0)</f>
        <v>50000</v>
      </c>
      <c r="E33" s="91">
        <f>VLOOKUP($A33,[6]HISTOBQUEDEC25!$A$6:$H$48,4,0)</f>
        <v>10000</v>
      </c>
      <c r="F33" s="91">
        <f>VLOOKUP($A33,[6]HISTOBQUEDEC25!$A$6:$H$48,6,0)</f>
        <v>0</v>
      </c>
      <c r="G33" s="91">
        <f>297500+10000</f>
        <v>307500</v>
      </c>
      <c r="H33" s="5">
        <f>IF(I33="ESPECES",3000,0)-3000</f>
        <v>-3000</v>
      </c>
      <c r="I33" s="10" t="str">
        <f t="shared" si="0"/>
        <v>BANQUE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IFERROR(VLOOKUP(A33,[7]TONTDEC25!$A$6:$R$41,12,0),0)</f>
        <v>0</v>
      </c>
      <c r="Q33" s="2">
        <f>IFERROR(VLOOKUP(A33,[8]TONTDEC25!$A$6:$R$38,10,0),0)</f>
        <v>0</v>
      </c>
      <c r="R33" s="2">
        <f>IFERROR(VLOOKUP(A33,[9]TONTDEC25!$A$6:$R$42,10,0),0)</f>
        <v>0</v>
      </c>
      <c r="S33" s="20"/>
      <c r="T33" s="12"/>
      <c r="U33" s="17">
        <f t="shared" si="9"/>
        <v>354500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332500</v>
      </c>
      <c r="AT33" s="15"/>
      <c r="AV33" s="15"/>
      <c r="AW33" s="15">
        <f t="shared" si="11"/>
        <v>297500</v>
      </c>
      <c r="AX33" s="15">
        <f t="shared" si="12"/>
        <v>0</v>
      </c>
      <c r="AY33" s="15">
        <f t="shared" si="13"/>
        <v>0</v>
      </c>
      <c r="AZ33" s="16">
        <f t="shared" si="14"/>
        <v>297500</v>
      </c>
      <c r="BA33" s="58"/>
      <c r="BB33" s="58"/>
      <c r="BC33" s="15">
        <f t="shared" si="18"/>
        <v>0</v>
      </c>
      <c r="BD33" s="57">
        <f t="shared" si="15"/>
        <v>297500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VLOOKUP($A34,[6]HISTOBQUEDEC25!$A$6:$H$48,5,0)</f>
        <v>0</v>
      </c>
      <c r="E34" s="91">
        <f>VLOOKUP($A34,[6]HISTOBQUEDEC25!$A$6:$H$48,4,0)</f>
        <v>0</v>
      </c>
      <c r="F34" s="91">
        <f>VLOOKUP($A34,[6]HISTOBQUEDEC25!$A$6:$H$48,6,0)</f>
        <v>530500</v>
      </c>
      <c r="G34" s="91"/>
      <c r="H34" s="5">
        <f t="shared" si="16"/>
        <v>0</v>
      </c>
      <c r="I34" s="10" t="str">
        <f t="shared" si="0"/>
        <v>ECHEC</v>
      </c>
      <c r="J34" s="11">
        <v>1</v>
      </c>
      <c r="K34" s="11">
        <f t="shared" si="8"/>
        <v>0</v>
      </c>
      <c r="L34" s="6"/>
      <c r="M34" s="11">
        <f t="shared" si="1"/>
        <v>0</v>
      </c>
      <c r="N34" s="6">
        <v>1</v>
      </c>
      <c r="O34" s="11">
        <f t="shared" si="2"/>
        <v>0</v>
      </c>
      <c r="P34" s="2">
        <f>IFERROR(VLOOKUP(A34,[7]TONTDEC25!$A$6:$R$41,12,0),0)</f>
        <v>30500</v>
      </c>
      <c r="Q34" s="2">
        <f>IFERROR(VLOOKUP(A34,[8]TONTDEC25!$A$6:$R$38,10,0),0)</f>
        <v>0</v>
      </c>
      <c r="R34" s="2">
        <f>IFERROR(VLOOKUP(A34,[9]TONTDEC25!$A$6:$R$42,10,0),0)</f>
        <v>0</v>
      </c>
      <c r="S34" s="20">
        <v>500000</v>
      </c>
      <c r="T34" s="12" t="s">
        <v>209</v>
      </c>
      <c r="U34" s="17">
        <f t="shared" si="9"/>
        <v>530500</v>
      </c>
      <c r="V34" s="12"/>
      <c r="W34" s="12"/>
      <c r="X34" s="12"/>
      <c r="Y34" s="92">
        <f t="shared" si="10"/>
        <v>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 t="s">
        <v>8</v>
      </c>
      <c r="AQ34" s="8">
        <f t="shared" si="3"/>
        <v>0</v>
      </c>
      <c r="AR34" s="8">
        <f t="shared" si="4"/>
        <v>0</v>
      </c>
      <c r="AS34" s="13">
        <f t="shared" si="17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>
        <f t="shared" si="18"/>
        <v>530500</v>
      </c>
      <c r="BD34" s="57">
        <f t="shared" si="15"/>
        <v>-530500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VLOOKUP($A35,[6]HISTOBQUEDEC25!$A$6:$H$48,5,0)</f>
        <v>125000</v>
      </c>
      <c r="E35" s="91">
        <f>VLOOKUP($A35,[6]HISTOBQUEDEC25!$A$6:$H$48,4,0)</f>
        <v>1000000</v>
      </c>
      <c r="F35" s="91">
        <f>VLOOKUP($A35,[6]HISTOBQUEDEC25!$A$6:$H$48,6,0)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IFERROR(VLOOKUP(A35,[7]TONTDEC25!$A$6:$R$41,12,0),0)</f>
        <v>0</v>
      </c>
      <c r="Q35" s="2">
        <f>IFERROR(VLOOKUP(A35,[8]TONTDEC25!$A$6:$R$38,10,0),0)</f>
        <v>0</v>
      </c>
      <c r="R35" s="2">
        <f>IFERROR(VLOOKUP(A35,[9]TONTDEC25!$A$6:$R$42,10,0),0)</f>
        <v>0</v>
      </c>
      <c r="S35" s="20">
        <v>1000000</v>
      </c>
      <c r="T35" s="12" t="s">
        <v>9</v>
      </c>
      <c r="U35" s="17">
        <f t="shared" si="9"/>
        <v>1125000</v>
      </c>
      <c r="V35" s="12"/>
      <c r="W35" s="12"/>
      <c r="X35" s="12"/>
      <c r="Y35" s="92">
        <f t="shared" si="10"/>
        <v>125000</v>
      </c>
      <c r="Z35" s="12">
        <v>1000000</v>
      </c>
      <c r="AA35" s="12" t="s">
        <v>8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940000</v>
      </c>
      <c r="BA35" s="58">
        <f>940000+223500</f>
        <v>1163500</v>
      </c>
      <c r="BB35" s="58"/>
      <c r="BC35" s="15">
        <f t="shared" si="18"/>
        <v>0</v>
      </c>
      <c r="BD35" s="57">
        <f t="shared" si="15"/>
        <v>-223500</v>
      </c>
      <c r="BE35" s="82"/>
      <c r="BF35" s="29">
        <f t="shared" si="6"/>
        <v>60000</v>
      </c>
      <c r="BG35" s="29">
        <v>6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-100000</v>
      </c>
      <c r="D36" s="9">
        <f>VLOOKUP($A36,[6]HISTOBQUEDEC25!$A$6:$H$48,5,0)</f>
        <v>1150000</v>
      </c>
      <c r="E36" s="91">
        <f>VLOOKUP($A36,[6]HISTOBQUEDEC25!$A$6:$H$48,4,0)</f>
        <v>3500</v>
      </c>
      <c r="F36" s="91">
        <f>VLOOKUP($A36,[6]HISTOBQUEDEC25!$A$6:$H$48,6,0)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IFERROR(VLOOKUP(A36,[7]TONTDEC25!$A$6:$R$41,12,0),0)</f>
        <v>0</v>
      </c>
      <c r="Q36" s="2">
        <f>IFERROR(VLOOKUP(A36,[8]TONTDEC25!$A$6:$R$38,10,0),0)</f>
        <v>0</v>
      </c>
      <c r="R36" s="2">
        <f>IFERROR(VLOOKUP(A36,[9]TONTDEC25!$A$6:$R$42,10,0),0)</f>
        <v>103500</v>
      </c>
      <c r="S36" s="20">
        <v>1000000</v>
      </c>
      <c r="T36" s="12" t="s">
        <v>8</v>
      </c>
      <c r="U36" s="17">
        <f t="shared" si="9"/>
        <v>1253500</v>
      </c>
      <c r="V36" s="12"/>
      <c r="W36" s="12"/>
      <c r="X36" s="12"/>
      <c r="Y36" s="92">
        <f t="shared" si="10"/>
        <v>150000</v>
      </c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 t="s">
        <v>8</v>
      </c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880000</v>
      </c>
      <c r="BA36" s="58"/>
      <c r="BB36" s="58"/>
      <c r="BC36" s="15">
        <f t="shared" si="18"/>
        <v>0</v>
      </c>
      <c r="BD36" s="57">
        <f t="shared" si="15"/>
        <v>880000</v>
      </c>
      <c r="BE36" s="82" t="s">
        <v>186</v>
      </c>
      <c r="BF36" s="29">
        <f t="shared" si="6"/>
        <v>120000</v>
      </c>
      <c r="BG36" s="29">
        <v>12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VLOOKUP($A37,[6]HISTOBQUEDEC25!$A$6:$H$48,5,0)</f>
        <v>50000</v>
      </c>
      <c r="E37" s="91">
        <f>VLOOKUP($A37,[6]HISTOBQUEDEC25!$A$6:$H$48,4,0)</f>
        <v>0</v>
      </c>
      <c r="F37" s="91">
        <f>VLOOKUP($A37,[6]HISTOBQUEDEC25!$A$6:$H$48,6,0)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IFERROR(VLOOKUP(A37,[7]TONTDEC25!$A$6:$R$41,12,0),0)</f>
        <v>0</v>
      </c>
      <c r="Q37" s="2">
        <f>IFERROR(VLOOKUP(A37,[8]TONTDEC25!$A$6:$R$38,10,0),0)</f>
        <v>0</v>
      </c>
      <c r="R37" s="2">
        <f>IFERROR(VLOOKUP(A37,[9]TONTDEC25!$A$6:$R$42,10,0),0)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1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-284200</v>
      </c>
      <c r="D38" s="9">
        <f>VLOOKUP($A38,[6]HISTOBQUEDEC25!$A$6:$H$48,5,0)</f>
        <v>50000</v>
      </c>
      <c r="E38" s="91">
        <f>VLOOKUP($A38,[6]HISTOBQUEDEC25!$A$6:$H$48,4,0)</f>
        <v>13300</v>
      </c>
      <c r="F38" s="91">
        <f>VLOOKUP($A38,[6]HISTOBQUEDEC25!$A$6:$H$48,6,0)</f>
        <v>0</v>
      </c>
      <c r="G38" s="91">
        <f>297500</f>
        <v>297500</v>
      </c>
      <c r="H38" s="5">
        <f t="shared" si="16"/>
        <v>0</v>
      </c>
      <c r="I38" s="10" t="str">
        <f t="shared" si="0"/>
        <v>BANQUE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IFERROR(VLOOKUP(A38,[7]TONTDEC25!$A$6:$R$41,12,0),0)</f>
        <v>0</v>
      </c>
      <c r="Q38" s="2">
        <f>IFERROR(VLOOKUP(A38,[8]TONTDEC25!$A$6:$R$38,10,0),0)</f>
        <v>0</v>
      </c>
      <c r="R38" s="2">
        <f>IFERROR(VLOOKUP(A38,[9]TONTDEC25!$A$6:$R$42,10,0),0)</f>
        <v>0</v>
      </c>
      <c r="S38" s="20"/>
      <c r="T38" s="12"/>
      <c r="U38" s="17">
        <f t="shared" si="9"/>
        <v>347500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>
        <v>2500</v>
      </c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322500</v>
      </c>
      <c r="AT38" s="15"/>
      <c r="AV38" s="15"/>
      <c r="AW38" s="15">
        <f t="shared" si="11"/>
        <v>297500</v>
      </c>
      <c r="AX38" s="15">
        <f t="shared" si="12"/>
        <v>0</v>
      </c>
      <c r="AY38" s="15">
        <f t="shared" si="13"/>
        <v>0</v>
      </c>
      <c r="AZ38" s="16">
        <f t="shared" si="14"/>
        <v>297500</v>
      </c>
      <c r="BA38" s="58"/>
      <c r="BB38" s="58"/>
      <c r="BC38" s="15">
        <f t="shared" si="18"/>
        <v>0</v>
      </c>
      <c r="BD38" s="57">
        <f t="shared" si="15"/>
        <v>297500</v>
      </c>
      <c r="BE38" s="82"/>
      <c r="BF38" s="29">
        <f t="shared" si="6"/>
        <v>0</v>
      </c>
      <c r="BG38" s="29">
        <v>1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VLOOKUP($A39,[6]HISTOBQUEDEC25!$A$6:$H$48,5,0)</f>
        <v>232500</v>
      </c>
      <c r="E39" s="91">
        <f>VLOOKUP($A39,[6]HISTOBQUEDEC25!$A$6:$H$48,4,0)</f>
        <v>0</v>
      </c>
      <c r="F39" s="91">
        <f>VLOOKUP($A39,[6]HISTOBQUEDEC25!$A$6:$H$48,6,0)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IFERROR(VLOOKUP(A39,[7]TONTDEC25!$A$6:$R$41,12,0),0)</f>
        <v>0</v>
      </c>
      <c r="Q39" s="2">
        <f>IFERROR(VLOOKUP(A39,[8]TONTDEC25!$A$6:$R$38,10,0),0)</f>
        <v>0</v>
      </c>
      <c r="R39" s="2">
        <f>IFERROR(VLOOKUP(A39,[9]TONTDEC25!$A$6:$R$42,10,0),0)</f>
        <v>0</v>
      </c>
      <c r="S39" s="20">
        <v>107500</v>
      </c>
      <c r="T39" s="12" t="s">
        <v>8</v>
      </c>
      <c r="U39" s="17">
        <f t="shared" si="9"/>
        <v>232500</v>
      </c>
      <c r="V39" s="12"/>
      <c r="W39" s="12"/>
      <c r="X39" s="12"/>
      <c r="Y39" s="92">
        <f t="shared" si="10"/>
        <v>125000</v>
      </c>
      <c r="Z39" s="12">
        <v>500000</v>
      </c>
      <c r="AA39" s="12" t="s">
        <v>8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0</v>
      </c>
      <c r="AY39" s="15">
        <f t="shared" si="13"/>
        <v>0</v>
      </c>
      <c r="AZ39" s="16">
        <f t="shared" si="14"/>
        <v>470000</v>
      </c>
      <c r="BA39" s="58">
        <v>470000</v>
      </c>
      <c r="BB39" s="58"/>
      <c r="BC39" s="15">
        <f t="shared" si="18"/>
        <v>0</v>
      </c>
      <c r="BD39" s="57">
        <f t="shared" si="15"/>
        <v>0</v>
      </c>
      <c r="BE39" s="82"/>
      <c r="BF39" s="29">
        <f t="shared" si="6"/>
        <v>30000</v>
      </c>
      <c r="BG39" s="29">
        <v>6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VLOOKUP($A40,[6]HISTOBQUEDEC25!$A$6:$H$48,5,0)</f>
        <v>0</v>
      </c>
      <c r="E40" s="91">
        <f>VLOOKUP($A40,[6]HISTOBQUEDEC25!$A$6:$H$48,4,0)</f>
        <v>50000</v>
      </c>
      <c r="F40" s="91">
        <f>VLOOKUP($A40,[6]HISTOBQUEDEC25!$A$6:$H$48,6,0)</f>
        <v>0</v>
      </c>
      <c r="G40" s="91"/>
      <c r="H40" s="5">
        <f t="shared" ref="H40:H41" si="20">IF(I40="ESPECES",3000,0)-3000</f>
        <v>0</v>
      </c>
      <c r="I40" s="10" t="str">
        <f t="shared" si="0"/>
        <v>ESPECES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IFERROR(VLOOKUP(A40,[7]TONTDEC25!$A$6:$R$41,12,0),0)</f>
        <v>0</v>
      </c>
      <c r="Q40" s="2">
        <f>IFERROR(VLOOKUP(A40,[8]TONTDEC25!$A$6:$R$38,10,0),0)</f>
        <v>0</v>
      </c>
      <c r="R40" s="2">
        <f>IFERROR(VLOOKUP(A40,[9]TONTDEC25!$A$6:$R$42,10,0),0)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1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VLOOKUP($A41,[6]HISTOBQUEDEC25!$A$6:$H$48,5,0)</f>
        <v>0</v>
      </c>
      <c r="E41" s="91">
        <f>VLOOKUP($A41,[6]HISTOBQUEDEC25!$A$6:$H$48,4,0)</f>
        <v>453000</v>
      </c>
      <c r="F41" s="91">
        <f>VLOOKUP($A41,[6]HISTOBQUEDEC25!$A$6:$H$48,6,0)</f>
        <v>0</v>
      </c>
      <c r="G41" s="91"/>
      <c r="H41" s="5">
        <f t="shared" si="20"/>
        <v>0</v>
      </c>
      <c r="I41" s="10" t="str">
        <f t="shared" si="0"/>
        <v>ESPECES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IFERROR(VLOOKUP(A41,[7]TONTDEC25!$A$6:$R$41,12,0),0)</f>
        <v>0</v>
      </c>
      <c r="Q41" s="2">
        <f>IFERROR(VLOOKUP(A41,[8]TONTDEC25!$A$6:$R$38,10,0),0)</f>
        <v>0</v>
      </c>
      <c r="R41" s="2">
        <f>IFERROR(VLOOKUP(A41,[9]TONTDEC25!$A$6:$R$42,10,0),0)</f>
        <v>203000</v>
      </c>
      <c r="S41" s="6"/>
      <c r="T41" s="12"/>
      <c r="U41" s="17">
        <f t="shared" si="9"/>
        <v>453000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 t="s">
        <v>8</v>
      </c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18"/>
        <v>0</v>
      </c>
      <c r="BD41" s="57">
        <f t="shared" si="15"/>
        <v>0</v>
      </c>
      <c r="BE41" s="82"/>
      <c r="BF41" s="29">
        <f t="shared" si="6"/>
        <v>0</v>
      </c>
      <c r="BG41" s="29">
        <v>1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VLOOKUP($A42,[6]HISTOBQUEDEC25!$A$6:$H$48,5,0)</f>
        <v>225000</v>
      </c>
      <c r="E42" s="91">
        <f>VLOOKUP($A42,[6]HISTOBQUEDEC25!$A$6:$H$48,4,0)</f>
        <v>0</v>
      </c>
      <c r="F42" s="91">
        <f>VLOOKUP($A42,[6]HISTOBQUEDEC25!$A$6:$H$48,6,0)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IFERROR(VLOOKUP(A42,[7]TONTDEC25!$A$6:$R$41,12,0),0)</f>
        <v>0</v>
      </c>
      <c r="Q42" s="2">
        <f>IFERROR(VLOOKUP(A42,[8]TONTDEC25!$A$6:$R$38,10,0),0)</f>
        <v>0</v>
      </c>
      <c r="R42" s="2">
        <f>IFERROR(VLOOKUP(A42,[9]TONTDEC25!$A$6:$R$42,10,0),0)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 t="s">
        <v>8</v>
      </c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1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-2046700</v>
      </c>
      <c r="D44" s="5">
        <f>SUM(D6:D43)</f>
        <v>7392000</v>
      </c>
      <c r="E44" s="5">
        <f>SUM(E6:E43)</f>
        <v>13063300</v>
      </c>
      <c r="F44" s="5">
        <f>SUM(F6:F43)</f>
        <v>1842500</v>
      </c>
      <c r="G44" s="5">
        <f t="shared" ref="G44:S44" si="21">SUM(G6:G43)</f>
        <v>722000</v>
      </c>
      <c r="H44" s="5">
        <f t="shared" si="21"/>
        <v>-3000</v>
      </c>
      <c r="I44" s="5">
        <f t="shared" si="21"/>
        <v>0</v>
      </c>
      <c r="J44" s="5">
        <f t="shared" si="21"/>
        <v>35</v>
      </c>
      <c r="K44" s="5">
        <f t="shared" si="21"/>
        <v>1700000</v>
      </c>
      <c r="L44" s="5">
        <f t="shared" si="21"/>
        <v>13</v>
      </c>
      <c r="M44" s="5">
        <f t="shared" si="21"/>
        <v>975000</v>
      </c>
      <c r="N44" s="5">
        <f t="shared" si="21"/>
        <v>24</v>
      </c>
      <c r="O44" s="5">
        <f t="shared" si="21"/>
        <v>2300000</v>
      </c>
      <c r="P44" s="5">
        <f t="shared" si="21"/>
        <v>319000</v>
      </c>
      <c r="Q44" s="5">
        <f t="shared" si="21"/>
        <v>104500</v>
      </c>
      <c r="R44" s="5">
        <f t="shared" si="21"/>
        <v>2569500</v>
      </c>
      <c r="S44" s="5">
        <f t="shared" si="21"/>
        <v>15657500</v>
      </c>
      <c r="T44" s="5"/>
      <c r="U44" s="5">
        <f t="shared" ref="U44:AA44" si="22">SUM(U6:U43)</f>
        <v>24294500</v>
      </c>
      <c r="V44" s="5">
        <f t="shared" si="22"/>
        <v>0</v>
      </c>
      <c r="W44" s="5">
        <f t="shared" si="22"/>
        <v>0</v>
      </c>
      <c r="X44" s="5">
        <f t="shared" si="22"/>
        <v>0</v>
      </c>
      <c r="Y44" s="5">
        <f t="shared" si="22"/>
        <v>4975000</v>
      </c>
      <c r="Z44" s="5">
        <f t="shared" si="22"/>
        <v>17200000</v>
      </c>
      <c r="AA44" s="5">
        <f t="shared" si="22"/>
        <v>0</v>
      </c>
      <c r="AB44" s="5"/>
      <c r="AC44" s="5">
        <f>SUM(AC6:AC43)</f>
        <v>7500</v>
      </c>
      <c r="AD44" s="5">
        <f>SUM(AD6:AD43)</f>
        <v>7500</v>
      </c>
      <c r="AE44" s="5">
        <f>SUM(AE6:AE43)</f>
        <v>0</v>
      </c>
      <c r="AF44" s="5">
        <f>SUM(AF6:AF43)</f>
        <v>0</v>
      </c>
      <c r="AG44" s="5">
        <f>SUM(AG6:AG43)</f>
        <v>0</v>
      </c>
      <c r="AH44" s="5"/>
      <c r="AI44" s="5">
        <f t="shared" ref="AI44:BF44" si="23">SUM(AI6:AI43)</f>
        <v>0</v>
      </c>
      <c r="AJ44" s="5">
        <f t="shared" si="23"/>
        <v>0</v>
      </c>
      <c r="AK44" s="5">
        <f t="shared" si="23"/>
        <v>0</v>
      </c>
      <c r="AL44" s="5">
        <f t="shared" si="23"/>
        <v>0</v>
      </c>
      <c r="AM44" s="5">
        <f t="shared" si="23"/>
        <v>0</v>
      </c>
      <c r="AN44" s="5">
        <f t="shared" si="23"/>
        <v>0</v>
      </c>
      <c r="AO44" s="5">
        <f t="shared" si="23"/>
        <v>0</v>
      </c>
      <c r="AP44" s="5"/>
      <c r="AQ44" s="5">
        <f t="shared" si="23"/>
        <v>0</v>
      </c>
      <c r="AR44" s="5">
        <f t="shared" si="23"/>
        <v>0</v>
      </c>
      <c r="AS44" s="5">
        <f t="shared" si="23"/>
        <v>1522000</v>
      </c>
      <c r="AT44" s="5">
        <f t="shared" si="23"/>
        <v>0</v>
      </c>
      <c r="AU44" s="5">
        <f t="shared" si="23"/>
        <v>0</v>
      </c>
      <c r="AV44" s="5">
        <f t="shared" si="23"/>
        <v>0</v>
      </c>
      <c r="AW44" s="5">
        <f t="shared" si="23"/>
        <v>892500</v>
      </c>
      <c r="AX44" s="5">
        <f t="shared" si="23"/>
        <v>892500</v>
      </c>
      <c r="AY44" s="5">
        <f t="shared" si="23"/>
        <v>0</v>
      </c>
      <c r="AZ44" s="5">
        <f t="shared" si="23"/>
        <v>17651000</v>
      </c>
      <c r="BA44" s="5">
        <f t="shared" si="23"/>
        <v>9077500</v>
      </c>
      <c r="BB44" s="5">
        <f t="shared" si="23"/>
        <v>0</v>
      </c>
      <c r="BC44" s="5">
        <f t="shared" si="23"/>
        <v>1842500</v>
      </c>
      <c r="BD44" s="5">
        <f t="shared" si="23"/>
        <v>7131000</v>
      </c>
      <c r="BE44" s="5">
        <f t="shared" si="23"/>
        <v>0</v>
      </c>
      <c r="BF44" s="5">
        <f t="shared" si="23"/>
        <v>1346000</v>
      </c>
      <c r="BH44" s="5">
        <f t="shared" ref="BH44:BL44" si="24">SUM(BH6:BH43)</f>
        <v>52000</v>
      </c>
      <c r="BI44" s="5">
        <f t="shared" si="24"/>
        <v>0</v>
      </c>
      <c r="BJ44" s="5">
        <f t="shared" si="24"/>
        <v>0</v>
      </c>
      <c r="BK44" s="5">
        <f t="shared" si="24"/>
        <v>100000</v>
      </c>
      <c r="BL44" s="5">
        <f t="shared" si="24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>
        <f>[6]HISTOBQUEDEC25!$D$44</f>
        <v>12931300</v>
      </c>
      <c r="BA46" s="9">
        <f>E44</f>
        <v>13063300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3985800</v>
      </c>
      <c r="BD47" s="14">
        <f>+BD46-BD44</f>
        <v>-7131000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B48" s="14">
        <v>2520000</v>
      </c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>
        <f>AZ46-BA49</f>
        <v>1333800</v>
      </c>
      <c r="BA49" s="6">
        <f>BA44+BB48</f>
        <v>11597500</v>
      </c>
    </row>
    <row r="50" spans="2:69" ht="18.5" x14ac:dyDescent="0.45">
      <c r="B50" s="1" t="s">
        <v>208</v>
      </c>
      <c r="C50" s="14">
        <f>BD44</f>
        <v>7131000</v>
      </c>
      <c r="D50" s="9">
        <f>+D44</f>
        <v>7392000</v>
      </c>
      <c r="E50" s="9">
        <f>+C50-D50</f>
        <v>-261000</v>
      </c>
      <c r="F50" s="9"/>
      <c r="G50" s="9">
        <f>E44</f>
        <v>13063300</v>
      </c>
      <c r="H50" s="14">
        <f>+BA44</f>
        <v>9077500</v>
      </c>
      <c r="I50" s="88">
        <f>+G50-H50</f>
        <v>3985800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 t="s">
        <v>175</v>
      </c>
      <c r="BA51">
        <v>376500</v>
      </c>
      <c r="BB51">
        <v>350000</v>
      </c>
      <c r="BC51">
        <v>26500</v>
      </c>
    </row>
    <row r="52" spans="2:69" ht="18.5" x14ac:dyDescent="0.45">
      <c r="AW52" s="15"/>
      <c r="AX52" s="15"/>
      <c r="AY52" s="15"/>
      <c r="AZ52" s="16" t="s">
        <v>172</v>
      </c>
      <c r="BA52">
        <v>1244000</v>
      </c>
      <c r="BB52">
        <v>1152000</v>
      </c>
      <c r="BC52">
        <v>92000</v>
      </c>
    </row>
    <row r="53" spans="2:69" ht="18.5" x14ac:dyDescent="0.45">
      <c r="G53" t="s">
        <v>282</v>
      </c>
      <c r="H53">
        <v>100000</v>
      </c>
      <c r="I53">
        <v>10000</v>
      </c>
      <c r="AW53" s="15"/>
      <c r="AX53" s="15"/>
      <c r="AY53" s="15"/>
      <c r="AZ53" s="16" t="s">
        <v>173</v>
      </c>
      <c r="BA53">
        <v>223000</v>
      </c>
      <c r="BB53">
        <v>208000</v>
      </c>
      <c r="BC53">
        <v>15500</v>
      </c>
    </row>
    <row r="54" spans="2:69" ht="18.5" x14ac:dyDescent="0.45">
      <c r="G54" t="s">
        <v>283</v>
      </c>
      <c r="H54">
        <v>6000</v>
      </c>
      <c r="I54">
        <v>6000</v>
      </c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  <c r="BA56" s="70">
        <f>+BB51+BB52+BB53+BA44</f>
        <v>10787500</v>
      </c>
    </row>
    <row r="57" spans="2:69" ht="18.5" x14ac:dyDescent="0.45">
      <c r="AW57" s="15"/>
      <c r="AX57" s="15"/>
      <c r="AY57" s="15"/>
      <c r="AZ57" s="16" t="s">
        <v>281</v>
      </c>
      <c r="BA57">
        <v>2520000</v>
      </c>
    </row>
    <row r="58" spans="2:69" ht="18.5" x14ac:dyDescent="0.45">
      <c r="AW58" s="15"/>
      <c r="AX58" s="15"/>
      <c r="AY58" s="15"/>
      <c r="AZ58" s="16"/>
      <c r="BA58" s="6">
        <f>BA56+BA57</f>
        <v>13307500</v>
      </c>
    </row>
    <row r="59" spans="2:69" ht="18.5" x14ac:dyDescent="0.45">
      <c r="AW59" s="15"/>
      <c r="AX59" s="15"/>
      <c r="AY59" s="15"/>
      <c r="AZ59" s="16"/>
      <c r="BB59">
        <v>14021300</v>
      </c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  <c r="BB61" s="114">
        <f>BB59-BA58</f>
        <v>713800</v>
      </c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 t="s">
        <v>284</v>
      </c>
      <c r="BA63">
        <v>940000</v>
      </c>
      <c r="BB63">
        <v>400000</v>
      </c>
      <c r="BC63">
        <f>BA63+BB63</f>
        <v>1340000</v>
      </c>
    </row>
    <row r="64" spans="2:69" ht="18.5" x14ac:dyDescent="0.45">
      <c r="AW64" s="15"/>
      <c r="AX64" s="15"/>
      <c r="AY64" s="15"/>
      <c r="AZ64" s="16" t="s">
        <v>285</v>
      </c>
      <c r="BA64">
        <v>880000</v>
      </c>
      <c r="BC64">
        <f t="shared" ref="BC64:BC72" si="25">BA64+BB64</f>
        <v>880000</v>
      </c>
    </row>
    <row r="65" spans="49:55" ht="18.5" x14ac:dyDescent="0.45">
      <c r="AW65" s="15"/>
      <c r="AX65" s="15"/>
      <c r="AY65" s="15"/>
      <c r="AZ65" s="16" t="s">
        <v>286</v>
      </c>
      <c r="BA65">
        <f>820000-329500</f>
        <v>490500</v>
      </c>
      <c r="BC65">
        <f t="shared" si="25"/>
        <v>490500</v>
      </c>
    </row>
    <row r="66" spans="49:55" ht="18.5" x14ac:dyDescent="0.45">
      <c r="AW66" s="15"/>
      <c r="AX66" s="15"/>
      <c r="AY66" s="15"/>
      <c r="AZ66" s="16" t="s">
        <v>287</v>
      </c>
      <c r="BA66">
        <v>880000</v>
      </c>
      <c r="BC66">
        <f t="shared" si="25"/>
        <v>880000</v>
      </c>
    </row>
    <row r="67" spans="49:55" ht="18.5" x14ac:dyDescent="0.45">
      <c r="AW67" s="15"/>
      <c r="AX67" s="15"/>
      <c r="AY67" s="15"/>
      <c r="AZ67" s="16" t="s">
        <v>287</v>
      </c>
      <c r="BA67">
        <v>297500</v>
      </c>
      <c r="BC67">
        <f t="shared" si="25"/>
        <v>297500</v>
      </c>
    </row>
    <row r="68" spans="49:55" ht="18.5" x14ac:dyDescent="0.45">
      <c r="AW68" s="15"/>
      <c r="AX68" s="15"/>
      <c r="AY68" s="15"/>
      <c r="AZ68" s="16" t="s">
        <v>288</v>
      </c>
      <c r="BA68">
        <v>652000</v>
      </c>
      <c r="BC68">
        <f t="shared" si="25"/>
        <v>652000</v>
      </c>
    </row>
    <row r="69" spans="49:55" ht="18.5" x14ac:dyDescent="0.45">
      <c r="AW69" s="15"/>
      <c r="AX69" s="15"/>
      <c r="AY69" s="15"/>
      <c r="AZ69" s="16" t="s">
        <v>289</v>
      </c>
      <c r="BA69">
        <v>880000</v>
      </c>
      <c r="BC69">
        <f t="shared" si="25"/>
        <v>880000</v>
      </c>
    </row>
    <row r="70" spans="49:55" ht="18.5" x14ac:dyDescent="0.45">
      <c r="AW70" s="15"/>
      <c r="AX70" s="15"/>
      <c r="AY70" s="15"/>
      <c r="AZ70" s="16" t="s">
        <v>290</v>
      </c>
      <c r="BA70">
        <v>470000</v>
      </c>
      <c r="BC70">
        <f t="shared" si="25"/>
        <v>470000</v>
      </c>
    </row>
    <row r="71" spans="49:55" ht="18.5" x14ac:dyDescent="0.45">
      <c r="AW71" s="15"/>
      <c r="AX71" s="15"/>
      <c r="AY71" s="15"/>
      <c r="AZ71" s="16" t="s">
        <v>291</v>
      </c>
      <c r="BA71">
        <v>1566000</v>
      </c>
      <c r="BC71">
        <f t="shared" si="25"/>
        <v>1566000</v>
      </c>
    </row>
    <row r="72" spans="49:55" ht="18.5" x14ac:dyDescent="0.45">
      <c r="AW72" s="15"/>
      <c r="AX72" s="15"/>
      <c r="AY72" s="15"/>
      <c r="AZ72" s="16" t="s">
        <v>292</v>
      </c>
      <c r="BA72">
        <v>102000</v>
      </c>
      <c r="BC72">
        <f t="shared" si="25"/>
        <v>102000</v>
      </c>
    </row>
    <row r="73" spans="49:55" ht="18.5" x14ac:dyDescent="0.45">
      <c r="AW73" s="15"/>
      <c r="AX73" s="15"/>
      <c r="AY73" s="15"/>
      <c r="AZ73" s="16"/>
      <c r="BC73">
        <f>SUM(BC63:BC72)</f>
        <v>7558000</v>
      </c>
    </row>
    <row r="74" spans="49:55" ht="18.5" x14ac:dyDescent="0.45">
      <c r="AW74" s="15"/>
      <c r="AX74" s="15"/>
      <c r="AY74" s="15"/>
      <c r="AZ74" s="16"/>
    </row>
    <row r="75" spans="49:55" ht="18.5" x14ac:dyDescent="0.45">
      <c r="AW75" s="15"/>
      <c r="AX75" s="15"/>
      <c r="AY75" s="15"/>
      <c r="AZ75" s="16"/>
    </row>
    <row r="76" spans="49:55" ht="18.5" x14ac:dyDescent="0.45">
      <c r="AW76" s="15"/>
      <c r="AX76" s="15"/>
      <c r="AY76" s="15"/>
      <c r="AZ76" s="16"/>
    </row>
    <row r="77" spans="49:55" ht="18.5" x14ac:dyDescent="0.45">
      <c r="AW77" s="15"/>
      <c r="AX77" s="15"/>
      <c r="AY77" s="15"/>
      <c r="AZ77" s="16"/>
    </row>
    <row r="78" spans="49:55" ht="18.5" x14ac:dyDescent="0.45">
      <c r="AW78" s="15"/>
      <c r="AX78" s="15"/>
      <c r="AY78" s="15"/>
      <c r="AZ78" s="16"/>
    </row>
    <row r="79" spans="49:55" ht="18.5" x14ac:dyDescent="0.45">
      <c r="AW79" s="15"/>
      <c r="AX79" s="15"/>
      <c r="AY79" s="15"/>
      <c r="AZ79" s="16"/>
    </row>
    <row r="80" spans="49:55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47642600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AA6:AA42" xr:uid="{8C12B0A2-DA2B-42D2-AD1D-2097FB043BFB}">
      <formula1>"BANQUE,ESPECES, EN COMPTE,AUTRES"</formula1>
    </dataValidation>
    <dataValidation type="list" showInputMessage="1" showErrorMessage="1" sqref="T6:T42 AP6:AP43 AF6:AF42" xr:uid="{076CC4FD-D570-42D5-AEEA-D43BA30D695A}">
      <formula1>"BANQUE,ESPECES,EN COMPTE,AUTRES"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0CF7-CC36-40EA-8E2A-1316FF077C89}">
  <dimension ref="A1:BQ88"/>
  <sheetViews>
    <sheetView zoomScale="87" zoomScaleNormal="87" workbookViewId="0">
      <pane xSplit="4" ySplit="5" topLeftCell="G6" activePane="bottomRight" state="frozen"/>
      <selection activeCell="D15" sqref="D15"/>
      <selection pane="topRight" activeCell="D15" sqref="D15"/>
      <selection pane="bottomLeft" activeCell="D15" sqref="D15"/>
      <selection pane="bottomRight" activeCell="BB1" sqref="BB1:BB104857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2" max="42" width="13.6328125" bestFit="1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7.5" x14ac:dyDescent="0.35">
      <c r="A6" s="1" t="s">
        <v>108</v>
      </c>
      <c r="B6" s="1" t="str">
        <f>VLOOKUP(A6,[5]LISTADHERENT!A$5:H$50,3,0)</f>
        <v>ASELBY</v>
      </c>
      <c r="C6" s="5">
        <f>HISTOJANV25!C6+HISTOFEV25!C6+HISTOMARS25!C6+HISTOAVRIL25!C6+HISTOMAI25!C6+HISTOJUIN25!C6+HISTOJUIL25!C6+HISTOAOUT25!C6+HISTOSEPT25!C6+HISTOOCT25!C6+HISTONOV25!C6+HISTODEC25!C6</f>
        <v>80000</v>
      </c>
      <c r="D6" s="5">
        <f>HISTOJANV25!D6+HISTOFEV25!D6+HISTOMARS25!D6+HISTOAVRIL25!D6+HISTOMAI25!D6+HISTOJUIN25!D6+HISTOJUIL25!D6+HISTOAOUT25!D6+HISTOSEPT25!D6+HISTOOCT25!D6+HISTONOV25!D6+HISTODEC25!D6</f>
        <v>3000000</v>
      </c>
      <c r="E6" s="5">
        <f>HISTOJANV25!E6+HISTOFEV25!E6+HISTOMARS25!E6+HISTOAVRIL25!E6+HISTOMAI25!E6+HISTOJUIN25!E6+HISTOJUIL25!E6+HISTOAOUT25!E6+HISTOSEPT25!E6+HISTOOCT25!E6+HISTONOV25!E6+HISTODEC25!E6</f>
        <v>80000</v>
      </c>
      <c r="F6" s="5">
        <f>HISTOJANV25!F6+HISTOFEV25!F6+HISTOMARS25!F6+HISTOAVRIL25!F6+HISTOMAI25!F6+HISTOJUIN25!F6+HISTOJUIL25!F6+HISTOAOUT25!F6+HISTOSEPT25!F6+HISTOOCT25!F6+HISTONOV25!F6+HISTODEC25!F6</f>
        <v>0</v>
      </c>
      <c r="G6" s="5">
        <f>HISTOJANV25!G6+HISTOFEV25!G6+HISTOMARS25!G6+HISTOAVRIL25!G6+HISTOMAI25!G6+HISTOJUIN25!G6+HISTOJUIL25!G6+HISTOAOUT25!G6+HISTOSEPT25!G6+HISTOOCT25!G6+HISTONOV25!G6+HISTODEC25!G6</f>
        <v>0</v>
      </c>
      <c r="H6" s="5">
        <f>HISTOJANV25!H6+HISTOFEV25!H6+HISTOMARS25!H6+HISTOAVRIL25!H6+HISTOMAI25!H6+HISTOJUIN25!H6+HISTOJUIL25!H6+HISTOAOUT25!H6+HISTOSEPT25!H6+HISTOOCT25!H6+HISTONOV25!H6+HISTODEC25!H6</f>
        <v>0</v>
      </c>
      <c r="I6" s="5"/>
      <c r="J6" s="5">
        <f>HISTOJANV25!J6+HISTOFEV25!J6+HISTOMARS25!J6+HISTOAVRIL25!J6+HISTOMAI25!J6+HISTOJUIN25!J6+HISTOJUIL25!J6+HISTOAOUT25!J6+HISTOSEPT25!J6+HISTOOCT25!J6+HISTONOV25!J6+HISTODEC25!J6</f>
        <v>0</v>
      </c>
      <c r="K6" s="5">
        <f>HISTOJANV25!K6+HISTOFEV25!K6+HISTOMARS25!K6+HISTOAVRIL25!K6+HISTOMAI25!K6+HISTOJUIN25!K6+HISTOJUIL25!K6+HISTOAOUT25!K6+HISTOSEPT25!K6+HISTOOCT25!K6+HISTONOV25!K6+HISTODEC25!K6</f>
        <v>0</v>
      </c>
      <c r="L6" s="5">
        <f>HISTOJANV25!L6+HISTOFEV25!L6+HISTOMARS25!L6+HISTOAVRIL25!L6+HISTOMAI25!L6+HISTOJUIN25!L6+HISTOJUIL25!L6+HISTOAOUT25!L6+HISTOSEPT25!L6+HISTOOCT25!L6+HISTONOV25!L6+HISTODEC25!L6</f>
        <v>24</v>
      </c>
      <c r="M6" s="5">
        <f>HISTOJANV25!M6+HISTOFEV25!M6+HISTOMARS25!M6+HISTOAVRIL25!M6+HISTOMAI25!M6+HISTOJUIN25!M6+HISTOJUIL25!M6+HISTOAOUT25!M6+HISTOSEPT25!M6+HISTOOCT25!M6+HISTONOV25!M6+HISTODEC25!M6</f>
        <v>1800000</v>
      </c>
      <c r="N6" s="5">
        <f>HISTOJANV25!N6+HISTOFEV25!N6+HISTOMARS25!N6+HISTOAVRIL25!N6+HISTOMAI25!N6+HISTOJUIN25!N6+HISTOJUIL25!N6+HISTOAOUT25!N6+HISTOSEPT25!N6+HISTOOCT25!N6+HISTONOV25!N6+HISTODEC25!N6</f>
        <v>12</v>
      </c>
      <c r="O6" s="5">
        <f>HISTOJANV25!O6+HISTOFEV25!O6+HISTOMARS25!O6+HISTOAVRIL25!O6+HISTOMAI25!O6+HISTOJUIN25!O6+HISTOJUIL25!O6+HISTOAOUT25!O6+HISTOSEPT25!O6+HISTOOCT25!O6+HISTONOV25!O6+HISTODEC25!O6</f>
        <v>1200000</v>
      </c>
      <c r="P6" s="5">
        <f>HISTOJANV25!P6+HISTOFEV25!P6+HISTOMARS25!P6+HISTOAVRIL25!P6+HISTOMAI25!P6+HISTOJUIN25!P6+HISTOJUIL25!P6+HISTOAOUT25!P6+HISTOSEPT25!P6+HISTOOCT25!P6+HISTONOV25!P6+HISTODEC25!P6</f>
        <v>0</v>
      </c>
      <c r="Q6" s="5">
        <f>HISTOJANV25!Q6+HISTOFEV25!Q6+HISTOMARS25!Q6+HISTOAVRIL25!Q6+HISTOMAI25!Q6+HISTOJUIN25!Q6+HISTOJUIL25!Q6+HISTOAOUT25!Q6+HISTOSEPT25!Q6+HISTOOCT25!Q6+HISTONOV25!Q6+HISTODEC25!Q6</f>
        <v>0</v>
      </c>
      <c r="R6" s="5">
        <f>HISTOJANV25!R6+HISTOFEV25!R6+HISTOMARS25!R6+HISTOAVRIL25!R6+HISTOMAI25!R6+HISTOJUIN25!R6+HISTOJUIL25!R6+HISTOAOUT25!R6+HISTOSEPT25!R6+HISTOOCT25!R6+HISTONOV25!R6+HISTODEC25!R6</f>
        <v>0</v>
      </c>
      <c r="S6" s="5">
        <f>HISTOJANV25!S6+HISTOFEV25!S6+HISTOMARS25!S6+HISTOAVRIL25!S6+HISTOMAI25!S6+HISTOJUIN25!S6+HISTOJUIL25!S6+HISTOAOUT25!S6+HISTOSEPT25!S6+HISTOOCT25!S6+HISTONOV25!S6+HISTODEC25!S6</f>
        <v>0</v>
      </c>
      <c r="T6" s="5"/>
      <c r="U6" s="5">
        <f>HISTOJANV25!U6+HISTOFEV25!U6+HISTOMARS25!U6+HISTOAVRIL25!U6+HISTOMAI25!U6+HISTOJUIN25!U6+HISTOJUIL25!U6+HISTOAOUT25!U6+HISTOSEPT25!U6+HISTOOCT25!U6+HISTONOV25!U6+HISTODEC25!U6</f>
        <v>3000000</v>
      </c>
      <c r="V6" s="5">
        <f>HISTOJANV25!V6+HISTOFEV25!V6+HISTOMARS25!V6+HISTOAVRIL25!V6+HISTOMAI25!V6+HISTOJUIN25!V6+HISTOJUIL25!V6+HISTOAOUT25!V6+HISTOSEPT25!V6+HISTOOCT25!V6+HISTONOV25!V6+HISTODEC25!V6</f>
        <v>0</v>
      </c>
      <c r="W6" s="5">
        <f>HISTOJANV25!W6+HISTOFEV25!W6+HISTOMARS25!W6+HISTOAVRIL25!W6+HISTOMAI25!W6+HISTOJUIN25!W6+HISTOJUIL25!W6+HISTOAOUT25!W6+HISTOSEPT25!W6+HISTOOCT25!W6+HISTONOV25!W6+HISTODEC25!W6</f>
        <v>0</v>
      </c>
      <c r="X6" s="5">
        <f>HISTOJANV25!X6+HISTOFEV25!X6+HISTOMARS25!X6+HISTOAVRIL25!X6+HISTOMAI25!X6+HISTOJUIN25!X6+HISTOJUIL25!X6+HISTOAOUT25!X6+HISTOSEPT25!X6+HISTOOCT25!X6+HISTONOV25!X6+HISTODEC25!X6</f>
        <v>0</v>
      </c>
      <c r="Y6" s="5">
        <f>HISTOJANV25!Y6+HISTOFEV25!Y6+HISTOMARS25!Y6+HISTOAVRIL25!Y6+HISTOMAI25!Y6+HISTOJUIN25!Y6+HISTOJUIL25!Y6+HISTOAOUT25!Y6+HISTOSEPT25!Y6+HISTOOCT25!Y6+HISTONOV25!Y6+HISTODEC25!Y6</f>
        <v>3000000</v>
      </c>
      <c r="Z6" s="5">
        <f>HISTOJANV25!Z6+HISTOFEV25!Z6+HISTOMARS25!Z6+HISTOAVRIL25!Z6+HISTOMAI25!Z6+HISTOJUIN25!Z6+HISTOJUIL25!Z6+HISTOAOUT25!Z6+HISTOSEPT25!Z6+HISTOOCT25!Z6+HISTONOV25!Z6+HISTODEC25!Z6</f>
        <v>0</v>
      </c>
      <c r="AA6" s="5"/>
      <c r="AB6" s="5">
        <f>HISTOJANV25!AB6+HISTOFEV25!AB6+HISTOMARS25!AB6+HISTOAVRIL25!AB6+HISTOMAI25!AB6+HISTOJUIN25!AB6+HISTOJUIL25!AB6+HISTOAOUT25!AB6+HISTOSEPT25!AB6+HISTOOCT25!AB6+HISTONOV25!AB6+HISTODEC25!AB6</f>
        <v>0</v>
      </c>
      <c r="AC6" s="5">
        <f>HISTOJANV25!AC6+HISTOFEV25!AC6+HISTOMARS25!AC6+HISTOAVRIL25!AC6+HISTOMAI25!AC6+HISTOJUIN25!AC6+HISTOJUIL25!AC6+HISTOAOUT25!AC6+HISTOSEPT25!AC6+HISTOOCT25!AC6+HISTONOV25!AC6+HISTODEC25!AC6</f>
        <v>0</v>
      </c>
      <c r="AD6" s="5">
        <f>HISTOJANV25!AD6+HISTOFEV25!AD6+HISTOMARS25!AD6+HISTOAVRIL25!AD6+HISTOMAI25!AD6+HISTOJUIN25!AD6+HISTOJUIL25!AD6+HISTOAOUT25!AD6+HISTOSEPT25!AD6+HISTOOCT25!AD6+HISTONOV25!AD6+HISTODEC25!AD6</f>
        <v>15000</v>
      </c>
      <c r="AE6" s="5">
        <f>HISTOJANV25!AE6+HISTOFEV25!AE6+HISTOMARS25!AE6+HISTOAVRIL25!AE6+HISTOMAI25!AE6+HISTOJUIN25!AE6+HISTOJUIL25!AE6+HISTOAOUT25!AE6+HISTOSEPT25!AE6+HISTOOCT25!AE6+HISTONOV25!AE6+HISTODEC25!AE6</f>
        <v>10000</v>
      </c>
      <c r="AF6" s="5"/>
      <c r="AG6" s="5">
        <f>HISTOJANV25!AG6+HISTOFEV25!AG6+HISTOMARS25!AG6+HISTOAVRIL25!AG6+HISTOMAI25!AG6+HISTOJUIN25!AG6+HISTOJUIL25!AG6+HISTOAOUT25!AG6+HISTOSEPT25!AG6+HISTOOCT25!AG6+HISTONOV25!AG6+HISTODEC25!AG6</f>
        <v>0</v>
      </c>
      <c r="AH6" s="5">
        <f>HISTOJANV25!AH6+HISTOFEV25!AH6+HISTOMARS25!AH6+HISTOAVRIL25!AH6+HISTOMAI25!AH6+HISTOJUIN25!AH6+HISTOJUIL25!AH6+HISTOAOUT25!AH6+HISTOSEPT25!AH6+HISTOOCT25!AH6+HISTONOV25!AH6+HISTODEC25!AH6</f>
        <v>0</v>
      </c>
      <c r="AI6" s="5">
        <f>HISTOJANV25!AI6+HISTOFEV25!AI6+HISTOMARS25!AI6+HISTOAVRIL25!AI6+HISTOMAI25!AI6+HISTOJUIN25!AI6+HISTOJUIL25!AI6+HISTOAOUT25!AI6+HISTOSEPT25!AI6+HISTOOCT25!AI6+HISTONOV25!AI6+HISTODEC25!AI6</f>
        <v>0</v>
      </c>
      <c r="AJ6" s="5">
        <f>HISTOJANV25!AJ6+HISTOFEV25!AJ6+HISTOMARS25!AJ6+HISTOAVRIL25!AJ6+HISTOMAI25!AJ6+HISTOJUIN25!AJ6+HISTOJUIL25!AJ6+HISTOAOUT25!AJ6+HISTOSEPT25!AJ6+HISTOOCT25!AJ6+HISTONOV25!AJ6+HISTODEC25!AJ6</f>
        <v>0</v>
      </c>
      <c r="AK6" s="5">
        <f>HISTOJANV25!AK6+HISTOFEV25!AK6+HISTOMARS25!AK6+HISTOAVRIL25!AK6+HISTOMAI25!AK6+HISTOJUIN25!AK6+HISTOJUIL25!AK6+HISTOAOUT25!AK6+HISTOSEPT25!AK6+HISTOOCT25!AK6+HISTONOV25!AK6+HISTODEC25!AK6</f>
        <v>0</v>
      </c>
      <c r="AL6" s="5">
        <f>HISTOJANV25!AL6+HISTOFEV25!AL6+HISTOMARS25!AL6+HISTOAVRIL25!AL6+HISTOMAI25!AL6+HISTOJUIN25!AL6+HISTOJUIL25!AL6+HISTOAOUT25!AL6+HISTOSEPT25!AL6+HISTOOCT25!AL6+HISTONOV25!AL6+HISTODEC25!AL6</f>
        <v>0</v>
      </c>
      <c r="AM6" s="5">
        <f>HISTOJANV25!AM6+HISTOFEV25!AM6+HISTOMARS25!AM6+HISTOAVRIL25!AM6+HISTOMAI25!AM6+HISTOJUIN25!AM6+HISTOJUIL25!AM6+HISTOAOUT25!AM6+HISTOSEPT25!AM6+HISTOOCT25!AM6+HISTONOV25!AM6+HISTODEC25!AM6</f>
        <v>0</v>
      </c>
      <c r="AN6" s="5">
        <f>HISTOJANV25!AN6+HISTOFEV25!AN6+HISTOMARS25!AN6+HISTOAVRIL25!AN6+HISTOMAI25!AN6+HISTOJUIN25!AN6+HISTOJUIL25!AN6+HISTOAOUT25!AN6+HISTOSEPT25!AN6+HISTOOCT25!AN6+HISTONOV25!AN6+HISTODEC25!AN6</f>
        <v>0</v>
      </c>
      <c r="AO6" s="5">
        <f>HISTOJANV25!AO6+HISTOFEV25!AO6+HISTOMARS25!AO6+HISTOAVRIL25!AO6+HISTOMAI25!AO6+HISTOJUIN25!AO6+HISTOJUIL25!AO6+HISTOAOUT25!AO6+HISTOSEPT25!AO6+HISTOOCT25!AO6+HISTONOV25!AO6+HISTODEC25!AO6</f>
        <v>0</v>
      </c>
      <c r="AP6" s="5"/>
      <c r="AQ6" s="5">
        <f>HISTOJANV25!AQ6+HISTOFEV25!AQ6+HISTOMARS25!AQ6+HISTOAVRIL25!AQ6+HISTOMAI25!AQ6+HISTOJUIN25!AQ6+HISTOJUIL25!AQ6+HISTOAOUT25!AQ6+HISTOSEPT25!AQ6+HISTOOCT25!AQ6+HISTONOV25!AQ6+HISTODEC25!AQ6</f>
        <v>0</v>
      </c>
      <c r="AR6" s="5">
        <f>HISTOJANV25!AR6+HISTOFEV25!AR6+HISTOMARS25!AR6+HISTOAVRIL25!AR6+HISTOMAI25!AR6+HISTOJUIN25!AR6+HISTOJUIL25!AR6+HISTOAOUT25!AR6+HISTOSEPT25!AR6+HISTOOCT25!AR6+HISTONOV25!AR6+HISTODEC25!AR6</f>
        <v>0</v>
      </c>
      <c r="AS6" s="5">
        <f>HISTOJANV25!AS6+HISTOFEV25!AS6+HISTOMARS25!AS6+HISTOAVRIL25!AS6+HISTOMAI25!AS6+HISTOJUIN25!AS6+HISTOJUIL25!AS6+HISTOAOUT25!AS6+HISTOSEPT25!AS6+HISTOOCT25!AS6+HISTONOV25!AS6+HISTODEC25!AS6</f>
        <v>0</v>
      </c>
      <c r="AT6" s="5">
        <f>HISTOJANV25!AT6+HISTOFEV25!AT6+HISTOMARS25!AT6+HISTOAVRIL25!AT6+HISTOMAI25!AT6+HISTOJUIN25!AT6+HISTOJUIL25!AT6+HISTOAOUT25!AT6+HISTOSEPT25!AT6+HISTOOCT25!AT6+HISTONOV25!AT6+HISTODEC25!AT6</f>
        <v>0</v>
      </c>
      <c r="AU6" s="5">
        <f>HISTOJANV25!AU6+HISTOFEV25!AU6+HISTOMARS25!AU6+HISTOAVRIL25!AU6+HISTOMAI25!AU6+HISTOJUIN25!AU6+HISTOJUIL25!AU6+HISTOAOUT25!AU6+HISTOSEPT25!AU6+HISTOOCT25!AU6+HISTONOV25!AU6+HISTODEC25!AU6</f>
        <v>0</v>
      </c>
      <c r="AV6" s="5">
        <f>HISTOJANV25!AV6+HISTOFEV25!AV6+HISTOMARS25!AV6+HISTOAVRIL25!AV6+HISTOMAI25!AV6+HISTOJUIN25!AV6+HISTOJUIL25!AV6+HISTOAOUT25!AV6+HISTOSEPT25!AV6+HISTOOCT25!AV6+HISTONOV25!AV6+HISTODEC25!AV6</f>
        <v>0</v>
      </c>
      <c r="AW6" s="5">
        <f>HISTOJANV25!AW6+HISTOFEV25!AW6+HISTOMARS25!AW6+HISTOAVRIL25!AW6+HISTOMAI25!AW6+HISTOJUIN25!AW6+HISTOJUIL25!AW6+HISTOAOUT25!AW6+HISTOSEPT25!AW6+HISTOOCT25!AW6+HISTONOV25!AW6+HISTODEC25!AW6</f>
        <v>0</v>
      </c>
      <c r="AX6" s="5">
        <f>HISTOJANV25!AX6+HISTOFEV25!AX6+HISTOMARS25!AX6+HISTOAVRIL25!AX6+HISTOMAI25!AX6+HISTOJUIN25!AX6+HISTOJUIL25!AX6+HISTOAOUT25!AX6+HISTOSEPT25!AX6+HISTOOCT25!AX6+HISTONOV25!AX6+HISTODEC25!AX6</f>
        <v>1785000</v>
      </c>
      <c r="AY6" s="5">
        <f>HISTOJANV25!AY6+HISTOFEV25!AY6+HISTOMARS25!AY6+HISTOAVRIL25!AY6+HISTOMAI25!AY6+HISTOJUIN25!AY6+HISTOJUIL25!AY6+HISTOAOUT25!AY6+HISTOSEPT25!AY6+HISTOOCT25!AY6+HISTONOV25!AY6+HISTODEC25!AY6</f>
        <v>1190000</v>
      </c>
      <c r="AZ6" s="5">
        <f>HISTOJANV25!AZ6+HISTOFEV25!AZ6+HISTOMARS25!AZ6+HISTOAVRIL25!AZ6+HISTOMAI25!AZ6+HISTOJUIN25!AZ6+HISTOJUIL25!AZ6+HISTOAOUT25!AZ6+HISTOSEPT25!AZ6+HISTOOCT25!AZ6+HISTONOV25!AZ6+HISTODEC25!AZ6</f>
        <v>5372000</v>
      </c>
      <c r="BA6" s="5">
        <f>HISTOJANV25!BA6+HISTOFEV25!BA6+HISTOMARS25!BA6+HISTOAVRIL25!BA6+HISTOMAI25!BA6+HISTOJUIN25!BA6+HISTOJUIL25!BA6+HISTOAOUT25!BA6+HISTOSEPT25!BA6+HISTOOCT25!BA6+HISTONOV25!BA6+HISTODEC25!BA6</f>
        <v>289500</v>
      </c>
      <c r="BB6" s="5">
        <f>HISTOJANV25!BB6+HISTOFEV25!BB6+HISTOMARS25!BB6+HISTOAVRIL25!BB6+HISTOMAI25!BB6+HISTOJUIN25!BB6+HISTOJUIL25!BB6+HISTOAOUT25!BB6+HISTOSEPT25!BB6+HISTOOCT25!BB6+HISTONOV25!BB6+HISTODEC25!BB6</f>
        <v>0</v>
      </c>
      <c r="BC6" s="5">
        <f>HISTOJANV25!BC6+HISTOFEV25!BC6+HISTOMARS25!BC6+HISTOAVRIL25!BC6+HISTOMAI25!BC6+HISTOJUIN25!BC6+HISTOJUIL25!BC6+HISTOAOUT25!BC6+HISTOSEPT25!BC6+HISTOOCT25!BC6+HISTONOV25!BC6+HISTODEC25!BC6</f>
        <v>0</v>
      </c>
      <c r="BD6" s="5">
        <f>HISTOJANV25!BD6+HISTOFEV25!BD6+HISTOMARS25!BD6+HISTOAVRIL25!BD6+HISTOMAI25!BD6+HISTOJUIN25!BD6+HISTOJUIL25!BD6+HISTOAOUT25!BD6+HISTOSEPT25!BD6+HISTOOCT25!BD6+HISTONOV25!BD6+HISTODEC25!BD6</f>
        <v>5082500</v>
      </c>
      <c r="BE6" s="5"/>
      <c r="BF6" s="5">
        <f>HISTOJANV25!BF6+HISTOFEV25!BF6+HISTOMARS25!BF6+HISTOAVRIL25!BF6+HISTOMAI25!BF6+HISTOJUIN25!BF6+HISTOJUIL25!BF6+HISTOAOUT25!BF6+HISTOSEPT25!BF6+HISTOOCT25!BF6+HISTONOV25!BF6+HISTODEC25!BF6</f>
        <v>0</v>
      </c>
      <c r="BG6" s="5">
        <f>HISTOJANV25!BG6+HISTOFEV25!BG6+HISTOMARS25!BG6+HISTOAVRIL25!BG6+HISTOMAI25!BG6+HISTOJUIN25!BG6+HISTOJUIL25!BG6+HISTOAOUT25!BG6+HISTOSEPT25!BG6+HISTOOCT25!BG6+HISTONOV25!BG6+HISTODEC25!BG6</f>
        <v>67</v>
      </c>
      <c r="BH6" s="5">
        <f>HISTOJANV25!BH6+HISTOFEV25!BH6+HISTOMARS25!BH6+HISTOAVRIL25!BH6+HISTOMAI25!BH6+HISTOJUIN25!BH6+HISTOJUIL25!BH6+HISTOAOUT25!BH6+HISTOSEPT25!BH6+HISTOOCT25!BH6+HISTONOV25!BH6+HISTODEC25!BH6</f>
        <v>266000</v>
      </c>
      <c r="BI6" s="5">
        <f>HISTOJANV25!BI6+HISTOFEV25!BI6+HISTOMARS25!BI6+HISTOAVRIL25!BI6+HISTOMAI25!BI6+HISTOJUIN25!BI6+HISTOJUIL25!BI6+HISTOAOUT25!BI6+HISTOSEPT25!BI6+HISTOOCT25!BI6+HISTONOV25!BI6+HISTODEC25!BI6</f>
        <v>200000</v>
      </c>
      <c r="BJ6" s="5">
        <f>HISTOJANV25!BJ6+HISTOFEV25!BJ6+HISTOMARS25!BJ6+HISTOAVRIL25!BJ6+HISTOMAI25!BJ6+HISTOJUIN25!BJ6+HISTOJUIL25!BJ6+HISTOAOUT25!BJ6+HISTOSEPT25!BJ6+HISTOOCT25!BJ6+HISTONOV25!BJ6+HISTODEC25!BJ6</f>
        <v>1060000</v>
      </c>
      <c r="BK6" s="5">
        <f>HISTOJANV25!BK6+HISTOFEV25!BK6+HISTOMARS25!BK6+HISTOAVRIL25!BK6+HISTOMAI25!BK6+HISTOJUIN25!BK6+HISTOJUIL25!BK6+HISTOAOUT25!BK6+HISTOSEPT25!BK6+HISTOOCT25!BK6+HISTONOV25!BK6+HISTODEC25!BK6</f>
        <v>70000</v>
      </c>
      <c r="BL6" s="5">
        <f>HISTOJANV25!BL6+HISTOFEV25!BL6+HISTOMARS25!BL6+HISTOAVRIL25!BL6+HISTOMAI25!BL6+HISTOJUIN25!BL6+HISTOJUIL25!BL6+HISTOAOUT25!BL6+HISTOSEPT25!BL6+HISTOOCT25!BL6+HISTONOV25!BL6+HISTODEC25!BL6</f>
        <v>0</v>
      </c>
      <c r="BM6" s="5">
        <f>HISTOJANV25!BM6+HISTOFEV25!BM6+HISTOMARS25!BM6+HISTOAVRIL25!BM6+HISTOMAI25!BM6+HISTOJUIN25!BM6+HISTOJUIL25!BM6+HISTOAOUT25!BM6+HISTOSEPT25!BM6+HISTOOCT25!BM6+HISTONOV25!BM6+HISTODEC25!BM6</f>
        <v>0</v>
      </c>
      <c r="BN6" s="5">
        <f>HISTOJANV25!BN6+HISTOFEV25!BN6+HISTOMARS25!BN6+HISTOAVRIL25!BN6+HISTOMAI25!BN6+HISTOJUIN25!BN6+HISTOJUIL25!BN6+HISTOAOUT25!BN6+HISTOSEPT25!BN6+HISTOOCT25!BN6+HISTONOV25!BN6+HISTODEC25!BN6</f>
        <v>801000</v>
      </c>
      <c r="BO6" t="s">
        <v>115</v>
      </c>
      <c r="BP6" t="s">
        <v>114</v>
      </c>
      <c r="BQ6" s="6"/>
    </row>
    <row r="7" spans="1:69" ht="17.5" x14ac:dyDescent="0.35">
      <c r="A7" s="1" t="s">
        <v>161</v>
      </c>
      <c r="B7" s="1" t="str">
        <f>VLOOKUP(A7,[5]LISTADHERENT!A$5:H$50,3,0)</f>
        <v>BAKOP ACHILLE</v>
      </c>
      <c r="C7" s="5">
        <f>HISTOJANV25!C7+HISTOFEV25!C7+HISTOMARS25!C7+HISTOAVRIL25!C7+HISTOMAI25!C7+HISTOJUIN25!C7+HISTOJUIL25!C7+HISTOAOUT25!C7+HISTOSEPT25!C7+HISTOOCT25!C7+HISTONOV25!C7+HISTODEC25!C7</f>
        <v>50000</v>
      </c>
      <c r="D7" s="5">
        <f>HISTOJANV25!D7+HISTOFEV25!D7+HISTOMARS25!D7+HISTOAVRIL25!D7+HISTOMAI25!D7+HISTOJUIN25!D7+HISTOJUIL25!D7+HISTOAOUT25!D7+HISTOSEPT25!D7+HISTOOCT25!D7+HISTONOV25!D7+HISTODEC25!D7</f>
        <v>100000</v>
      </c>
      <c r="E7" s="5">
        <f>HISTOJANV25!E7+HISTOFEV25!E7+HISTOMARS25!E7+HISTOAVRIL25!E7+HISTOMAI25!E7+HISTOJUIN25!E7+HISTOJUIL25!E7+HISTOAOUT25!E7+HISTOSEPT25!E7+HISTOOCT25!E7+HISTONOV25!E7+HISTODEC25!E7</f>
        <v>1500000</v>
      </c>
      <c r="F7" s="5">
        <f>HISTOJANV25!F7+HISTOFEV25!F7+HISTOMARS25!F7+HISTOAVRIL25!F7+HISTOMAI25!F7+HISTOJUIN25!F7+HISTOJUIL25!F7+HISTOAOUT25!F7+HISTOSEPT25!F7+HISTOOCT25!F7+HISTONOV25!F7+HISTODEC25!F7</f>
        <v>0</v>
      </c>
      <c r="G7" s="5">
        <f>HISTOJANV25!G7+HISTOFEV25!G7+HISTOMARS25!G7+HISTOAVRIL25!G7+HISTOMAI25!G7+HISTOJUIN25!G7+HISTOJUIL25!G7+HISTOAOUT25!G7+HISTOSEPT25!G7+HISTOOCT25!G7+HISTONOV25!G7+HISTODEC25!G7</f>
        <v>-5000</v>
      </c>
      <c r="H7" s="5">
        <f>HISTOJANV25!H7+HISTOFEV25!H7+HISTOMARS25!H7+HISTOAVRIL25!H7+HISTOMAI25!H7+HISTOJUIN25!H7+HISTOJUIL25!H7+HISTOAOUT25!H7+HISTOSEPT25!H7+HISTOOCT25!H7+HISTONOV25!H7+HISTODEC25!H7</f>
        <v>5000</v>
      </c>
      <c r="I7" s="5"/>
      <c r="J7" s="5">
        <f>HISTOJANV25!J7+HISTOFEV25!J7+HISTOMARS25!J7+HISTOAVRIL25!J7+HISTOMAI25!J7+HISTOJUIN25!J7+HISTOJUIL25!J7+HISTOAOUT25!J7+HISTOSEPT25!J7+HISTOOCT25!J7+HISTONOV25!J7+HISTODEC25!J7</f>
        <v>12</v>
      </c>
      <c r="K7" s="5">
        <f>HISTOJANV25!K7+HISTOFEV25!K7+HISTOMARS25!K7+HISTOAVRIL25!K7+HISTOMAI25!K7+HISTOJUIN25!K7+HISTOJUIL25!K7+HISTOAOUT25!K7+HISTOSEPT25!K7+HISTOOCT25!K7+HISTONOV25!K7+HISTODEC25!K7</f>
        <v>550000</v>
      </c>
      <c r="L7" s="5">
        <f>HISTOJANV25!L7+HISTOFEV25!L7+HISTOMARS25!L7+HISTOAVRIL25!L7+HISTOMAI25!L7+HISTOJUIN25!L7+HISTOJUIL25!L7+HISTOAOUT25!L7+HISTOSEPT25!L7+HISTOOCT25!L7+HISTONOV25!L7+HISTODEC25!L7</f>
        <v>0</v>
      </c>
      <c r="M7" s="5">
        <f>HISTOJANV25!M7+HISTOFEV25!M7+HISTOMARS25!M7+HISTOAVRIL25!M7+HISTOMAI25!M7+HISTOJUIN25!M7+HISTOJUIL25!M7+HISTOAOUT25!M7+HISTOSEPT25!M7+HISTOOCT25!M7+HISTONOV25!M7+HISTODEC25!M7</f>
        <v>0</v>
      </c>
      <c r="N7" s="5">
        <f>HISTOJANV25!N7+HISTOFEV25!N7+HISTOMARS25!N7+HISTOAVRIL25!N7+HISTOMAI25!N7+HISTOJUIN25!N7+HISTOJUIL25!N7+HISTOAOUT25!N7+HISTOSEPT25!N7+HISTOOCT25!N7+HISTONOV25!N7+HISTODEC25!N7</f>
        <v>0</v>
      </c>
      <c r="O7" s="5">
        <f>HISTOJANV25!O7+HISTOFEV25!O7+HISTOMARS25!O7+HISTOAVRIL25!O7+HISTOMAI25!O7+HISTOJUIN25!O7+HISTOJUIL25!O7+HISTOAOUT25!O7+HISTOSEPT25!O7+HISTOOCT25!O7+HISTONOV25!O7+HISTODEC25!O7</f>
        <v>0</v>
      </c>
      <c r="P7" s="5">
        <f>HISTOJANV25!P7+HISTOFEV25!P7+HISTOMARS25!P7+HISTOAVRIL25!P7+HISTOMAI25!P7+HISTOJUIN25!P7+HISTOJUIL25!P7+HISTOAOUT25!P7+HISTOSEPT25!P7+HISTOOCT25!P7+HISTONOV25!P7+HISTODEC25!P7</f>
        <v>0</v>
      </c>
      <c r="Q7" s="5">
        <f>HISTOJANV25!Q7+HISTOFEV25!Q7+HISTOMARS25!Q7+HISTOAVRIL25!Q7+HISTOMAI25!Q7+HISTOJUIN25!Q7+HISTOJUIL25!Q7+HISTOAOUT25!Q7+HISTOSEPT25!Q7+HISTOOCT25!Q7+HISTONOV25!Q7+HISTODEC25!Q7</f>
        <v>0</v>
      </c>
      <c r="R7" s="5">
        <f>HISTOJANV25!R7+HISTOFEV25!R7+HISTOMARS25!R7+HISTOAVRIL25!R7+HISTOMAI25!R7+HISTOJUIN25!R7+HISTOJUIL25!R7+HISTOAOUT25!R7+HISTOSEPT25!R7+HISTOOCT25!R7+HISTONOV25!R7+HISTODEC25!R7</f>
        <v>0</v>
      </c>
      <c r="S7" s="5">
        <f>HISTOJANV25!S7+HISTOFEV25!S7+HISTOMARS25!S7+HISTOAVRIL25!S7+HISTOMAI25!S7+HISTOJUIN25!S7+HISTOJUIL25!S7+HISTOAOUT25!S7+HISTOSEPT25!S7+HISTOOCT25!S7+HISTONOV25!S7+HISTODEC25!S7</f>
        <v>1000000</v>
      </c>
      <c r="T7" s="5"/>
      <c r="U7" s="5">
        <f>HISTOJANV25!U7+HISTOFEV25!U7+HISTOMARS25!U7+HISTOAVRIL25!U7+HISTOMAI25!U7+HISTOJUIN25!U7+HISTOJUIL25!U7+HISTOAOUT25!U7+HISTOSEPT25!U7+HISTOOCT25!U7+HISTONOV25!U7+HISTODEC25!U7</f>
        <v>1550000</v>
      </c>
      <c r="V7" s="5">
        <f>HISTOJANV25!V7+HISTOFEV25!V7+HISTOMARS25!V7+HISTOAVRIL25!V7+HISTOMAI25!V7+HISTOJUIN25!V7+HISTOJUIL25!V7+HISTOAOUT25!V7+HISTOSEPT25!V7+HISTOOCT25!V7+HISTONOV25!V7+HISTODEC25!V7</f>
        <v>0</v>
      </c>
      <c r="W7" s="5">
        <f>HISTOJANV25!W7+HISTOFEV25!W7+HISTOMARS25!W7+HISTOAVRIL25!W7+HISTOMAI25!W7+HISTOJUIN25!W7+HISTOJUIL25!W7+HISTOAOUT25!W7+HISTOSEPT25!W7+HISTOOCT25!W7+HISTONOV25!W7+HISTODEC25!W7</f>
        <v>0</v>
      </c>
      <c r="X7" s="5">
        <f>HISTOJANV25!X7+HISTOFEV25!X7+HISTOMARS25!X7+HISTOAVRIL25!X7+HISTOMAI25!X7+HISTOJUIN25!X7+HISTOJUIL25!X7+HISTOAOUT25!X7+HISTOSEPT25!X7+HISTOOCT25!X7+HISTONOV25!X7+HISTODEC25!X7</f>
        <v>0</v>
      </c>
      <c r="Y7" s="5">
        <f>HISTOJANV25!Y7+HISTOFEV25!Y7+HISTOMARS25!Y7+HISTOAVRIL25!Y7+HISTOMAI25!Y7+HISTOJUIN25!Y7+HISTOJUIL25!Y7+HISTOAOUT25!Y7+HISTOSEPT25!Y7+HISTOOCT25!Y7+HISTONOV25!Y7+HISTODEC25!Y7</f>
        <v>550000</v>
      </c>
      <c r="Z7" s="5">
        <f>HISTOJANV25!Z7+HISTOFEV25!Z7+HISTOMARS25!Z7+HISTOAVRIL25!Z7+HISTOMAI25!Z7+HISTOJUIN25!Z7+HISTOJUIL25!Z7+HISTOAOUT25!Z7+HISTOSEPT25!Z7+HISTOOCT25!Z7+HISTONOV25!Z7+HISTODEC25!Z7</f>
        <v>2000000</v>
      </c>
      <c r="AA7" s="5"/>
      <c r="AB7" s="5">
        <f>HISTOJANV25!AB7+HISTOFEV25!AB7+HISTOMARS25!AB7+HISTOAVRIL25!AB7+HISTOMAI25!AB7+HISTOJUIN25!AB7+HISTOJUIL25!AB7+HISTOAOUT25!AB7+HISTOSEPT25!AB7+HISTOOCT25!AB7+HISTONOV25!AB7+HISTODEC25!AB7</f>
        <v>0</v>
      </c>
      <c r="AC7" s="5">
        <f>HISTOJANV25!AC7+HISTOFEV25!AC7+HISTOMARS25!AC7+HISTOAVRIL25!AC7+HISTOMAI25!AC7+HISTOJUIN25!AC7+HISTOJUIL25!AC7+HISTOAOUT25!AC7+HISTOSEPT25!AC7+HISTOOCT25!AC7+HISTONOV25!AC7+HISTODEC25!AC7</f>
        <v>2500</v>
      </c>
      <c r="AD7" s="5">
        <f>HISTOJANV25!AD7+HISTOFEV25!AD7+HISTOMARS25!AD7+HISTOAVRIL25!AD7+HISTOMAI25!AD7+HISTOJUIN25!AD7+HISTOJUIL25!AD7+HISTOAOUT25!AD7+HISTOSEPT25!AD7+HISTOOCT25!AD7+HISTONOV25!AD7+HISTODEC25!AD7</f>
        <v>0</v>
      </c>
      <c r="AE7" s="5">
        <f>HISTOJANV25!AE7+HISTOFEV25!AE7+HISTOMARS25!AE7+HISTOAVRIL25!AE7+HISTOMAI25!AE7+HISTOJUIN25!AE7+HISTOJUIL25!AE7+HISTOAOUT25!AE7+HISTOSEPT25!AE7+HISTOOCT25!AE7+HISTONOV25!AE7+HISTODEC25!AE7</f>
        <v>0</v>
      </c>
      <c r="AF7" s="5"/>
      <c r="AG7" s="5">
        <f>HISTOJANV25!AG7+HISTOFEV25!AG7+HISTOMARS25!AG7+HISTOAVRIL25!AG7+HISTOMAI25!AG7+HISTOJUIN25!AG7+HISTOJUIL25!AG7+HISTOAOUT25!AG7+HISTOSEPT25!AG7+HISTOOCT25!AG7+HISTONOV25!AG7+HISTODEC25!AG7</f>
        <v>0</v>
      </c>
      <c r="AH7" s="5">
        <f>HISTOJANV25!AH7+HISTOFEV25!AH7+HISTOMARS25!AH7+HISTOAVRIL25!AH7+HISTOMAI25!AH7+HISTOJUIN25!AH7+HISTOJUIL25!AH7+HISTOAOUT25!AH7+HISTOSEPT25!AH7+HISTOOCT25!AH7+HISTONOV25!AH7+HISTODEC25!AH7</f>
        <v>0</v>
      </c>
      <c r="AI7" s="5">
        <f>HISTOJANV25!AI7+HISTOFEV25!AI7+HISTOMARS25!AI7+HISTOAVRIL25!AI7+HISTOMAI25!AI7+HISTOJUIN25!AI7+HISTOJUIL25!AI7+HISTOAOUT25!AI7+HISTOSEPT25!AI7+HISTOOCT25!AI7+HISTONOV25!AI7+HISTODEC25!AI7</f>
        <v>0</v>
      </c>
      <c r="AJ7" s="5">
        <f>HISTOJANV25!AJ7+HISTOFEV25!AJ7+HISTOMARS25!AJ7+HISTOAVRIL25!AJ7+HISTOMAI25!AJ7+HISTOJUIN25!AJ7+HISTOJUIL25!AJ7+HISTOAOUT25!AJ7+HISTOSEPT25!AJ7+HISTOOCT25!AJ7+HISTONOV25!AJ7+HISTODEC25!AJ7</f>
        <v>0</v>
      </c>
      <c r="AK7" s="5">
        <f>HISTOJANV25!AK7+HISTOFEV25!AK7+HISTOMARS25!AK7+HISTOAVRIL25!AK7+HISTOMAI25!AK7+HISTOJUIN25!AK7+HISTOJUIL25!AK7+HISTOAOUT25!AK7+HISTOSEPT25!AK7+HISTOOCT25!AK7+HISTONOV25!AK7+HISTODEC25!AK7</f>
        <v>0</v>
      </c>
      <c r="AL7" s="5">
        <f>HISTOJANV25!AL7+HISTOFEV25!AL7+HISTOMARS25!AL7+HISTOAVRIL25!AL7+HISTOMAI25!AL7+HISTOJUIN25!AL7+HISTOJUIL25!AL7+HISTOAOUT25!AL7+HISTOSEPT25!AL7+HISTOOCT25!AL7+HISTONOV25!AL7+HISTODEC25!AL7</f>
        <v>0</v>
      </c>
      <c r="AM7" s="5">
        <f>HISTOJANV25!AM7+HISTOFEV25!AM7+HISTOMARS25!AM7+HISTOAVRIL25!AM7+HISTOMAI25!AM7+HISTOJUIN25!AM7+HISTOJUIL25!AM7+HISTOAOUT25!AM7+HISTOSEPT25!AM7+HISTOOCT25!AM7+HISTONOV25!AM7+HISTODEC25!AM7</f>
        <v>2000</v>
      </c>
      <c r="AN7" s="5">
        <f>HISTOJANV25!AN7+HISTOFEV25!AN7+HISTOMARS25!AN7+HISTOAVRIL25!AN7+HISTOMAI25!AN7+HISTOJUIN25!AN7+HISTOJUIL25!AN7+HISTOAOUT25!AN7+HISTOSEPT25!AN7+HISTOOCT25!AN7+HISTONOV25!AN7+HISTODEC25!AN7</f>
        <v>0</v>
      </c>
      <c r="AO7" s="5">
        <f>HISTOJANV25!AO7+HISTOFEV25!AO7+HISTOMARS25!AO7+HISTOAVRIL25!AO7+HISTOMAI25!AO7+HISTOJUIN25!AO7+HISTOJUIL25!AO7+HISTOAOUT25!AO7+HISTOSEPT25!AO7+HISTOOCT25!AO7+HISTONOV25!AO7+HISTODEC25!AO7</f>
        <v>0</v>
      </c>
      <c r="AP7" s="5"/>
      <c r="AQ7" s="5">
        <f>HISTOJANV25!AQ7+HISTOFEV25!AQ7+HISTOMARS25!AQ7+HISTOAVRIL25!AQ7+HISTOMAI25!AQ7+HISTOJUIN25!AQ7+HISTOJUIL25!AQ7+HISTOAOUT25!AQ7+HISTOSEPT25!AQ7+HISTOOCT25!AQ7+HISTONOV25!AQ7+HISTODEC25!AQ7</f>
        <v>0</v>
      </c>
      <c r="AR7" s="5">
        <f>HISTOJANV25!AR7+HISTOFEV25!AR7+HISTOMARS25!AR7+HISTOAVRIL25!AR7+HISTOMAI25!AR7+HISTOJUIN25!AR7+HISTOJUIL25!AR7+HISTOAOUT25!AR7+HISTOSEPT25!AR7+HISTOOCT25!AR7+HISTONOV25!AR7+HISTODEC25!AR7</f>
        <v>0</v>
      </c>
      <c r="AS7" s="5">
        <f>HISTOJANV25!AS7+HISTOFEV25!AS7+HISTOMARS25!AS7+HISTOAVRIL25!AS7+HISTOMAI25!AS7+HISTOJUIN25!AS7+HISTOJUIL25!AS7+HISTOAOUT25!AS7+HISTOSEPT25!AS7+HISTOOCT25!AS7+HISTONOV25!AS7+HISTODEC25!AS7</f>
        <v>295000</v>
      </c>
      <c r="AT7" s="5">
        <f>HISTOJANV25!AT7+HISTOFEV25!AT7+HISTOMARS25!AT7+HISTOAVRIL25!AT7+HISTOMAI25!AT7+HISTOJUIN25!AT7+HISTOJUIL25!AT7+HISTOAOUT25!AT7+HISTOSEPT25!AT7+HISTOOCT25!AT7+HISTONOV25!AT7+HISTODEC25!AT7</f>
        <v>0</v>
      </c>
      <c r="AU7" s="5">
        <f>HISTOJANV25!AU7+HISTOFEV25!AU7+HISTOMARS25!AU7+HISTOAVRIL25!AU7+HISTOMAI25!AU7+HISTOJUIN25!AU7+HISTOJUIL25!AU7+HISTOAOUT25!AU7+HISTOSEPT25!AU7+HISTOOCT25!AU7+HISTONOV25!AU7+HISTODEC25!AU7</f>
        <v>0</v>
      </c>
      <c r="AV7" s="5">
        <f>HISTOJANV25!AV7+HISTOFEV25!AV7+HISTOMARS25!AV7+HISTOAVRIL25!AV7+HISTOMAI25!AV7+HISTOJUIN25!AV7+HISTOJUIL25!AV7+HISTOAOUT25!AV7+HISTOSEPT25!AV7+HISTOOCT25!AV7+HISTONOV25!AV7+HISTODEC25!AV7</f>
        <v>0</v>
      </c>
      <c r="AW7" s="5">
        <f>HISTOJANV25!AW7+HISTOFEV25!AW7+HISTOMARS25!AW7+HISTOAVRIL25!AW7+HISTOMAI25!AW7+HISTOJUIN25!AW7+HISTOJUIL25!AW7+HISTOAOUT25!AW7+HISTOSEPT25!AW7+HISTOOCT25!AW7+HISTONOV25!AW7+HISTODEC25!AW7</f>
        <v>297500</v>
      </c>
      <c r="AX7" s="5">
        <f>HISTOJANV25!AX7+HISTOFEV25!AX7+HISTOMARS25!AX7+HISTOAVRIL25!AX7+HISTOMAI25!AX7+HISTOJUIN25!AX7+HISTOJUIL25!AX7+HISTOAOUT25!AX7+HISTOSEPT25!AX7+HISTOOCT25!AX7+HISTONOV25!AX7+HISTODEC25!AX7</f>
        <v>0</v>
      </c>
      <c r="AY7" s="5">
        <f>HISTOJANV25!AY7+HISTOFEV25!AY7+HISTOMARS25!AY7+HISTOAVRIL25!AY7+HISTOMAI25!AY7+HISTOJUIN25!AY7+HISTOJUIL25!AY7+HISTOAOUT25!AY7+HISTOSEPT25!AY7+HISTOOCT25!AY7+HISTONOV25!AY7+HISTODEC25!AY7</f>
        <v>0</v>
      </c>
      <c r="AZ7" s="5">
        <f>HISTOJANV25!AZ7+HISTOFEV25!AZ7+HISTOMARS25!AZ7+HISTOAVRIL25!AZ7+HISTOMAI25!AZ7+HISTOJUIN25!AZ7+HISTOJUIL25!AZ7+HISTOAOUT25!AZ7+HISTOSEPT25!AZ7+HISTOOCT25!AZ7+HISTONOV25!AZ7+HISTODEC25!AZ7</f>
        <v>2167500</v>
      </c>
      <c r="BA7" s="5">
        <f>HISTOJANV25!BA7+HISTOFEV25!BA7+HISTOMARS25!BA7+HISTOAVRIL25!BA7+HISTOMAI25!BA7+HISTOJUIN25!BA7+HISTOJUIL25!BA7+HISTOAOUT25!BA7+HISTOSEPT25!BA7+HISTOOCT25!BA7+HISTONOV25!BA7+HISTODEC25!BA7</f>
        <v>980000</v>
      </c>
      <c r="BB7" s="5">
        <f>HISTOJANV25!BB7+HISTOFEV25!BB7+HISTOMARS25!BB7+HISTOAVRIL25!BB7+HISTOMAI25!BB7+HISTOJUIN25!BB7+HISTOJUIL25!BB7+HISTOAOUT25!BB7+HISTOSEPT25!BB7+HISTOOCT25!BB7+HISTONOV25!BB7+HISTODEC25!BB7</f>
        <v>0</v>
      </c>
      <c r="BC7" s="5">
        <f>HISTOJANV25!BC7+HISTOFEV25!BC7+HISTOMARS25!BC7+HISTOAVRIL25!BC7+HISTOMAI25!BC7+HISTOJUIN25!BC7+HISTOJUIL25!BC7+HISTOAOUT25!BC7+HISTOSEPT25!BC7+HISTOOCT25!BC7+HISTONOV25!BC7+HISTODEC25!BC7</f>
        <v>0</v>
      </c>
      <c r="BD7" s="5">
        <f>HISTOJANV25!BD7+HISTOFEV25!BD7+HISTOMARS25!BD7+HISTOAVRIL25!BD7+HISTOMAI25!BD7+HISTOJUIN25!BD7+HISTOJUIL25!BD7+HISTOAOUT25!BD7+HISTOSEPT25!BD7+HISTOOCT25!BD7+HISTONOV25!BD7+HISTODEC25!BD7</f>
        <v>1187500</v>
      </c>
      <c r="BE7" s="5"/>
      <c r="BF7" s="5">
        <f>HISTOJANV25!BF7+HISTOFEV25!BF7+HISTOMARS25!BF7+HISTOAVRIL25!BF7+HISTOMAI25!BF7+HISTOJUIN25!BF7+HISTOJUIL25!BF7+HISTOAOUT25!BF7+HISTOSEPT25!BF7+HISTOOCT25!BF7+HISTONOV25!BF7+HISTODEC25!BF7</f>
        <v>130000</v>
      </c>
      <c r="BG7" s="5">
        <f>HISTOJANV25!BG7+HISTOFEV25!BG7+HISTOMARS25!BG7+HISTOAVRIL25!BG7+HISTOMAI25!BG7+HISTOJUIN25!BG7+HISTOJUIL25!BG7+HISTOAOUT25!BG7+HISTOSEPT25!BG7+HISTOOCT25!BG7+HISTONOV25!BG7+HISTODEC25!BG7</f>
        <v>68</v>
      </c>
      <c r="BH7" s="5">
        <f>HISTOJANV25!BH7+HISTOFEV25!BH7+HISTOMARS25!BH7+HISTOAVRIL25!BH7+HISTOMAI25!BH7+HISTOJUIN25!BH7+HISTOJUIL25!BH7+HISTOAOUT25!BH7+HISTOSEPT25!BH7+HISTOOCT25!BH7+HISTONOV25!BH7+HISTODEC25!BH7</f>
        <v>0</v>
      </c>
      <c r="BI7" s="5">
        <f>HISTOJANV25!BI7+HISTOFEV25!BI7+HISTOMARS25!BI7+HISTOAVRIL25!BI7+HISTOMAI25!BI7+HISTOJUIN25!BI7+HISTOJUIL25!BI7+HISTOAOUT25!BI7+HISTOSEPT25!BI7+HISTOOCT25!BI7+HISTONOV25!BI7+HISTODEC25!BI7</f>
        <v>0</v>
      </c>
      <c r="BJ7" s="5">
        <f>HISTOJANV25!BJ7+HISTOFEV25!BJ7+HISTOMARS25!BJ7+HISTOAVRIL25!BJ7+HISTOMAI25!BJ7+HISTOJUIN25!BJ7+HISTOJUIL25!BJ7+HISTOAOUT25!BJ7+HISTOSEPT25!BJ7+HISTOOCT25!BJ7+HISTONOV25!BJ7+HISTODEC25!BJ7</f>
        <v>0</v>
      </c>
      <c r="BK7" s="5">
        <f>HISTOJANV25!BK7+HISTOFEV25!BK7+HISTOMARS25!BK7+HISTOAVRIL25!BK7+HISTOMAI25!BK7+HISTOJUIN25!BK7+HISTOJUIL25!BK7+HISTOAOUT25!BK7+HISTOSEPT25!BK7+HISTOOCT25!BK7+HISTONOV25!BK7+HISTODEC25!BK7</f>
        <v>0</v>
      </c>
      <c r="BL7" s="5">
        <f>HISTOJANV25!BL7+HISTOFEV25!BL7+HISTOMARS25!BL7+HISTOAVRIL25!BL7+HISTOMAI25!BL7+HISTOJUIN25!BL7+HISTOJUIL25!BL7+HISTOAOUT25!BL7+HISTOSEPT25!BL7+HISTOOCT25!BL7+HISTONOV25!BL7+HISTODEC25!BL7</f>
        <v>0</v>
      </c>
      <c r="BM7" s="5">
        <f>HISTOJANV25!BM7+HISTOFEV25!BM7+HISTOMARS25!BM7+HISTOAVRIL25!BM7+HISTOMAI25!BM7+HISTOJUIN25!BM7+HISTOJUIL25!BM7+HISTOAOUT25!BM7+HISTOSEPT25!BM7+HISTOOCT25!BM7+HISTONOV25!BM7+HISTODEC25!BM7</f>
        <v>0</v>
      </c>
      <c r="BN7" s="5">
        <f>HISTOJANV25!BN7+HISTOFEV25!BN7+HISTOMARS25!BN7+HISTOAVRIL25!BN7+HISTOMAI25!BN7+HISTOJUIN25!BN7+HISTOJUIL25!BN7+HISTOAOUT25!BN7+HISTOSEPT25!BN7+HISTOOCT25!BN7+HISTONOV25!BN7+HISTODEC25!BN7</f>
        <v>0</v>
      </c>
      <c r="BO7" t="s">
        <v>116</v>
      </c>
      <c r="BP7" t="s">
        <v>114</v>
      </c>
      <c r="BQ7" s="6"/>
    </row>
    <row r="8" spans="1:69" ht="17.5" x14ac:dyDescent="0.35">
      <c r="A8" s="1" t="s">
        <v>12</v>
      </c>
      <c r="B8" s="1" t="str">
        <f>VLOOKUP(A8,[5]LISTADHERENT!A$5:H$50,3,0)</f>
        <v>BOUTCHOUANG WILLIAM</v>
      </c>
      <c r="C8" s="5">
        <f>HISTOJANV25!C8+HISTOFEV25!C8+HISTOMARS25!C8+HISTOAVRIL25!C8+HISTOMAI25!C8+HISTOJUIN25!C8+HISTOJUIL25!C8+HISTOAOUT25!C8+HISTOSEPT25!C8+HISTOOCT25!C8+HISTONOV25!C8+HISTODEC25!C8</f>
        <v>-1499500</v>
      </c>
      <c r="D8" s="5">
        <f>HISTOJANV25!D8+HISTOFEV25!D8+HISTOMARS25!D8+HISTOAVRIL25!D8+HISTOMAI25!D8+HISTOJUIN25!D8+HISTOJUIL25!D8+HISTOAOUT25!D8+HISTOSEPT25!D8+HISTOOCT25!D8+HISTONOV25!D8+HISTODEC25!D8</f>
        <v>1856000</v>
      </c>
      <c r="E8" s="5">
        <f>HISTOJANV25!E8+HISTOFEV25!E8+HISTOMARS25!E8+HISTOAVRIL25!E8+HISTOMAI25!E8+HISTOJUIN25!E8+HISTOJUIL25!E8+HISTOAOUT25!E8+HISTOSEPT25!E8+HISTOOCT25!E8+HISTONOV25!E8+HISTODEC25!E8</f>
        <v>601000</v>
      </c>
      <c r="F8" s="5">
        <f>HISTOJANV25!F8+HISTOFEV25!F8+HISTOMARS25!F8+HISTOAVRIL25!F8+HISTOMAI25!F8+HISTOJUIN25!F8+HISTOJUIL25!F8+HISTOAOUT25!F8+HISTOSEPT25!F8+HISTOOCT25!F8+HISTONOV25!F8+HISTODEC25!F8</f>
        <v>0</v>
      </c>
      <c r="G8" s="5">
        <f>HISTOJANV25!G8+HISTOFEV25!G8+HISTOMARS25!G8+HISTOAVRIL25!G8+HISTOMAI25!G8+HISTOJUIN25!G8+HISTOJUIL25!G8+HISTOAOUT25!G8+HISTOSEPT25!G8+HISTOOCT25!G8+HISTONOV25!G8+HISTODEC25!G8</f>
        <v>0</v>
      </c>
      <c r="H8" s="5">
        <f>HISTOJANV25!H8+HISTOFEV25!H8+HISTOMARS25!H8+HISTOAVRIL25!H8+HISTOMAI25!H8+HISTOJUIN25!H8+HISTOJUIL25!H8+HISTOAOUT25!H8+HISTOSEPT25!H8+HISTOOCT25!H8+HISTONOV25!H8+HISTODEC25!H8</f>
        <v>0</v>
      </c>
      <c r="I8" s="5"/>
      <c r="J8" s="5">
        <f>HISTOJANV25!J8+HISTOFEV25!J8+HISTOMARS25!J8+HISTOAVRIL25!J8+HISTOMAI25!J8+HISTOJUIN25!J8+HISTOJUIL25!J8+HISTOAOUT25!J8+HISTOSEPT25!J8+HISTOOCT25!J8+HISTONOV25!J8+HISTODEC25!J8</f>
        <v>12</v>
      </c>
      <c r="K8" s="5">
        <f>HISTOJANV25!K8+HISTOFEV25!K8+HISTOMARS25!K8+HISTOAVRIL25!K8+HISTOMAI25!K8+HISTOJUIN25!K8+HISTOJUIL25!K8+HISTOAOUT25!K8+HISTOSEPT25!K8+HISTOOCT25!K8+HISTONOV25!K8+HISTODEC25!K8</f>
        <v>600000</v>
      </c>
      <c r="L8" s="5">
        <f>HISTOJANV25!L8+HISTOFEV25!L8+HISTOMARS25!L8+HISTOAVRIL25!L8+HISTOMAI25!L8+HISTOJUIN25!L8+HISTOJUIL25!L8+HISTOAOUT25!L8+HISTOSEPT25!L8+HISTOOCT25!L8+HISTONOV25!L8+HISTODEC25!L8</f>
        <v>12</v>
      </c>
      <c r="M8" s="5">
        <f>HISTOJANV25!M8+HISTOFEV25!M8+HISTOMARS25!M8+HISTOAVRIL25!M8+HISTOMAI25!M8+HISTOJUIN25!M8+HISTOJUIL25!M8+HISTOAOUT25!M8+HISTOSEPT25!M8+HISTOOCT25!M8+HISTONOV25!M8+HISTODEC25!M8</f>
        <v>900000</v>
      </c>
      <c r="N8" s="5">
        <f>HISTOJANV25!N8+HISTOFEV25!N8+HISTOMARS25!N8+HISTOAVRIL25!N8+HISTOMAI25!N8+HISTOJUIN25!N8+HISTOJUIL25!N8+HISTOAOUT25!N8+HISTOSEPT25!N8+HISTOOCT25!N8+HISTONOV25!N8+HISTODEC25!N8</f>
        <v>0</v>
      </c>
      <c r="O8" s="5">
        <f>HISTOJANV25!O8+HISTOFEV25!O8+HISTOMARS25!O8+HISTOAVRIL25!O8+HISTOMAI25!O8+HISTOJUIN25!O8+HISTOJUIL25!O8+HISTOAOUT25!O8+HISTOSEPT25!O8+HISTOOCT25!O8+HISTONOV25!O8+HISTODEC25!O8</f>
        <v>0</v>
      </c>
      <c r="P8" s="5">
        <f>HISTOJANV25!P8+HISTOFEV25!P8+HISTOMARS25!P8+HISTOAVRIL25!P8+HISTOMAI25!P8+HISTOJUIN25!P8+HISTOJUIL25!P8+HISTOAOUT25!P8+HISTOSEPT25!P8+HISTOOCT25!P8+HISTONOV25!P8+HISTODEC25!P8</f>
        <v>50500</v>
      </c>
      <c r="Q8" s="5">
        <f>HISTOJANV25!Q8+HISTOFEV25!Q8+HISTOMARS25!Q8+HISTOAVRIL25!Q8+HISTOMAI25!Q8+HISTOJUIN25!Q8+HISTOJUIL25!Q8+HISTOAOUT25!Q8+HISTOSEPT25!Q8+HISTOOCT25!Q8+HISTONOV25!Q8+HISTODEC25!Q8</f>
        <v>406000</v>
      </c>
      <c r="R8" s="5">
        <f>HISTOJANV25!R8+HISTOFEV25!R8+HISTOMARS25!R8+HISTOAVRIL25!R8+HISTOMAI25!R8+HISTOJUIN25!R8+HISTOJUIL25!R8+HISTOAOUT25!R8+HISTOSEPT25!R8+HISTOOCT25!R8+HISTONOV25!R8+HISTODEC25!R8</f>
        <v>0</v>
      </c>
      <c r="S8" s="5">
        <f>HISTOJANV25!S8+HISTOFEV25!S8+HISTOMARS25!S8+HISTOAVRIL25!S8+HISTOMAI25!S8+HISTOJUIN25!S8+HISTOJUIL25!S8+HISTOAOUT25!S8+HISTOSEPT25!S8+HISTOOCT25!S8+HISTONOV25!S8+HISTODEC25!S8</f>
        <v>2000000</v>
      </c>
      <c r="T8" s="5"/>
      <c r="U8" s="5">
        <f>HISTOJANV25!U8+HISTOFEV25!U8+HISTOMARS25!U8+HISTOAVRIL25!U8+HISTOMAI25!U8+HISTOJUIN25!U8+HISTOJUIL25!U8+HISTOAOUT25!U8+HISTOSEPT25!U8+HISTOOCT25!U8+HISTONOV25!U8+HISTODEC25!U8</f>
        <v>3956500</v>
      </c>
      <c r="V8" s="5">
        <f>HISTOJANV25!V8+HISTOFEV25!V8+HISTOMARS25!V8+HISTOAVRIL25!V8+HISTOMAI25!V8+HISTOJUIN25!V8+HISTOJUIL25!V8+HISTOAOUT25!V8+HISTOSEPT25!V8+HISTOOCT25!V8+HISTONOV25!V8+HISTODEC25!V8</f>
        <v>0</v>
      </c>
      <c r="W8" s="5">
        <f>HISTOJANV25!W8+HISTOFEV25!W8+HISTOMARS25!W8+HISTOAVRIL25!W8+HISTOMAI25!W8+HISTOJUIN25!W8+HISTOJUIL25!W8+HISTOAOUT25!W8+HISTOSEPT25!W8+HISTOOCT25!W8+HISTONOV25!W8+HISTODEC25!W8</f>
        <v>0</v>
      </c>
      <c r="X8" s="5">
        <f>HISTOJANV25!X8+HISTOFEV25!X8+HISTOMARS25!X8+HISTOAVRIL25!X8+HISTOMAI25!X8+HISTOJUIN25!X8+HISTOJUIL25!X8+HISTOAOUT25!X8+HISTOSEPT25!X8+HISTOOCT25!X8+HISTONOV25!X8+HISTODEC25!X8</f>
        <v>0</v>
      </c>
      <c r="Y8" s="5">
        <f>HISTOJANV25!Y8+HISTOFEV25!Y8+HISTOMARS25!Y8+HISTOAVRIL25!Y8+HISTOMAI25!Y8+HISTOJUIN25!Y8+HISTOJUIL25!Y8+HISTOAOUT25!Y8+HISTOSEPT25!Y8+HISTOOCT25!Y8+HISTONOV25!Y8+HISTODEC25!Y8</f>
        <v>1500000</v>
      </c>
      <c r="Z8" s="5">
        <f>HISTOJANV25!Z8+HISTOFEV25!Z8+HISTOMARS25!Z8+HISTOAVRIL25!Z8+HISTOMAI25!Z8+HISTOJUIN25!Z8+HISTOJUIL25!Z8+HISTOAOUT25!Z8+HISTOSEPT25!Z8+HISTOOCT25!Z8+HISTONOV25!Z8+HISTODEC25!Z8</f>
        <v>2000000</v>
      </c>
      <c r="AA8" s="5"/>
      <c r="AB8" s="5">
        <f>HISTOJANV25!AB8+HISTOFEV25!AB8+HISTOMARS25!AB8+HISTOAVRIL25!AB8+HISTOMAI25!AB8+HISTOJUIN25!AB8+HISTOJUIL25!AB8+HISTOAOUT25!AB8+HISTOSEPT25!AB8+HISTOOCT25!AB8+HISTONOV25!AB8+HISTODEC25!AB8</f>
        <v>0</v>
      </c>
      <c r="AC8" s="5">
        <f>HISTOJANV25!AC8+HISTOFEV25!AC8+HISTOMARS25!AC8+HISTOAVRIL25!AC8+HISTOMAI25!AC8+HISTOJUIN25!AC8+HISTOJUIL25!AC8+HISTOAOUT25!AC8+HISTOSEPT25!AC8+HISTOOCT25!AC8+HISTONOV25!AC8+HISTODEC25!AC8</f>
        <v>2500</v>
      </c>
      <c r="AD8" s="5">
        <f>HISTOJANV25!AD8+HISTOFEV25!AD8+HISTOMARS25!AD8+HISTOAVRIL25!AD8+HISTOMAI25!AD8+HISTOJUIN25!AD8+HISTOJUIL25!AD8+HISTOAOUT25!AD8+HISTOSEPT25!AD8+HISTOOCT25!AD8+HISTONOV25!AD8+HISTODEC25!AD8</f>
        <v>7500</v>
      </c>
      <c r="AE8" s="5">
        <f>HISTOJANV25!AE8+HISTOFEV25!AE8+HISTOMARS25!AE8+HISTOAVRIL25!AE8+HISTOMAI25!AE8+HISTOJUIN25!AE8+HISTOJUIL25!AE8+HISTOAOUT25!AE8+HISTOSEPT25!AE8+HISTOOCT25!AE8+HISTONOV25!AE8+HISTODEC25!AE8</f>
        <v>0</v>
      </c>
      <c r="AF8" s="5"/>
      <c r="AG8" s="5">
        <f>HISTOJANV25!AG8+HISTOFEV25!AG8+HISTOMARS25!AG8+HISTOAVRIL25!AG8+HISTOMAI25!AG8+HISTOJUIN25!AG8+HISTOJUIL25!AG8+HISTOAOUT25!AG8+HISTOSEPT25!AG8+HISTOOCT25!AG8+HISTONOV25!AG8+HISTODEC25!AG8</f>
        <v>0</v>
      </c>
      <c r="AH8" s="5">
        <f>HISTOJANV25!AH8+HISTOFEV25!AH8+HISTOMARS25!AH8+HISTOAVRIL25!AH8+HISTOMAI25!AH8+HISTOJUIN25!AH8+HISTOJUIL25!AH8+HISTOAOUT25!AH8+HISTOSEPT25!AH8+HISTOOCT25!AH8+HISTONOV25!AH8+HISTODEC25!AH8</f>
        <v>0</v>
      </c>
      <c r="AI8" s="5">
        <f>HISTOJANV25!AI8+HISTOFEV25!AI8+HISTOMARS25!AI8+HISTOAVRIL25!AI8+HISTOMAI25!AI8+HISTOJUIN25!AI8+HISTOJUIL25!AI8+HISTOAOUT25!AI8+HISTOSEPT25!AI8+HISTOOCT25!AI8+HISTONOV25!AI8+HISTODEC25!AI8</f>
        <v>50000</v>
      </c>
      <c r="AJ8" s="5">
        <f>HISTOJANV25!AJ8+HISTOFEV25!AJ8+HISTOMARS25!AJ8+HISTOAVRIL25!AJ8+HISTOMAI25!AJ8+HISTOJUIN25!AJ8+HISTOJUIL25!AJ8+HISTOAOUT25!AJ8+HISTOSEPT25!AJ8+HISTOOCT25!AJ8+HISTONOV25!AJ8+HISTODEC25!AJ8</f>
        <v>400000</v>
      </c>
      <c r="AK8" s="5">
        <f>HISTOJANV25!AK8+HISTOFEV25!AK8+HISTOMARS25!AK8+HISTOAVRIL25!AK8+HISTOMAI25!AK8+HISTOJUIN25!AK8+HISTOJUIL25!AK8+HISTOAOUT25!AK8+HISTOSEPT25!AK8+HISTOOCT25!AK8+HISTONOV25!AK8+HISTODEC25!AK8</f>
        <v>0</v>
      </c>
      <c r="AL8" s="5">
        <f>HISTOJANV25!AL8+HISTOFEV25!AL8+HISTOMARS25!AL8+HISTOAVRIL25!AL8+HISTOMAI25!AL8+HISTOJUIN25!AL8+HISTOJUIL25!AL8+HISTOAOUT25!AL8+HISTOSEPT25!AL8+HISTOOCT25!AL8+HISTONOV25!AL8+HISTODEC25!AL8</f>
        <v>500</v>
      </c>
      <c r="AM8" s="5">
        <f>HISTOJANV25!AM8+HISTOFEV25!AM8+HISTOMARS25!AM8+HISTOAVRIL25!AM8+HISTOMAI25!AM8+HISTOJUIN25!AM8+HISTOJUIL25!AM8+HISTOAOUT25!AM8+HISTOSEPT25!AM8+HISTOOCT25!AM8+HISTONOV25!AM8+HISTODEC25!AM8</f>
        <v>6000</v>
      </c>
      <c r="AN8" s="5">
        <f>HISTOJANV25!AN8+HISTOFEV25!AN8+HISTOMARS25!AN8+HISTOAVRIL25!AN8+HISTOMAI25!AN8+HISTOJUIN25!AN8+HISTOJUIL25!AN8+HISTOAOUT25!AN8+HISTOSEPT25!AN8+HISTOOCT25!AN8+HISTONOV25!AN8+HISTODEC25!AN8</f>
        <v>0</v>
      </c>
      <c r="AO8" s="5">
        <f>HISTOJANV25!AO8+HISTOFEV25!AO8+HISTOMARS25!AO8+HISTOAVRIL25!AO8+HISTOMAI25!AO8+HISTOJUIN25!AO8+HISTOJUIL25!AO8+HISTOAOUT25!AO8+HISTOSEPT25!AO8+HISTOOCT25!AO8+HISTONOV25!AO8+HISTODEC25!AO8</f>
        <v>0</v>
      </c>
      <c r="AP8" s="5"/>
      <c r="AQ8" s="5">
        <f>HISTOJANV25!AQ8+HISTOFEV25!AQ8+HISTOMARS25!AQ8+HISTOAVRIL25!AQ8+HISTOMAI25!AQ8+HISTOJUIN25!AQ8+HISTOJUIL25!AQ8+HISTOAOUT25!AQ8+HISTOSEPT25!AQ8+HISTOOCT25!AQ8+HISTONOV25!AQ8+HISTODEC25!AQ8</f>
        <v>0</v>
      </c>
      <c r="AR8" s="5">
        <f>HISTOJANV25!AR8+HISTOFEV25!AR8+HISTOMARS25!AR8+HISTOAVRIL25!AR8+HISTOMAI25!AR8+HISTOJUIN25!AR8+HISTOJUIL25!AR8+HISTOAOUT25!AR8+HISTOSEPT25!AR8+HISTOOCT25!AR8+HISTONOV25!AR8+HISTODEC25!AR8</f>
        <v>0</v>
      </c>
      <c r="AS8" s="5">
        <f>HISTOJANV25!AS8+HISTOFEV25!AS8+HISTOMARS25!AS8+HISTOAVRIL25!AS8+HISTOMAI25!AS8+HISTOJUIN25!AS8+HISTOJUIL25!AS8+HISTOAOUT25!AS8+HISTOSEPT25!AS8+HISTOOCT25!AS8+HISTONOV25!AS8+HISTODEC25!AS8</f>
        <v>300000</v>
      </c>
      <c r="AT8" s="5">
        <f>HISTOJANV25!AT8+HISTOFEV25!AT8+HISTOMARS25!AT8+HISTOAVRIL25!AT8+HISTOMAI25!AT8+HISTOJUIN25!AT8+HISTOJUIL25!AT8+HISTOAOUT25!AT8+HISTOSEPT25!AT8+HISTOOCT25!AT8+HISTONOV25!AT8+HISTODEC25!AT8</f>
        <v>0</v>
      </c>
      <c r="AU8" s="5">
        <f>HISTOJANV25!AU8+HISTOFEV25!AU8+HISTOMARS25!AU8+HISTOAVRIL25!AU8+HISTOMAI25!AU8+HISTOJUIN25!AU8+HISTOJUIL25!AU8+HISTOAOUT25!AU8+HISTOSEPT25!AU8+HISTOOCT25!AU8+HISTONOV25!AU8+HISTODEC25!AU8</f>
        <v>0</v>
      </c>
      <c r="AV8" s="5">
        <f>HISTOJANV25!AV8+HISTOFEV25!AV8+HISTOMARS25!AV8+HISTOAVRIL25!AV8+HISTOMAI25!AV8+HISTOJUIN25!AV8+HISTOJUIL25!AV8+HISTOAOUT25!AV8+HISTOSEPT25!AV8+HISTOOCT25!AV8+HISTONOV25!AV8+HISTODEC25!AV8</f>
        <v>0</v>
      </c>
      <c r="AW8" s="5">
        <f>HISTOJANV25!AW8+HISTOFEV25!AW8+HISTOMARS25!AW8+HISTOAVRIL25!AW8+HISTOMAI25!AW8+HISTOJUIN25!AW8+HISTOJUIL25!AW8+HISTOAOUT25!AW8+HISTOSEPT25!AW8+HISTOOCT25!AW8+HISTONOV25!AW8+HISTODEC25!AW8</f>
        <v>347500</v>
      </c>
      <c r="AX8" s="5">
        <f>HISTOJANV25!AX8+HISTOFEV25!AX8+HISTOMARS25!AX8+HISTOAVRIL25!AX8+HISTOMAI25!AX8+HISTOJUIN25!AX8+HISTOJUIL25!AX8+HISTOAOUT25!AX8+HISTOSEPT25!AX8+HISTOOCT25!AX8+HISTONOV25!AX8+HISTODEC25!AX8</f>
        <v>1292500</v>
      </c>
      <c r="AY8" s="5">
        <f>HISTOJANV25!AY8+HISTOFEV25!AY8+HISTOMARS25!AY8+HISTOAVRIL25!AY8+HISTOMAI25!AY8+HISTOJUIN25!AY8+HISTOJUIL25!AY8+HISTOAOUT25!AY8+HISTOSEPT25!AY8+HISTOOCT25!AY8+HISTONOV25!AY8+HISTODEC25!AY8</f>
        <v>0</v>
      </c>
      <c r="AZ8" s="5">
        <f>HISTOJANV25!AZ8+HISTOFEV25!AZ8+HISTOMARS25!AZ8+HISTOAVRIL25!AZ8+HISTOMAI25!AZ8+HISTOJUIN25!AZ8+HISTOJUIL25!AZ8+HISTOAOUT25!AZ8+HISTOSEPT25!AZ8+HISTOOCT25!AZ8+HISTONOV25!AZ8+HISTODEC25!AZ8</f>
        <v>3685000</v>
      </c>
      <c r="BA8" s="5">
        <f>HISTOJANV25!BA8+HISTOFEV25!BA8+HISTOMARS25!BA8+HISTOAVRIL25!BA8+HISTOMAI25!BA8+HISTOJUIN25!BA8+HISTOJUIL25!BA8+HISTOAOUT25!BA8+HISTOSEPT25!BA8+HISTOOCT25!BA8+HISTONOV25!BA8+HISTODEC25!BA8</f>
        <v>940000</v>
      </c>
      <c r="BB8" s="5">
        <f>HISTOJANV25!BB8+HISTOFEV25!BB8+HISTOMARS25!BB8+HISTOAVRIL25!BB8+HISTOMAI25!BB8+HISTOJUIN25!BB8+HISTOJUIL25!BB8+HISTOAOUT25!BB8+HISTOSEPT25!BB8+HISTOOCT25!BB8+HISTONOV25!BB8+HISTODEC25!BB8</f>
        <v>0</v>
      </c>
      <c r="BC8" s="5">
        <f>HISTOJANV25!BC8+HISTOFEV25!BC8+HISTOMARS25!BC8+HISTOAVRIL25!BC8+HISTOMAI25!BC8+HISTOJUIN25!BC8+HISTOJUIL25!BC8+HISTOAOUT25!BC8+HISTOSEPT25!BC8+HISTOOCT25!BC8+HISTONOV25!BC8+HISTODEC25!BC8</f>
        <v>0</v>
      </c>
      <c r="BD8" s="5">
        <f>HISTOJANV25!BD8+HISTOFEV25!BD8+HISTOMARS25!BD8+HISTOAVRIL25!BD8+HISTOMAI25!BD8+HISTOJUIN25!BD8+HISTOJUIL25!BD8+HISTOAOUT25!BD8+HISTOSEPT25!BD8+HISTOOCT25!BD8+HISTONOV25!BD8+HISTODEC25!BD8</f>
        <v>2260000</v>
      </c>
      <c r="BE8" s="5"/>
      <c r="BF8" s="5">
        <f>HISTOJANV25!BF8+HISTOFEV25!BF8+HISTOMARS25!BF8+HISTOAVRIL25!BF8+HISTOMAI25!BF8+HISTOJUIN25!BF8+HISTOJUIL25!BF8+HISTOAOUT25!BF8+HISTOSEPT25!BF8+HISTOOCT25!BF8+HISTONOV25!BF8+HISTODEC25!BF8</f>
        <v>55000</v>
      </c>
      <c r="BG8" s="5">
        <f>HISTOJANV25!BG8+HISTOFEV25!BG8+HISTOMARS25!BG8+HISTOAVRIL25!BG8+HISTOMAI25!BG8+HISTOJUIN25!BG8+HISTOJUIL25!BG8+HISTOAOUT25!BG8+HISTOSEPT25!BG8+HISTOOCT25!BG8+HISTONOV25!BG8+HISTODEC25!BG8</f>
        <v>60</v>
      </c>
      <c r="BH8" s="5">
        <f>HISTOJANV25!BH8+HISTOFEV25!BH8+HISTOMARS25!BH8+HISTOAVRIL25!BH8+HISTOMAI25!BH8+HISTOJUIN25!BH8+HISTOJUIL25!BH8+HISTOAOUT25!BH8+HISTOSEPT25!BH8+HISTOOCT25!BH8+HISTONOV25!BH8+HISTODEC25!BH8</f>
        <v>0</v>
      </c>
      <c r="BI8" s="5">
        <f>HISTOJANV25!BI8+HISTOFEV25!BI8+HISTOMARS25!BI8+HISTOAVRIL25!BI8+HISTOMAI25!BI8+HISTOJUIN25!BI8+HISTOJUIL25!BI8+HISTOAOUT25!BI8+HISTOSEPT25!BI8+HISTOOCT25!BI8+HISTONOV25!BI8+HISTODEC25!BI8</f>
        <v>0</v>
      </c>
      <c r="BJ8" s="5">
        <f>HISTOJANV25!BJ8+HISTOFEV25!BJ8+HISTOMARS25!BJ8+HISTOAVRIL25!BJ8+HISTOMAI25!BJ8+HISTOJUIN25!BJ8+HISTOJUIL25!BJ8+HISTOAOUT25!BJ8+HISTOSEPT25!BJ8+HISTOOCT25!BJ8+HISTONOV25!BJ8+HISTODEC25!BJ8</f>
        <v>0</v>
      </c>
      <c r="BK8" s="5">
        <f>HISTOJANV25!BK8+HISTOFEV25!BK8+HISTOMARS25!BK8+HISTOAVRIL25!BK8+HISTOMAI25!BK8+HISTOJUIN25!BK8+HISTOJUIL25!BK8+HISTOAOUT25!BK8+HISTOSEPT25!BK8+HISTOOCT25!BK8+HISTONOV25!BK8+HISTODEC25!BK8</f>
        <v>100000</v>
      </c>
      <c r="BL8" s="5">
        <f>HISTOJANV25!BL8+HISTOFEV25!BL8+HISTOMARS25!BL8+HISTOAVRIL25!BL8+HISTOMAI25!BL8+HISTOJUIN25!BL8+HISTOJUIL25!BL8+HISTOAOUT25!BL8+HISTOSEPT25!BL8+HISTOOCT25!BL8+HISTONOV25!BL8+HISTODEC25!BL8</f>
        <v>0</v>
      </c>
      <c r="BM8" s="5">
        <f>HISTOJANV25!BM8+HISTOFEV25!BM8+HISTOMARS25!BM8+HISTOAVRIL25!BM8+HISTOMAI25!BM8+HISTOJUIN25!BM8+HISTOJUIL25!BM8+HISTOAOUT25!BM8+HISTOSEPT25!BM8+HISTOOCT25!BM8+HISTONOV25!BM8+HISTODEC25!BM8</f>
        <v>0</v>
      </c>
      <c r="BN8" s="5">
        <f>HISTOJANV25!BN8+HISTOFEV25!BN8+HISTOMARS25!BN8+HISTOAVRIL25!BN8+HISTOMAI25!BN8+HISTOJUIN25!BN8+HISTOJUIL25!BN8+HISTOAOUT25!BN8+HISTOSEPT25!BN8+HISTOOCT25!BN8+HISTONOV25!BN8+HISTODEC25!BN8</f>
        <v>0</v>
      </c>
      <c r="BO8" t="s">
        <v>117</v>
      </c>
      <c r="BP8" t="s">
        <v>114</v>
      </c>
      <c r="BQ8" s="6"/>
    </row>
    <row r="9" spans="1:69" ht="17.5" x14ac:dyDescent="0.35">
      <c r="A9" s="1" t="s">
        <v>13</v>
      </c>
      <c r="B9" s="1" t="str">
        <f>VLOOKUP(A9,[5]LISTADHERENT!A$5:H$50,3,0)</f>
        <v xml:space="preserve">DJOMO JEAN PAUL </v>
      </c>
      <c r="C9" s="5">
        <f>HISTOJANV25!C9+HISTOFEV25!C9+HISTOMARS25!C9+HISTOAVRIL25!C9+HISTOMAI25!C9+HISTOJUIN25!C9+HISTOJUIL25!C9+HISTOAOUT25!C9+HISTOSEPT25!C9+HISTOOCT25!C9+HISTONOV25!C9+HISTODEC25!C9</f>
        <v>-54000</v>
      </c>
      <c r="D9" s="5">
        <f>HISTOJANV25!D9+HISTOFEV25!D9+HISTOMARS25!D9+HISTOAVRIL25!D9+HISTOMAI25!D9+HISTOJUIN25!D9+HISTOJUIL25!D9+HISTOAOUT25!D9+HISTOSEPT25!D9+HISTOOCT25!D9+HISTONOV25!D9+HISTODEC25!D9</f>
        <v>1307500</v>
      </c>
      <c r="E9" s="5">
        <f>HISTOJANV25!E9+HISTOFEV25!E9+HISTOMARS25!E9+HISTOAVRIL25!E9+HISTOMAI25!E9+HISTOJUIN25!E9+HISTOJUIL25!E9+HISTOAOUT25!E9+HISTOSEPT25!E9+HISTOOCT25!E9+HISTONOV25!E9+HISTODEC25!E9</f>
        <v>4271500</v>
      </c>
      <c r="F9" s="5">
        <f>HISTOJANV25!F9+HISTOFEV25!F9+HISTOMARS25!F9+HISTOAVRIL25!F9+HISTOMAI25!F9+HISTOJUIN25!F9+HISTOJUIL25!F9+HISTOAOUT25!F9+HISTOSEPT25!F9+HISTOOCT25!F9+HISTONOV25!F9+HISTODEC25!F9</f>
        <v>0</v>
      </c>
      <c r="G9" s="5">
        <f>HISTOJANV25!G9+HISTOFEV25!G9+HISTOMARS25!G9+HISTOAVRIL25!G9+HISTOMAI25!G9+HISTOJUIN25!G9+HISTOJUIL25!G9+HISTOAOUT25!G9+HISTOSEPT25!G9+HISTOOCT25!G9+HISTONOV25!G9+HISTODEC25!G9</f>
        <v>0</v>
      </c>
      <c r="H9" s="5">
        <f>HISTOJANV25!H9+HISTOFEV25!H9+HISTOMARS25!H9+HISTOAVRIL25!H9+HISTOMAI25!H9+HISTOJUIN25!H9+HISTOJUIL25!H9+HISTOAOUT25!H9+HISTOSEPT25!H9+HISTOOCT25!H9+HISTONOV25!H9+HISTODEC25!H9</f>
        <v>0</v>
      </c>
      <c r="I9" s="5"/>
      <c r="J9" s="5">
        <f>HISTOJANV25!J9+HISTOFEV25!J9+HISTOMARS25!J9+HISTOAVRIL25!J9+HISTOMAI25!J9+HISTOJUIN25!J9+HISTOJUIL25!J9+HISTOAOUT25!J9+HISTOSEPT25!J9+HISTOOCT25!J9+HISTONOV25!J9+HISTODEC25!J9</f>
        <v>12</v>
      </c>
      <c r="K9" s="5">
        <f>HISTOJANV25!K9+HISTOFEV25!K9+HISTOMARS25!K9+HISTOAVRIL25!K9+HISTOMAI25!K9+HISTOJUIN25!K9+HISTOJUIL25!K9+HISTOAOUT25!K9+HISTOSEPT25!K9+HISTOOCT25!K9+HISTONOV25!K9+HISTODEC25!K9</f>
        <v>600000</v>
      </c>
      <c r="L9" s="5">
        <f>HISTOJANV25!L9+HISTOFEV25!L9+HISTOMARS25!L9+HISTOAVRIL25!L9+HISTOMAI25!L9+HISTOJUIN25!L9+HISTOJUIL25!L9+HISTOAOUT25!L9+HISTOSEPT25!L9+HISTOOCT25!L9+HISTONOV25!L9+HISTODEC25!L9</f>
        <v>0</v>
      </c>
      <c r="M9" s="5">
        <f>HISTOJANV25!M9+HISTOFEV25!M9+HISTOMARS25!M9+HISTOAVRIL25!M9+HISTOMAI25!M9+HISTOJUIN25!M9+HISTOJUIL25!M9+HISTOAOUT25!M9+HISTOSEPT25!M9+HISTOOCT25!M9+HISTONOV25!M9+HISTODEC25!M9</f>
        <v>0</v>
      </c>
      <c r="N9" s="5">
        <f>HISTOJANV25!N9+HISTOFEV25!N9+HISTOMARS25!N9+HISTOAVRIL25!N9+HISTOMAI25!N9+HISTOJUIN25!N9+HISTOJUIL25!N9+HISTOAOUT25!N9+HISTOSEPT25!N9+HISTOOCT25!N9+HISTONOV25!N9+HISTODEC25!N9</f>
        <v>24</v>
      </c>
      <c r="O9" s="5">
        <f>HISTOJANV25!O9+HISTOFEV25!O9+HISTOMARS25!O9+HISTOAVRIL25!O9+HISTOMAI25!O9+HISTOJUIN25!O9+HISTOJUIL25!O9+HISTOAOUT25!O9+HISTOSEPT25!O9+HISTOOCT25!O9+HISTONOV25!O9+HISTODEC25!O9</f>
        <v>2400000</v>
      </c>
      <c r="P9" s="5">
        <f>HISTOJANV25!P9+HISTOFEV25!P9+HISTOMARS25!P9+HISTOAVRIL25!P9+HISTOMAI25!P9+HISTOJUIN25!P9+HISTOJUIL25!P9+HISTOAOUT25!P9+HISTOSEPT25!P9+HISTOOCT25!P9+HISTONOV25!P9+HISTODEC25!P9</f>
        <v>122500</v>
      </c>
      <c r="Q9" s="5">
        <f>HISTOJANV25!Q9+HISTOFEV25!Q9+HISTOMARS25!Q9+HISTOAVRIL25!Q9+HISTOMAI25!Q9+HISTOJUIN25!Q9+HISTOJUIL25!Q9+HISTOAOUT25!Q9+HISTOSEPT25!Q9+HISTOOCT25!Q9+HISTONOV25!Q9+HISTODEC25!Q9</f>
        <v>0</v>
      </c>
      <c r="R9" s="5">
        <f>HISTOJANV25!R9+HISTOFEV25!R9+HISTOMARS25!R9+HISTOAVRIL25!R9+HISTOMAI25!R9+HISTOJUIN25!R9+HISTOJUIL25!R9+HISTOAOUT25!R9+HISTOSEPT25!R9+HISTOOCT25!R9+HISTONOV25!R9+HISTODEC25!R9</f>
        <v>1505500</v>
      </c>
      <c r="S9" s="5">
        <f>HISTOJANV25!S9+HISTOFEV25!S9+HISTOMARS25!S9+HISTOAVRIL25!S9+HISTOMAI25!S9+HISTOJUIN25!S9+HISTOJUIL25!S9+HISTOAOUT25!S9+HISTOSEPT25!S9+HISTOOCT25!S9+HISTONOV25!S9+HISTODEC25!S9</f>
        <v>1000000</v>
      </c>
      <c r="T9" s="5"/>
      <c r="U9" s="5">
        <f>HISTOJANV25!U9+HISTOFEV25!U9+HISTOMARS25!U9+HISTOAVRIL25!U9+HISTOMAI25!U9+HISTOJUIN25!U9+HISTOJUIL25!U9+HISTOAOUT25!U9+HISTOSEPT25!U9+HISTOOCT25!U9+HISTONOV25!U9+HISTODEC25!U9</f>
        <v>5633000</v>
      </c>
      <c r="V9" s="5">
        <f>HISTOJANV25!V9+HISTOFEV25!V9+HISTOMARS25!V9+HISTOAVRIL25!V9+HISTOMAI25!V9+HISTOJUIN25!V9+HISTOJUIL25!V9+HISTOAOUT25!V9+HISTOSEPT25!V9+HISTOOCT25!V9+HISTONOV25!V9+HISTODEC25!V9</f>
        <v>5000</v>
      </c>
      <c r="W9" s="5">
        <f>HISTOJANV25!W9+HISTOFEV25!W9+HISTOMARS25!W9+HISTOAVRIL25!W9+HISTOMAI25!W9+HISTOJUIN25!W9+HISTOJUIL25!W9+HISTOAOUT25!W9+HISTOSEPT25!W9+HISTOOCT25!W9+HISTONOV25!W9+HISTODEC25!W9</f>
        <v>0</v>
      </c>
      <c r="X9" s="5">
        <f>HISTOJANV25!X9+HISTOFEV25!X9+HISTOMARS25!X9+HISTOAVRIL25!X9+HISTOMAI25!X9+HISTOJUIN25!X9+HISTOJUIL25!X9+HISTOAOUT25!X9+HISTOSEPT25!X9+HISTOOCT25!X9+HISTONOV25!X9+HISTODEC25!X9</f>
        <v>0</v>
      </c>
      <c r="Y9" s="5">
        <f>HISTOJANV25!Y9+HISTOFEV25!Y9+HISTOMARS25!Y9+HISTOAVRIL25!Y9+HISTOMAI25!Y9+HISTOJUIN25!Y9+HISTOJUIL25!Y9+HISTOAOUT25!Y9+HISTOSEPT25!Y9+HISTOOCT25!Y9+HISTONOV25!Y9+HISTODEC25!Y9</f>
        <v>3000000</v>
      </c>
      <c r="Z9" s="5">
        <f>HISTOJANV25!Z9+HISTOFEV25!Z9+HISTOMARS25!Z9+HISTOAVRIL25!Z9+HISTOMAI25!Z9+HISTOJUIN25!Z9+HISTOJUIL25!Z9+HISTOAOUT25!Z9+HISTOSEPT25!Z9+HISTOOCT25!Z9+HISTONOV25!Z9+HISTODEC25!Z9</f>
        <v>1000000</v>
      </c>
      <c r="AA9" s="5"/>
      <c r="AB9" s="5">
        <f>HISTOJANV25!AB9+HISTOFEV25!AB9+HISTOMARS25!AB9+HISTOAVRIL25!AB9+HISTOMAI25!AB9+HISTOJUIN25!AB9+HISTOJUIL25!AB9+HISTOAOUT25!AB9+HISTOSEPT25!AB9+HISTOOCT25!AB9+HISTONOV25!AB9+HISTODEC25!AB9</f>
        <v>0</v>
      </c>
      <c r="AC9" s="5">
        <f>HISTOJANV25!AC9+HISTOFEV25!AC9+HISTOMARS25!AC9+HISTOAVRIL25!AC9+HISTOMAI25!AC9+HISTOJUIN25!AC9+HISTOJUIL25!AC9+HISTOAOUT25!AC9+HISTOSEPT25!AC9+HISTOOCT25!AC9+HISTONOV25!AC9+HISTODEC25!AC9</f>
        <v>31000</v>
      </c>
      <c r="AD9" s="5">
        <f>HISTOJANV25!AD9+HISTOFEV25!AD9+HISTOMARS25!AD9+HISTOAVRIL25!AD9+HISTOMAI25!AD9+HISTOJUIN25!AD9+HISTOJUIL25!AD9+HISTOAOUT25!AD9+HISTOSEPT25!AD9+HISTOOCT25!AD9+HISTONOV25!AD9+HISTODEC25!AD9</f>
        <v>0</v>
      </c>
      <c r="AE9" s="5">
        <f>HISTOJANV25!AE9+HISTOFEV25!AE9+HISTOMARS25!AE9+HISTOAVRIL25!AE9+HISTOMAI25!AE9+HISTOJUIN25!AE9+HISTOJUIL25!AE9+HISTOAOUT25!AE9+HISTOSEPT25!AE9+HISTOOCT25!AE9+HISTONOV25!AE9+HISTODEC25!AE9</f>
        <v>90000</v>
      </c>
      <c r="AF9" s="5"/>
      <c r="AG9" s="5">
        <f>HISTOJANV25!AG9+HISTOFEV25!AG9+HISTOMARS25!AG9+HISTOAVRIL25!AG9+HISTOMAI25!AG9+HISTOJUIN25!AG9+HISTOJUIL25!AG9+HISTOAOUT25!AG9+HISTOSEPT25!AG9+HISTOOCT25!AG9+HISTONOV25!AG9+HISTODEC25!AG9</f>
        <v>0</v>
      </c>
      <c r="AH9" s="5">
        <f>HISTOJANV25!AH9+HISTOFEV25!AH9+HISTOMARS25!AH9+HISTOAVRIL25!AH9+HISTOMAI25!AH9+HISTOJUIN25!AH9+HISTOJUIL25!AH9+HISTOAOUT25!AH9+HISTOSEPT25!AH9+HISTOOCT25!AH9+HISTONOV25!AH9+HISTODEC25!AH9</f>
        <v>0</v>
      </c>
      <c r="AI9" s="5">
        <f>HISTOJANV25!AI9+HISTOFEV25!AI9+HISTOMARS25!AI9+HISTOAVRIL25!AI9+HISTOMAI25!AI9+HISTOJUIN25!AI9+HISTOJUIL25!AI9+HISTOAOUT25!AI9+HISTOSEPT25!AI9+HISTOOCT25!AI9+HISTONOV25!AI9+HISTODEC25!AI9</f>
        <v>119500</v>
      </c>
      <c r="AJ9" s="5">
        <f>HISTOJANV25!AJ9+HISTOFEV25!AJ9+HISTOMARS25!AJ9+HISTOAVRIL25!AJ9+HISTOMAI25!AJ9+HISTOJUIN25!AJ9+HISTOJUIL25!AJ9+HISTOAOUT25!AJ9+HISTOSEPT25!AJ9+HISTOOCT25!AJ9+HISTONOV25!AJ9+HISTODEC25!AJ9</f>
        <v>0</v>
      </c>
      <c r="AK9" s="5">
        <f>HISTOJANV25!AK9+HISTOFEV25!AK9+HISTOMARS25!AK9+HISTOAVRIL25!AK9+HISTOMAI25!AK9+HISTOJUIN25!AK9+HISTOJUIL25!AK9+HISTOAOUT25!AK9+HISTOSEPT25!AK9+HISTOOCT25!AK9+HISTONOV25!AK9+HISTODEC25!AK9</f>
        <v>1574500</v>
      </c>
      <c r="AL9" s="5">
        <f>HISTOJANV25!AL9+HISTOFEV25!AL9+HISTOMARS25!AL9+HISTOAVRIL25!AL9+HISTOMAI25!AL9+HISTOJUIN25!AL9+HISTOJUIL25!AL9+HISTOAOUT25!AL9+HISTOSEPT25!AL9+HISTOOCT25!AL9+HISTONOV25!AL9+HISTODEC25!AL9</f>
        <v>3000</v>
      </c>
      <c r="AM9" s="5">
        <f>HISTOJANV25!AM9+HISTOFEV25!AM9+HISTOMARS25!AM9+HISTOAVRIL25!AM9+HISTOMAI25!AM9+HISTOJUIN25!AM9+HISTOJUIL25!AM9+HISTOAOUT25!AM9+HISTOSEPT25!AM9+HISTOOCT25!AM9+HISTONOV25!AM9+HISTODEC25!AM9</f>
        <v>0</v>
      </c>
      <c r="AN9" s="5">
        <f>HISTOJANV25!AN9+HISTOFEV25!AN9+HISTOMARS25!AN9+HISTOAVRIL25!AN9+HISTOMAI25!AN9+HISTOJUIN25!AN9+HISTOJUIL25!AN9+HISTOAOUT25!AN9+HISTOSEPT25!AN9+HISTOOCT25!AN9+HISTONOV25!AN9+HISTODEC25!AN9</f>
        <v>32000</v>
      </c>
      <c r="AO9" s="5">
        <f>HISTOJANV25!AO9+HISTOFEV25!AO9+HISTOMARS25!AO9+HISTOAVRIL25!AO9+HISTOMAI25!AO9+HISTOJUIN25!AO9+HISTOJUIL25!AO9+HISTOAOUT25!AO9+HISTOSEPT25!AO9+HISTOOCT25!AO9+HISTONOV25!AO9+HISTODEC25!AO9</f>
        <v>0</v>
      </c>
      <c r="AP9" s="5"/>
      <c r="AQ9" s="5">
        <f>HISTOJANV25!AQ9+HISTOFEV25!AQ9+HISTOMARS25!AQ9+HISTOAVRIL25!AQ9+HISTOMAI25!AQ9+HISTOJUIN25!AQ9+HISTOJUIL25!AQ9+HISTOAOUT25!AQ9+HISTOSEPT25!AQ9+HISTOOCT25!AQ9+HISTONOV25!AQ9+HISTODEC25!AQ9</f>
        <v>0</v>
      </c>
      <c r="AR9" s="5">
        <f>HISTOJANV25!AR9+HISTOFEV25!AR9+HISTOMARS25!AR9+HISTOAVRIL25!AR9+HISTOMAI25!AR9+HISTOJUIN25!AR9+HISTOJUIL25!AR9+HISTOAOUT25!AR9+HISTOSEPT25!AR9+HISTOOCT25!AR9+HISTONOV25!AR9+HISTODEC25!AR9</f>
        <v>0</v>
      </c>
      <c r="AS9" s="5">
        <f>HISTOJANV25!AS9+HISTOFEV25!AS9+HISTOMARS25!AS9+HISTOAVRIL25!AS9+HISTOMAI25!AS9+HISTOJUIN25!AS9+HISTOJUIL25!AS9+HISTOAOUT25!AS9+HISTOSEPT25!AS9+HISTOOCT25!AS9+HISTONOV25!AS9+HISTODEC25!AS9</f>
        <v>300000</v>
      </c>
      <c r="AT9" s="5">
        <f>HISTOJANV25!AT9+HISTOFEV25!AT9+HISTOMARS25!AT9+HISTOAVRIL25!AT9+HISTOMAI25!AT9+HISTOJUIN25!AT9+HISTOJUIL25!AT9+HISTOAOUT25!AT9+HISTOSEPT25!AT9+HISTOOCT25!AT9+HISTONOV25!AT9+HISTODEC25!AT9</f>
        <v>0</v>
      </c>
      <c r="AU9" s="5">
        <f>HISTOJANV25!AU9+HISTOFEV25!AU9+HISTOMARS25!AU9+HISTOAVRIL25!AU9+HISTOMAI25!AU9+HISTOJUIN25!AU9+HISTOJUIL25!AU9+HISTOAOUT25!AU9+HISTOSEPT25!AU9+HISTOOCT25!AU9+HISTONOV25!AU9+HISTODEC25!AU9</f>
        <v>0</v>
      </c>
      <c r="AV9" s="5">
        <f>HISTOJANV25!AV9+HISTOFEV25!AV9+HISTOMARS25!AV9+HISTOAVRIL25!AV9+HISTOMAI25!AV9+HISTOJUIN25!AV9+HISTOJUIL25!AV9+HISTOAOUT25!AV9+HISTOSEPT25!AV9+HISTOOCT25!AV9+HISTONOV25!AV9+HISTODEC25!AV9</f>
        <v>0</v>
      </c>
      <c r="AW9" s="5">
        <f>HISTOJANV25!AW9+HISTOFEV25!AW9+HISTOMARS25!AW9+HISTOAVRIL25!AW9+HISTOMAI25!AW9+HISTOJUIN25!AW9+HISTOJUIL25!AW9+HISTOAOUT25!AW9+HISTOSEPT25!AW9+HISTOOCT25!AW9+HISTONOV25!AW9+HISTODEC25!AW9</f>
        <v>388500</v>
      </c>
      <c r="AX9" s="5">
        <f>HISTOJANV25!AX9+HISTOFEV25!AX9+HISTOMARS25!AX9+HISTOAVRIL25!AX9+HISTOMAI25!AX9+HISTOJUIN25!AX9+HISTOJUIL25!AX9+HISTOAOUT25!AX9+HISTOSEPT25!AX9+HISTOOCT25!AX9+HISTONOV25!AX9+HISTODEC25!AX9</f>
        <v>0</v>
      </c>
      <c r="AY9" s="5">
        <f>HISTOJANV25!AY9+HISTOFEV25!AY9+HISTOMARS25!AY9+HISTOAVRIL25!AY9+HISTOMAI25!AY9+HISTOJUIN25!AY9+HISTOJUIL25!AY9+HISTOAOUT25!AY9+HISTOSEPT25!AY9+HISTOOCT25!AY9+HISTONOV25!AY9+HISTODEC25!AY9</f>
        <v>3884500</v>
      </c>
      <c r="AZ9" s="5">
        <f>HISTOJANV25!AZ9+HISTOFEV25!AZ9+HISTOMARS25!AZ9+HISTOAVRIL25!AZ9+HISTOMAI25!AZ9+HISTOJUIN25!AZ9+HISTOJUIL25!AZ9+HISTOAOUT25!AZ9+HISTOSEPT25!AZ9+HISTOOCT25!AZ9+HISTONOV25!AZ9+HISTODEC25!AZ9</f>
        <v>5253000</v>
      </c>
      <c r="BA9" s="5">
        <f>HISTOJANV25!BA9+HISTOFEV25!BA9+HISTOMARS25!BA9+HISTOAVRIL25!BA9+HISTOMAI25!BA9+HISTOJUIN25!BA9+HISTOJUIL25!BA9+HISTOAOUT25!BA9+HISTOSEPT25!BA9+HISTOOCT25!BA9+HISTONOV25!BA9+HISTODEC25!BA9</f>
        <v>2044000</v>
      </c>
      <c r="BB9" s="5">
        <f>HISTOJANV25!BB9+HISTOFEV25!BB9+HISTOMARS25!BB9+HISTOAVRIL25!BB9+HISTOMAI25!BB9+HISTOJUIN25!BB9+HISTOJUIL25!BB9+HISTOAOUT25!BB9+HISTOSEPT25!BB9+HISTOOCT25!BB9+HISTONOV25!BB9+HISTODEC25!BB9</f>
        <v>0</v>
      </c>
      <c r="BC9" s="5">
        <f>HISTOJANV25!BC9+HISTOFEV25!BC9+HISTOMARS25!BC9+HISTOAVRIL25!BC9+HISTOMAI25!BC9+HISTOJUIN25!BC9+HISTOJUIL25!BC9+HISTOAOUT25!BC9+HISTOSEPT25!BC9+HISTOOCT25!BC9+HISTONOV25!BC9+HISTODEC25!BC9</f>
        <v>0</v>
      </c>
      <c r="BD9" s="5">
        <f>HISTOJANV25!BD9+HISTOFEV25!BD9+HISTOMARS25!BD9+HISTOAVRIL25!BD9+HISTOMAI25!BD9+HISTOJUIN25!BD9+HISTOJUIL25!BD9+HISTOAOUT25!BD9+HISTOSEPT25!BD9+HISTOOCT25!BD9+HISTONOV25!BD9+HISTODEC25!BD9</f>
        <v>3209000</v>
      </c>
      <c r="BE9" s="5"/>
      <c r="BF9" s="5">
        <f>HISTOJANV25!BF9+HISTOFEV25!BF9+HISTOMARS25!BF9+HISTOAVRIL25!BF9+HISTOMAI25!BF9+HISTOJUIN25!BF9+HISTOJUIL25!BF9+HISTOAOUT25!BF9+HISTOSEPT25!BF9+HISTOOCT25!BF9+HISTONOV25!BF9+HISTODEC25!BF9</f>
        <v>120000</v>
      </c>
      <c r="BG9" s="5">
        <f>HISTOJANV25!BG9+HISTOFEV25!BG9+HISTOMARS25!BG9+HISTOAVRIL25!BG9+HISTOMAI25!BG9+HISTOJUIN25!BG9+HISTOJUIL25!BG9+HISTOAOUT25!BG9+HISTOSEPT25!BG9+HISTOOCT25!BG9+HISTONOV25!BG9+HISTODEC25!BG9</f>
        <v>78</v>
      </c>
      <c r="BH9" s="5">
        <f>HISTOJANV25!BH9+HISTOFEV25!BH9+HISTOMARS25!BH9+HISTOAVRIL25!BH9+HISTOMAI25!BH9+HISTOJUIN25!BH9+HISTOJUIL25!BH9+HISTOAOUT25!BH9+HISTOSEPT25!BH9+HISTOOCT25!BH9+HISTONOV25!BH9+HISTODEC25!BH9</f>
        <v>0</v>
      </c>
      <c r="BI9" s="5">
        <f>HISTOJANV25!BI9+HISTOFEV25!BI9+HISTOMARS25!BI9+HISTOAVRIL25!BI9+HISTOMAI25!BI9+HISTOJUIN25!BI9+HISTOJUIL25!BI9+HISTOAOUT25!BI9+HISTOSEPT25!BI9+HISTOOCT25!BI9+HISTONOV25!BI9+HISTODEC25!BI9</f>
        <v>0</v>
      </c>
      <c r="BJ9" s="5">
        <f>HISTOJANV25!BJ9+HISTOFEV25!BJ9+HISTOMARS25!BJ9+HISTOAVRIL25!BJ9+HISTOMAI25!BJ9+HISTOJUIN25!BJ9+HISTOJUIL25!BJ9+HISTOAOUT25!BJ9+HISTOSEPT25!BJ9+HISTOOCT25!BJ9+HISTONOV25!BJ9+HISTODEC25!BJ9</f>
        <v>0</v>
      </c>
      <c r="BK9" s="5">
        <f>HISTOJANV25!BK9+HISTOFEV25!BK9+HISTOMARS25!BK9+HISTOAVRIL25!BK9+HISTOMAI25!BK9+HISTOJUIN25!BK9+HISTOJUIL25!BK9+HISTOAOUT25!BK9+HISTOSEPT25!BK9+HISTOOCT25!BK9+HISTONOV25!BK9+HISTODEC25!BK9</f>
        <v>100000</v>
      </c>
      <c r="BL9" s="5">
        <f>HISTOJANV25!BL9+HISTOFEV25!BL9+HISTOMARS25!BL9+HISTOAVRIL25!BL9+HISTOMAI25!BL9+HISTOJUIN25!BL9+HISTOJUIL25!BL9+HISTOAOUT25!BL9+HISTOSEPT25!BL9+HISTOOCT25!BL9+HISTONOV25!BL9+HISTODEC25!BL9</f>
        <v>0</v>
      </c>
      <c r="BM9" s="5">
        <f>HISTOJANV25!BM9+HISTOFEV25!BM9+HISTOMARS25!BM9+HISTOAVRIL25!BM9+HISTOMAI25!BM9+HISTOJUIN25!BM9+HISTOJUIL25!BM9+HISTOAOUT25!BM9+HISTOSEPT25!BM9+HISTOOCT25!BM9+HISTONOV25!BM9+HISTODEC25!BM9</f>
        <v>0</v>
      </c>
      <c r="BN9" s="5">
        <f>HISTOJANV25!BN9+HISTOFEV25!BN9+HISTOMARS25!BN9+HISTOAVRIL25!BN9+HISTOMAI25!BN9+HISTOJUIN25!BN9+HISTOJUIL25!BN9+HISTOAOUT25!BN9+HISTOSEPT25!BN9+HISTOOCT25!BN9+HISTONOV25!BN9+HISTODEC25!BN9</f>
        <v>0</v>
      </c>
      <c r="BO9" t="s">
        <v>196</v>
      </c>
      <c r="BP9" t="s">
        <v>114</v>
      </c>
      <c r="BQ9" s="6"/>
    </row>
    <row r="10" spans="1:69" ht="17.5" x14ac:dyDescent="0.35">
      <c r="A10" s="1" t="s">
        <v>14</v>
      </c>
      <c r="B10" s="1" t="str">
        <f>VLOOKUP(A10,[5]LISTADHERENT!A$5:H$50,3,0)</f>
        <v>DJOMOU TCHAPDA</v>
      </c>
      <c r="C10" s="5">
        <f>HISTOJANV25!C10+HISTOFEV25!C10+HISTOMARS25!C10+HISTOAVRIL25!C10+HISTOMAI25!C10+HISTOJUIN25!C10+HISTOJUIL25!C10+HISTOAOUT25!C10+HISTOSEPT25!C10+HISTOOCT25!C10+HISTONOV25!C10+HISTODEC25!C10</f>
        <v>-42000</v>
      </c>
      <c r="D10" s="5">
        <f>HISTOJANV25!D10+HISTOFEV25!D10+HISTOMARS25!D10+HISTOAVRIL25!D10+HISTOMAI25!D10+HISTOJUIN25!D10+HISTOJUIL25!D10+HISTOAOUT25!D10+HISTOSEPT25!D10+HISTOOCT25!D10+HISTONOV25!D10+HISTODEC25!D10</f>
        <v>760500</v>
      </c>
      <c r="E10" s="5">
        <f>HISTOJANV25!E10+HISTOFEV25!E10+HISTOMARS25!E10+HISTOAVRIL25!E10+HISTOMAI25!E10+HISTOJUIN25!E10+HISTOJUIL25!E10+HISTOAOUT25!E10+HISTOSEPT25!E10+HISTOOCT25!E10+HISTONOV25!E10+HISTODEC25!E10</f>
        <v>1113000</v>
      </c>
      <c r="F10" s="5">
        <f>HISTOJANV25!F10+HISTOFEV25!F10+HISTOMARS25!F10+HISTOAVRIL25!F10+HISTOMAI25!F10+HISTOJUIN25!F10+HISTOJUIL25!F10+HISTOAOUT25!F10+HISTOSEPT25!F10+HISTOOCT25!F10+HISTONOV25!F10+HISTODEC25!F10</f>
        <v>0</v>
      </c>
      <c r="G10" s="5">
        <f>HISTOJANV25!G10+HISTOFEV25!G10+HISTOMARS25!G10+HISTOAVRIL25!G10+HISTOMAI25!G10+HISTOJUIN25!G10+HISTOJUIL25!G10+HISTOAOUT25!G10+HISTOSEPT25!G10+HISTOOCT25!G10+HISTONOV25!G10+HISTODEC25!G10</f>
        <v>7500</v>
      </c>
      <c r="H10" s="5">
        <f>HISTOJANV25!H10+HISTOFEV25!H10+HISTOMARS25!H10+HISTOAVRIL25!H10+HISTOMAI25!H10+HISTOJUIN25!H10+HISTOJUIL25!H10+HISTOAOUT25!H10+HISTOSEPT25!H10+HISTOOCT25!H10+HISTONOV25!H10+HISTODEC25!H10</f>
        <v>3000</v>
      </c>
      <c r="I10" s="5"/>
      <c r="J10" s="5">
        <f>HISTOJANV25!J10+HISTOFEV25!J10+HISTOMARS25!J10+HISTOAVRIL25!J10+HISTOMAI25!J10+HISTOJUIN25!J10+HISTOJUIL25!J10+HISTOAOUT25!J10+HISTOSEPT25!J10+HISTOOCT25!J10+HISTONOV25!J10+HISTODEC25!J10</f>
        <v>12</v>
      </c>
      <c r="K10" s="5">
        <f>HISTOJANV25!K10+HISTOFEV25!K10+HISTOMARS25!K10+HISTOAVRIL25!K10+HISTOMAI25!K10+HISTOJUIN25!K10+HISTOJUIL25!K10+HISTOAOUT25!K10+HISTOSEPT25!K10+HISTOOCT25!K10+HISTONOV25!K10+HISTODEC25!K10</f>
        <v>600000</v>
      </c>
      <c r="L10" s="5">
        <f>HISTOJANV25!L10+HISTOFEV25!L10+HISTOMARS25!L10+HISTOAVRIL25!L10+HISTOMAI25!L10+HISTOJUIN25!L10+HISTOJUIL25!L10+HISTOAOUT25!L10+HISTOSEPT25!L10+HISTOOCT25!L10+HISTONOV25!L10+HISTODEC25!L10</f>
        <v>0</v>
      </c>
      <c r="M10" s="5">
        <f>HISTOJANV25!M10+HISTOFEV25!M10+HISTOMARS25!M10+HISTOAVRIL25!M10+HISTOMAI25!M10+HISTOJUIN25!M10+HISTOJUIL25!M10+HISTOAOUT25!M10+HISTOSEPT25!M10+HISTOOCT25!M10+HISTONOV25!M10+HISTODEC25!M10</f>
        <v>0</v>
      </c>
      <c r="N10" s="5">
        <f>HISTOJANV25!N10+HISTOFEV25!N10+HISTOMARS25!N10+HISTOAVRIL25!N10+HISTOMAI25!N10+HISTOJUIN25!N10+HISTOJUIL25!N10+HISTOAOUT25!N10+HISTOSEPT25!N10+HISTOOCT25!N10+HISTONOV25!N10+HISTODEC25!N10</f>
        <v>0</v>
      </c>
      <c r="O10" s="5">
        <f>HISTOJANV25!O10+HISTOFEV25!O10+HISTOMARS25!O10+HISTOAVRIL25!O10+HISTOMAI25!O10+HISTOJUIN25!O10+HISTOJUIL25!O10+HISTOAOUT25!O10+HISTOSEPT25!O10+HISTOOCT25!O10+HISTONOV25!O10+HISTODEC25!O10</f>
        <v>0</v>
      </c>
      <c r="P10" s="5">
        <f>HISTOJANV25!P10+HISTOFEV25!P10+HISTOMARS25!P10+HISTOAVRIL25!P10+HISTOMAI25!P10+HISTOJUIN25!P10+HISTOJUIL25!P10+HISTOAOUT25!P10+HISTOSEPT25!P10+HISTOOCT25!P10+HISTONOV25!P10+HISTODEC25!P10</f>
        <v>305000</v>
      </c>
      <c r="Q10" s="5">
        <f>HISTOJANV25!Q10+HISTOFEV25!Q10+HISTOMARS25!Q10+HISTOAVRIL25!Q10+HISTOMAI25!Q10+HISTOJUIN25!Q10+HISTOJUIL25!Q10+HISTOAOUT25!Q10+HISTOSEPT25!Q10+HISTOOCT25!Q10+HISTONOV25!Q10+HISTODEC25!Q10</f>
        <v>0</v>
      </c>
      <c r="R10" s="5">
        <f>HISTOJANV25!R10+HISTOFEV25!R10+HISTOMARS25!R10+HISTOAVRIL25!R10+HISTOMAI25!R10+HISTOJUIN25!R10+HISTOJUIL25!R10+HISTOAOUT25!R10+HISTOSEPT25!R10+HISTOOCT25!R10+HISTONOV25!R10+HISTODEC25!R10</f>
        <v>0</v>
      </c>
      <c r="S10" s="5">
        <f>HISTOJANV25!S10+HISTOFEV25!S10+HISTOMARS25!S10+HISTOAVRIL25!S10+HISTOMAI25!S10+HISTOJUIN25!S10+HISTOJUIL25!S10+HISTOAOUT25!S10+HISTOSEPT25!S10+HISTOOCT25!S10+HISTONOV25!S10+HISTODEC25!S10</f>
        <v>1000000</v>
      </c>
      <c r="T10" s="5"/>
      <c r="U10" s="5">
        <f>HISTOJANV25!U10+HISTOFEV25!U10+HISTOMARS25!U10+HISTOAVRIL25!U10+HISTOMAI25!U10+HISTOJUIN25!U10+HISTOJUIL25!U10+HISTOAOUT25!U10+HISTOSEPT25!U10+HISTOOCT25!U10+HISTONOV25!U10+HISTODEC25!U10</f>
        <v>1915500</v>
      </c>
      <c r="V10" s="5">
        <f>HISTOJANV25!V10+HISTOFEV25!V10+HISTOMARS25!V10+HISTOAVRIL25!V10+HISTOMAI25!V10+HISTOJUIN25!V10+HISTOJUIL25!V10+HISTOAOUT25!V10+HISTOSEPT25!V10+HISTOOCT25!V10+HISTONOV25!V10+HISTODEC25!V10</f>
        <v>0</v>
      </c>
      <c r="W10" s="5">
        <f>HISTOJANV25!W10+HISTOFEV25!W10+HISTOMARS25!W10+HISTOAVRIL25!W10+HISTOMAI25!W10+HISTOJUIN25!W10+HISTOJUIL25!W10+HISTOAOUT25!W10+HISTOSEPT25!W10+HISTOOCT25!W10+HISTONOV25!W10+HISTODEC25!W10</f>
        <v>0</v>
      </c>
      <c r="X10" s="5">
        <f>HISTOJANV25!X10+HISTOFEV25!X10+HISTOMARS25!X10+HISTOAVRIL25!X10+HISTOMAI25!X10+HISTOJUIN25!X10+HISTOJUIL25!X10+HISTOAOUT25!X10+HISTOSEPT25!X10+HISTOOCT25!X10+HISTONOV25!X10+HISTODEC25!X10</f>
        <v>0</v>
      </c>
      <c r="Y10" s="5">
        <f>HISTOJANV25!Y10+HISTOFEV25!Y10+HISTOMARS25!Y10+HISTOAVRIL25!Y10+HISTOMAI25!Y10+HISTOJUIN25!Y10+HISTOJUIL25!Y10+HISTOAOUT25!Y10+HISTOSEPT25!Y10+HISTOOCT25!Y10+HISTONOV25!Y10+HISTODEC25!Y10</f>
        <v>600000</v>
      </c>
      <c r="Z10" s="5">
        <f>HISTOJANV25!Z10+HISTOFEV25!Z10+HISTOMARS25!Z10+HISTOAVRIL25!Z10+HISTOMAI25!Z10+HISTOJUIN25!Z10+HISTOJUIL25!Z10+HISTOAOUT25!Z10+HISTOSEPT25!Z10+HISTOOCT25!Z10+HISTONOV25!Z10+HISTODEC25!Z10</f>
        <v>1000000</v>
      </c>
      <c r="AA10" s="5"/>
      <c r="AB10" s="5">
        <f>HISTOJANV25!AB10+HISTOFEV25!AB10+HISTOMARS25!AB10+HISTOAVRIL25!AB10+HISTOMAI25!AB10+HISTOJUIN25!AB10+HISTOJUIL25!AB10+HISTOAOUT25!AB10+HISTOSEPT25!AB10+HISTOOCT25!AB10+HISTONOV25!AB10+HISTODEC25!AB10</f>
        <v>0</v>
      </c>
      <c r="AC10" s="5">
        <f>HISTOJANV25!AC10+HISTOFEV25!AC10+HISTOMARS25!AC10+HISTOAVRIL25!AC10+HISTOMAI25!AC10+HISTOJUIN25!AC10+HISTOJUIL25!AC10+HISTOAOUT25!AC10+HISTOSEPT25!AC10+HISTOOCT25!AC10+HISTONOV25!AC10+HISTODEC25!AC10</f>
        <v>30000</v>
      </c>
      <c r="AD10" s="5">
        <f>HISTOJANV25!AD10+HISTOFEV25!AD10+HISTOMARS25!AD10+HISTOAVRIL25!AD10+HISTOMAI25!AD10+HISTOJUIN25!AD10+HISTOJUIL25!AD10+HISTOAOUT25!AD10+HISTOSEPT25!AD10+HISTOOCT25!AD10+HISTONOV25!AD10+HISTODEC25!AD10</f>
        <v>0</v>
      </c>
      <c r="AE10" s="5">
        <f>HISTOJANV25!AE10+HISTOFEV25!AE10+HISTOMARS25!AE10+HISTOAVRIL25!AE10+HISTOMAI25!AE10+HISTOJUIN25!AE10+HISTOJUIL25!AE10+HISTOAOUT25!AE10+HISTOSEPT25!AE10+HISTOOCT25!AE10+HISTONOV25!AE10+HISTODEC25!AE10</f>
        <v>0</v>
      </c>
      <c r="AF10" s="5"/>
      <c r="AG10" s="5">
        <f>HISTOJANV25!AG10+HISTOFEV25!AG10+HISTOMARS25!AG10+HISTOAVRIL25!AG10+HISTOMAI25!AG10+HISTOJUIN25!AG10+HISTOJUIL25!AG10+HISTOAOUT25!AG10+HISTOSEPT25!AG10+HISTOOCT25!AG10+HISTONOV25!AG10+HISTODEC25!AG10</f>
        <v>0</v>
      </c>
      <c r="AH10" s="5">
        <f>HISTOJANV25!AH10+HISTOFEV25!AH10+HISTOMARS25!AH10+HISTOAVRIL25!AH10+HISTOMAI25!AH10+HISTOJUIN25!AH10+HISTOJUIL25!AH10+HISTOAOUT25!AH10+HISTOSEPT25!AH10+HISTOOCT25!AH10+HISTONOV25!AH10+HISTODEC25!AH10</f>
        <v>0</v>
      </c>
      <c r="AI10" s="5">
        <f>HISTOJANV25!AI10+HISTOFEV25!AI10+HISTOMARS25!AI10+HISTOAVRIL25!AI10+HISTOMAI25!AI10+HISTOJUIN25!AI10+HISTOJUIL25!AI10+HISTOAOUT25!AI10+HISTOSEPT25!AI10+HISTOOCT25!AI10+HISTONOV25!AI10+HISTODEC25!AI10</f>
        <v>296000</v>
      </c>
      <c r="AJ10" s="5">
        <f>HISTOJANV25!AJ10+HISTOFEV25!AJ10+HISTOMARS25!AJ10+HISTOAVRIL25!AJ10+HISTOMAI25!AJ10+HISTOJUIN25!AJ10+HISTOJUIL25!AJ10+HISTOAOUT25!AJ10+HISTOSEPT25!AJ10+HISTOOCT25!AJ10+HISTONOV25!AJ10+HISTODEC25!AJ10</f>
        <v>0</v>
      </c>
      <c r="AK10" s="5">
        <f>HISTOJANV25!AK10+HISTOFEV25!AK10+HISTOMARS25!AK10+HISTOAVRIL25!AK10+HISTOMAI25!AK10+HISTOJUIN25!AK10+HISTOJUIL25!AK10+HISTOAOUT25!AK10+HISTOSEPT25!AK10+HISTOOCT25!AK10+HISTONOV25!AK10+HISTODEC25!AK10</f>
        <v>0</v>
      </c>
      <c r="AL10" s="5">
        <f>HISTOJANV25!AL10+HISTOFEV25!AL10+HISTOMARS25!AL10+HISTOAVRIL25!AL10+HISTOMAI25!AL10+HISTOJUIN25!AL10+HISTOJUIL25!AL10+HISTOAOUT25!AL10+HISTOSEPT25!AL10+HISTOOCT25!AL10+HISTONOV25!AL10+HISTODEC25!AL10</f>
        <v>9000</v>
      </c>
      <c r="AM10" s="5">
        <f>HISTOJANV25!AM10+HISTOFEV25!AM10+HISTOMARS25!AM10+HISTOAVRIL25!AM10+HISTOMAI25!AM10+HISTOJUIN25!AM10+HISTOJUIL25!AM10+HISTOAOUT25!AM10+HISTOSEPT25!AM10+HISTOOCT25!AM10+HISTONOV25!AM10+HISTODEC25!AM10</f>
        <v>0</v>
      </c>
      <c r="AN10" s="5">
        <f>HISTOJANV25!AN10+HISTOFEV25!AN10+HISTOMARS25!AN10+HISTOAVRIL25!AN10+HISTOMAI25!AN10+HISTOJUIN25!AN10+HISTOJUIL25!AN10+HISTOAOUT25!AN10+HISTOSEPT25!AN10+HISTOOCT25!AN10+HISTONOV25!AN10+HISTODEC25!AN10</f>
        <v>0</v>
      </c>
      <c r="AO10" s="5">
        <f>HISTOJANV25!AO10+HISTOFEV25!AO10+HISTOMARS25!AO10+HISTOAVRIL25!AO10+HISTOMAI25!AO10+HISTOJUIN25!AO10+HISTOJUIL25!AO10+HISTOAOUT25!AO10+HISTOSEPT25!AO10+HISTOOCT25!AO10+HISTONOV25!AO10+HISTODEC25!AO10</f>
        <v>0</v>
      </c>
      <c r="AP10" s="5"/>
      <c r="AQ10" s="5">
        <f>HISTOJANV25!AQ10+HISTOFEV25!AQ10+HISTOMARS25!AQ10+HISTOAVRIL25!AQ10+HISTOMAI25!AQ10+HISTOJUIN25!AQ10+HISTOJUIL25!AQ10+HISTOAOUT25!AQ10+HISTOSEPT25!AQ10+HISTOOCT25!AQ10+HISTONOV25!AQ10+HISTODEC25!AQ10</f>
        <v>0</v>
      </c>
      <c r="AR10" s="5">
        <f>HISTOJANV25!AR10+HISTOFEV25!AR10+HISTOMARS25!AR10+HISTOAVRIL25!AR10+HISTOMAI25!AR10+HISTOJUIN25!AR10+HISTOJUIL25!AR10+HISTOAOUT25!AR10+HISTOSEPT25!AR10+HISTOOCT25!AR10+HISTONOV25!AR10+HISTODEC25!AR10</f>
        <v>0</v>
      </c>
      <c r="AS10" s="5">
        <f>HISTOJANV25!AS10+HISTOFEV25!AS10+HISTOMARS25!AS10+HISTOAVRIL25!AS10+HISTOMAI25!AS10+HISTOJUIN25!AS10+HISTOJUIL25!AS10+HISTOAOUT25!AS10+HISTOSEPT25!AS10+HISTOOCT25!AS10+HISTONOV25!AS10+HISTODEC25!AS10</f>
        <v>307500</v>
      </c>
      <c r="AT10" s="5">
        <f>HISTOJANV25!AT10+HISTOFEV25!AT10+HISTOMARS25!AT10+HISTOAVRIL25!AT10+HISTOMAI25!AT10+HISTOJUIN25!AT10+HISTOJUIL25!AT10+HISTOAOUT25!AT10+HISTOSEPT25!AT10+HISTOOCT25!AT10+HISTONOV25!AT10+HISTODEC25!AT10</f>
        <v>0</v>
      </c>
      <c r="AU10" s="5">
        <f>HISTOJANV25!AU10+HISTOFEV25!AU10+HISTOMARS25!AU10+HISTOAVRIL25!AU10+HISTOMAI25!AU10+HISTOJUIN25!AU10+HISTOJUIL25!AU10+HISTOAOUT25!AU10+HISTOSEPT25!AU10+HISTOOCT25!AU10+HISTONOV25!AU10+HISTODEC25!AU10</f>
        <v>0</v>
      </c>
      <c r="AV10" s="5">
        <f>HISTOJANV25!AV10+HISTOFEV25!AV10+HISTOMARS25!AV10+HISTOAVRIL25!AV10+HISTOMAI25!AV10+HISTOJUIN25!AV10+HISTOJUIL25!AV10+HISTOAOUT25!AV10+HISTOSEPT25!AV10+HISTOOCT25!AV10+HISTONOV25!AV10+HISTODEC25!AV10</f>
        <v>0</v>
      </c>
      <c r="AW10" s="5">
        <f>HISTOJANV25!AW10+HISTOFEV25!AW10+HISTOMARS25!AW10+HISTOAVRIL25!AW10+HISTOMAI25!AW10+HISTOJUIN25!AW10+HISTOJUIL25!AW10+HISTOAOUT25!AW10+HISTOSEPT25!AW10+HISTOOCT25!AW10+HISTONOV25!AW10+HISTODEC25!AW10</f>
        <v>566000</v>
      </c>
      <c r="AX10" s="5">
        <f>HISTOJANV25!AX10+HISTOFEV25!AX10+HISTOMARS25!AX10+HISTOAVRIL25!AX10+HISTOMAI25!AX10+HISTOJUIN25!AX10+HISTOJUIL25!AX10+HISTOAOUT25!AX10+HISTOSEPT25!AX10+HISTOOCT25!AX10+HISTONOV25!AX10+HISTODEC25!AX10</f>
        <v>0</v>
      </c>
      <c r="AY10" s="5">
        <f>HISTOJANV25!AY10+HISTOFEV25!AY10+HISTOMARS25!AY10+HISTOAVRIL25!AY10+HISTOMAI25!AY10+HISTOJUIN25!AY10+HISTOJUIL25!AY10+HISTOAOUT25!AY10+HISTOSEPT25!AY10+HISTOOCT25!AY10+HISTONOV25!AY10+HISTODEC25!AY10</f>
        <v>0</v>
      </c>
      <c r="AZ10" s="5">
        <f>HISTOJANV25!AZ10+HISTOFEV25!AZ10+HISTOMARS25!AZ10+HISTOAVRIL25!AZ10+HISTOMAI25!AZ10+HISTOJUIN25!AZ10+HISTOJUIL25!AZ10+HISTOAOUT25!AZ10+HISTOSEPT25!AZ10+HISTOOCT25!AZ10+HISTONOV25!AZ10+HISTODEC25!AZ10</f>
        <v>1446000</v>
      </c>
      <c r="BA10" s="5">
        <f>HISTOJANV25!BA10+HISTOFEV25!BA10+HISTOMARS25!BA10+HISTOAVRIL25!BA10+HISTOMAI25!BA10+HISTOJUIN25!BA10+HISTOJUIL25!BA10+HISTOAOUT25!BA10+HISTOSEPT25!BA10+HISTOOCT25!BA10+HISTONOV25!BA10+HISTODEC25!BA10</f>
        <v>1090000</v>
      </c>
      <c r="BB10" s="5">
        <f>HISTOJANV25!BB10+HISTOFEV25!BB10+HISTOMARS25!BB10+HISTOAVRIL25!BB10+HISTOMAI25!BB10+HISTOJUIN25!BB10+HISTOJUIL25!BB10+HISTOAOUT25!BB10+HISTOSEPT25!BB10+HISTOOCT25!BB10+HISTONOV25!BB10+HISTODEC25!BB10</f>
        <v>0</v>
      </c>
      <c r="BC10" s="5">
        <f>HISTOJANV25!BC10+HISTOFEV25!BC10+HISTOMARS25!BC10+HISTOAVRIL25!BC10+HISTOMAI25!BC10+HISTOJUIN25!BC10+HISTOJUIL25!BC10+HISTOAOUT25!BC10+HISTOSEPT25!BC10+HISTOOCT25!BC10+HISTONOV25!BC10+HISTODEC25!BC10</f>
        <v>0</v>
      </c>
      <c r="BD10" s="5">
        <f>HISTOJANV25!BD10+HISTOFEV25!BD10+HISTOMARS25!BD10+HISTOAVRIL25!BD10+HISTOMAI25!BD10+HISTOJUIN25!BD10+HISTOJUIL25!BD10+HISTOAOUT25!BD10+HISTOSEPT25!BD10+HISTOOCT25!BD10+HISTONOV25!BD10+HISTODEC25!BD10</f>
        <v>356000</v>
      </c>
      <c r="BE10" s="5"/>
      <c r="BF10" s="5">
        <f>HISTOJANV25!BF10+HISTOFEV25!BF10+HISTOMARS25!BF10+HISTOAVRIL25!BF10+HISTOMAI25!BF10+HISTOJUIN25!BF10+HISTOJUIL25!BF10+HISTOAOUT25!BF10+HISTOSEPT25!BF10+HISTOOCT25!BF10+HISTONOV25!BF10+HISTODEC25!BF10</f>
        <v>120000</v>
      </c>
      <c r="BG10" s="5">
        <f>HISTOJANV25!BG10+HISTOFEV25!BG10+HISTOMARS25!BG10+HISTOAVRIL25!BG10+HISTOMAI25!BG10+HISTOJUIN25!BG10+HISTOJUIL25!BG10+HISTOAOUT25!BG10+HISTOSEPT25!BG10+HISTOOCT25!BG10+HISTONOV25!BG10+HISTODEC25!BG10</f>
        <v>78</v>
      </c>
      <c r="BH10" s="5">
        <f>HISTOJANV25!BH10+HISTOFEV25!BH10+HISTOMARS25!BH10+HISTOAVRIL25!BH10+HISTOMAI25!BH10+HISTOJUIN25!BH10+HISTOJUIL25!BH10+HISTOAOUT25!BH10+HISTOSEPT25!BH10+HISTOOCT25!BH10+HISTONOV25!BH10+HISTODEC25!BH10</f>
        <v>0</v>
      </c>
      <c r="BI10" s="5">
        <f>HISTOJANV25!BI10+HISTOFEV25!BI10+HISTOMARS25!BI10+HISTOAVRIL25!BI10+HISTOMAI25!BI10+HISTOJUIN25!BI10+HISTOJUIL25!BI10+HISTOAOUT25!BI10+HISTOSEPT25!BI10+HISTOOCT25!BI10+HISTONOV25!BI10+HISTODEC25!BI10</f>
        <v>0</v>
      </c>
      <c r="BJ10" s="5">
        <f>HISTOJANV25!BJ10+HISTOFEV25!BJ10+HISTOMARS25!BJ10+HISTOAVRIL25!BJ10+HISTOMAI25!BJ10+HISTOJUIN25!BJ10+HISTOJUIL25!BJ10+HISTOAOUT25!BJ10+HISTOSEPT25!BJ10+HISTOOCT25!BJ10+HISTONOV25!BJ10+HISTODEC25!BJ10</f>
        <v>0</v>
      </c>
      <c r="BK10" s="5">
        <f>HISTOJANV25!BK10+HISTOFEV25!BK10+HISTOMARS25!BK10+HISTOAVRIL25!BK10+HISTOMAI25!BK10+HISTOJUIN25!BK10+HISTOJUIL25!BK10+HISTOAOUT25!BK10+HISTOSEPT25!BK10+HISTOOCT25!BK10+HISTONOV25!BK10+HISTODEC25!BK10</f>
        <v>0</v>
      </c>
      <c r="BL10" s="5">
        <f>HISTOJANV25!BL10+HISTOFEV25!BL10+HISTOMARS25!BL10+HISTOAVRIL25!BL10+HISTOMAI25!BL10+HISTOJUIN25!BL10+HISTOJUIL25!BL10+HISTOAOUT25!BL10+HISTOSEPT25!BL10+HISTOOCT25!BL10+HISTONOV25!BL10+HISTODEC25!BL10</f>
        <v>0</v>
      </c>
      <c r="BM10" s="5">
        <f>HISTOJANV25!BM10+HISTOFEV25!BM10+HISTOMARS25!BM10+HISTOAVRIL25!BM10+HISTOMAI25!BM10+HISTOJUIN25!BM10+HISTOJUIL25!BM10+HISTOAOUT25!BM10+HISTOSEPT25!BM10+HISTOOCT25!BM10+HISTONOV25!BM10+HISTODEC25!BM10</f>
        <v>0</v>
      </c>
      <c r="BN10" s="5">
        <f>HISTOJANV25!BN10+HISTOFEV25!BN10+HISTOMARS25!BN10+HISTOAVRIL25!BN10+HISTOMAI25!BN10+HISTOJUIN25!BN10+HISTOJUIL25!BN10+HISTOAOUT25!BN10+HISTOSEPT25!BN10+HISTOOCT25!BN10+HISTONOV25!BN10+HISTODEC25!BN10</f>
        <v>0</v>
      </c>
      <c r="BO10" t="s">
        <v>118</v>
      </c>
      <c r="BP10" t="s">
        <v>114</v>
      </c>
      <c r="BQ10" s="6"/>
    </row>
    <row r="11" spans="1:69" ht="17.5" customHeight="1" x14ac:dyDescent="0.35">
      <c r="A11" s="1" t="s">
        <v>15</v>
      </c>
      <c r="B11" s="1" t="str">
        <f>VLOOKUP(A11,[5]LISTADHERENT!A$5:H$50,3,0)</f>
        <v>DJOUKWE NANGUEN GUY BLAISE</v>
      </c>
      <c r="C11" s="5">
        <f>HISTOJANV25!C11+HISTOFEV25!C11+HISTOMARS25!C11+HISTOAVRIL25!C11+HISTOMAI25!C11+HISTOJUIN25!C11+HISTOJUIL25!C11+HISTOAOUT25!C11+HISTOSEPT25!C11+HISTOOCT25!C11+HISTONOV25!C11+HISTODEC25!C11</f>
        <v>-1761500</v>
      </c>
      <c r="D11" s="5">
        <f>HISTOJANV25!D11+HISTOFEV25!D11+HISTOMARS25!D11+HISTOAVRIL25!D11+HISTOMAI25!D11+HISTOJUIN25!D11+HISTOJUIL25!D11+HISTOAOUT25!D11+HISTOSEPT25!D11+HISTOOCT25!D11+HISTONOV25!D11+HISTODEC25!D11</f>
        <v>2041375</v>
      </c>
      <c r="E11" s="5">
        <f>HISTOJANV25!E11+HISTOFEV25!E11+HISTOMARS25!E11+HISTOAVRIL25!E11+HISTOMAI25!E11+HISTOJUIN25!E11+HISTOJUIL25!E11+HISTOAOUT25!E11+HISTOSEPT25!E11+HISTOOCT25!E11+HISTONOV25!E11+HISTODEC25!E11</f>
        <v>1407000</v>
      </c>
      <c r="F11" s="5">
        <f>HISTOJANV25!F11+HISTOFEV25!F11+HISTOMARS25!F11+HISTOAVRIL25!F11+HISTOMAI25!F11+HISTOJUIN25!F11+HISTOJUIL25!F11+HISTOAOUT25!F11+HISTOSEPT25!F11+HISTOOCT25!F11+HISTONOV25!F11+HISTODEC25!F11</f>
        <v>268500</v>
      </c>
      <c r="G11" s="5">
        <f>HISTOJANV25!G11+HISTOFEV25!G11+HISTOMARS25!G11+HISTOAVRIL25!G11+HISTOMAI25!G11+HISTOJUIN25!G11+HISTOJUIL25!G11+HISTOAOUT25!G11+HISTOSEPT25!G11+HISTOOCT25!G11+HISTONOV25!G11+HISTODEC25!G11</f>
        <v>250375</v>
      </c>
      <c r="H11" s="5">
        <f>HISTOJANV25!H11+HISTOFEV25!H11+HISTOMARS25!H11+HISTOAVRIL25!H11+HISTOMAI25!H11+HISTOJUIN25!H11+HISTOJUIL25!H11+HISTOAOUT25!H11+HISTOSEPT25!H11+HISTOOCT25!H11+HISTONOV25!H11+HISTODEC25!H11</f>
        <v>3000</v>
      </c>
      <c r="I11" s="5"/>
      <c r="J11" s="5">
        <f>HISTOJANV25!J11+HISTOFEV25!J11+HISTOMARS25!J11+HISTOAVRIL25!J11+HISTOMAI25!J11+HISTOJUIN25!J11+HISTOJUIL25!J11+HISTOAOUT25!J11+HISTOSEPT25!J11+HISTOOCT25!J11+HISTONOV25!J11+HISTODEC25!J11</f>
        <v>12</v>
      </c>
      <c r="K11" s="5">
        <f>HISTOJANV25!K11+HISTOFEV25!K11+HISTOMARS25!K11+HISTOAVRIL25!K11+HISTOMAI25!K11+HISTOJUIN25!K11+HISTOJUIL25!K11+HISTOAOUT25!K11+HISTOSEPT25!K11+HISTOOCT25!K11+HISTONOV25!K11+HISTODEC25!K11</f>
        <v>600000</v>
      </c>
      <c r="L11" s="5">
        <f>HISTOJANV25!L11+HISTOFEV25!L11+HISTOMARS25!L11+HISTOAVRIL25!L11+HISTOMAI25!L11+HISTOJUIN25!L11+HISTOJUIL25!L11+HISTOAOUT25!L11+HISTOSEPT25!L11+HISTOOCT25!L11+HISTONOV25!L11+HISTODEC25!L11</f>
        <v>0</v>
      </c>
      <c r="M11" s="5">
        <f>HISTOJANV25!M11+HISTOFEV25!M11+HISTOMARS25!M11+HISTOAVRIL25!M11+HISTOMAI25!M11+HISTOJUIN25!M11+HISTOJUIL25!M11+HISTOAOUT25!M11+HISTOSEPT25!M11+HISTOOCT25!M11+HISTONOV25!M11+HISTODEC25!M11</f>
        <v>0</v>
      </c>
      <c r="N11" s="5">
        <f>HISTOJANV25!N11+HISTOFEV25!N11+HISTOMARS25!N11+HISTOAVRIL25!N11+HISTOMAI25!N11+HISTOJUIN25!N11+HISTOJUIL25!N11+HISTOAOUT25!N11+HISTOSEPT25!N11+HISTOOCT25!N11+HISTONOV25!N11+HISTODEC25!N11</f>
        <v>12</v>
      </c>
      <c r="O11" s="5">
        <f>HISTOJANV25!O11+HISTOFEV25!O11+HISTOMARS25!O11+HISTOAVRIL25!O11+HISTOMAI25!O11+HISTOJUIN25!O11+HISTOJUIL25!O11+HISTOAOUT25!O11+HISTOSEPT25!O11+HISTOOCT25!O11+HISTONOV25!O11+HISTODEC25!O11</f>
        <v>1200000</v>
      </c>
      <c r="P11" s="5">
        <f>HISTOJANV25!P11+HISTOFEV25!P11+HISTOMARS25!P11+HISTOAVRIL25!P11+HISTOMAI25!P11+HISTOJUIN25!P11+HISTOJUIL25!P11+HISTOAOUT25!P11+HISTOSEPT25!P11+HISTOOCT25!P11+HISTONOV25!P11+HISTODEC25!P11</f>
        <v>133000</v>
      </c>
      <c r="Q11" s="5">
        <f>HISTOJANV25!Q11+HISTOFEV25!Q11+HISTOMARS25!Q11+HISTOAVRIL25!Q11+HISTOMAI25!Q11+HISTOJUIN25!Q11+HISTOJUIL25!Q11+HISTOAOUT25!Q11+HISTOSEPT25!Q11+HISTOOCT25!Q11+HISTONOV25!Q11+HISTODEC25!Q11</f>
        <v>0</v>
      </c>
      <c r="R11" s="5">
        <f>HISTOJANV25!R11+HISTOFEV25!R11+HISTOMARS25!R11+HISTOAVRIL25!R11+HISTOMAI25!R11+HISTOJUIN25!R11+HISTOJUIL25!R11+HISTOAOUT25!R11+HISTOSEPT25!R11+HISTOOCT25!R11+HISTONOV25!R11+HISTODEC25!R11</f>
        <v>1157000</v>
      </c>
      <c r="S11" s="5">
        <f>HISTOJANV25!S11+HISTOFEV25!S11+HISTOMARS25!S11+HISTOAVRIL25!S11+HISTOMAI25!S11+HISTOJUIN25!S11+HISTOJUIL25!S11+HISTOAOUT25!S11+HISTOSEPT25!S11+HISTOOCT25!S11+HISTONOV25!S11+HISTODEC25!S11</f>
        <v>2135000</v>
      </c>
      <c r="T11" s="5"/>
      <c r="U11" s="5">
        <f>HISTOJANV25!U11+HISTOFEV25!U11+HISTOMARS25!U11+HISTOAVRIL25!U11+HISTOMAI25!U11+HISTOJUIN25!U11+HISTOJUIL25!U11+HISTOAOUT25!U11+HISTOSEPT25!U11+HISTOOCT25!U11+HISTONOV25!U11+HISTODEC25!U11</f>
        <v>5478375</v>
      </c>
      <c r="V11" s="5">
        <f>HISTOJANV25!V11+HISTOFEV25!V11+HISTOMARS25!V11+HISTOAVRIL25!V11+HISTOMAI25!V11+HISTOJUIN25!V11+HISTOJUIL25!V11+HISTOAOUT25!V11+HISTOSEPT25!V11+HISTOOCT25!V11+HISTONOV25!V11+HISTODEC25!V11</f>
        <v>0</v>
      </c>
      <c r="W11" s="5">
        <f>HISTOJANV25!W11+HISTOFEV25!W11+HISTOMARS25!W11+HISTOAVRIL25!W11+HISTOMAI25!W11+HISTOJUIN25!W11+HISTOJUIL25!W11+HISTOAOUT25!W11+HISTOSEPT25!W11+HISTOOCT25!W11+HISTONOV25!W11+HISTODEC25!W11</f>
        <v>0</v>
      </c>
      <c r="X11" s="5">
        <f>HISTOJANV25!X11+HISTOFEV25!X11+HISTOMARS25!X11+HISTOAVRIL25!X11+HISTOMAI25!X11+HISTOJUIN25!X11+HISTOJUIL25!X11+HISTOAOUT25!X11+HISTOSEPT25!X11+HISTOOCT25!X11+HISTONOV25!X11+HISTODEC25!X11</f>
        <v>0</v>
      </c>
      <c r="Y11" s="5">
        <f>HISTOJANV25!Y11+HISTOFEV25!Y11+HISTOMARS25!Y11+HISTOAVRIL25!Y11+HISTOMAI25!Y11+HISTOJUIN25!Y11+HISTOJUIL25!Y11+HISTOAOUT25!Y11+HISTOSEPT25!Y11+HISTOOCT25!Y11+HISTONOV25!Y11+HISTODEC25!Y11</f>
        <v>1800000</v>
      </c>
      <c r="Z11" s="5">
        <f>HISTOJANV25!Z11+HISTOFEV25!Z11+HISTOMARS25!Z11+HISTOAVRIL25!Z11+HISTOMAI25!Z11+HISTOJUIN25!Z11+HISTOJUIL25!Z11+HISTOAOUT25!Z11+HISTOSEPT25!Z11+HISTOOCT25!Z11+HISTONOV25!Z11+HISTODEC25!Z11</f>
        <v>2000000</v>
      </c>
      <c r="AA11" s="5"/>
      <c r="AB11" s="5">
        <f>HISTOJANV25!AB11+HISTOFEV25!AB11+HISTOMARS25!AB11+HISTOAVRIL25!AB11+HISTOMAI25!AB11+HISTOJUIN25!AB11+HISTOJUIL25!AB11+HISTOAOUT25!AB11+HISTOSEPT25!AB11+HISTOOCT25!AB11+HISTONOV25!AB11+HISTODEC25!AB11</f>
        <v>0</v>
      </c>
      <c r="AC11" s="5">
        <f>HISTOJANV25!AC11+HISTOFEV25!AC11+HISTOMARS25!AC11+HISTOAVRIL25!AC11+HISTOMAI25!AC11+HISTOJUIN25!AC11+HISTOJUIL25!AC11+HISTOAOUT25!AC11+HISTOSEPT25!AC11+HISTOOCT25!AC11+HISTONOV25!AC11+HISTODEC25!AC11</f>
        <v>6500</v>
      </c>
      <c r="AD11" s="5">
        <f>HISTOJANV25!AD11+HISTOFEV25!AD11+HISTOMARS25!AD11+HISTOAVRIL25!AD11+HISTOMAI25!AD11+HISTOJUIN25!AD11+HISTOJUIL25!AD11+HISTOAOUT25!AD11+HISTOSEPT25!AD11+HISTOOCT25!AD11+HISTONOV25!AD11+HISTODEC25!AD11</f>
        <v>0</v>
      </c>
      <c r="AE11" s="5">
        <f>HISTOJANV25!AE11+HISTOFEV25!AE11+HISTOMARS25!AE11+HISTOAVRIL25!AE11+HISTOMAI25!AE11+HISTOJUIN25!AE11+HISTOJUIL25!AE11+HISTOAOUT25!AE11+HISTOSEPT25!AE11+HISTOOCT25!AE11+HISTONOV25!AE11+HISTODEC25!AE11</f>
        <v>35000</v>
      </c>
      <c r="AF11" s="5"/>
      <c r="AG11" s="5">
        <f>HISTOJANV25!AG11+HISTOFEV25!AG11+HISTOMARS25!AG11+HISTOAVRIL25!AG11+HISTOMAI25!AG11+HISTOJUIN25!AG11+HISTOJUIL25!AG11+HISTOAOUT25!AG11+HISTOSEPT25!AG11+HISTOOCT25!AG11+HISTONOV25!AG11+HISTODEC25!AG11</f>
        <v>0</v>
      </c>
      <c r="AH11" s="5">
        <f>HISTOJANV25!AH11+HISTOFEV25!AH11+HISTOMARS25!AH11+HISTOAVRIL25!AH11+HISTOMAI25!AH11+HISTOJUIN25!AH11+HISTOJUIL25!AH11+HISTOAOUT25!AH11+HISTOSEPT25!AH11+HISTOOCT25!AH11+HISTONOV25!AH11+HISTODEC25!AH11</f>
        <v>0</v>
      </c>
      <c r="AI11" s="5">
        <f>HISTOJANV25!AI11+HISTOFEV25!AI11+HISTOMARS25!AI11+HISTOAVRIL25!AI11+HISTOMAI25!AI11+HISTOJUIN25!AI11+HISTOJUIL25!AI11+HISTOAOUT25!AI11+HISTOSEPT25!AI11+HISTOOCT25!AI11+HISTONOV25!AI11+HISTODEC25!AI11</f>
        <v>130500</v>
      </c>
      <c r="AJ11" s="5">
        <f>HISTOJANV25!AJ11+HISTOFEV25!AJ11+HISTOMARS25!AJ11+HISTOAVRIL25!AJ11+HISTOMAI25!AJ11+HISTOJUIN25!AJ11+HISTOJUIL25!AJ11+HISTOAOUT25!AJ11+HISTOSEPT25!AJ11+HISTOOCT25!AJ11+HISTONOV25!AJ11+HISTODEC25!AJ11</f>
        <v>0</v>
      </c>
      <c r="AK11" s="5">
        <f>HISTOJANV25!AK11+HISTOFEV25!AK11+HISTOMARS25!AK11+HISTOAVRIL25!AK11+HISTOMAI25!AK11+HISTOJUIN25!AK11+HISTOJUIL25!AK11+HISTOAOUT25!AK11+HISTOSEPT25!AK11+HISTOOCT25!AK11+HISTONOV25!AK11+HISTODEC25!AK11</f>
        <v>1025000</v>
      </c>
      <c r="AL11" s="5">
        <f>HISTOJANV25!AL11+HISTOFEV25!AL11+HISTOMARS25!AL11+HISTOAVRIL25!AL11+HISTOMAI25!AL11+HISTOJUIN25!AL11+HISTOJUIL25!AL11+HISTOAOUT25!AL11+HISTOSEPT25!AL11+HISTOOCT25!AL11+HISTONOV25!AL11+HISTODEC25!AL11</f>
        <v>2500</v>
      </c>
      <c r="AM11" s="5">
        <f>HISTOJANV25!AM11+HISTOFEV25!AM11+HISTOMARS25!AM11+HISTOAVRIL25!AM11+HISTOMAI25!AM11+HISTOJUIN25!AM11+HISTOJUIL25!AM11+HISTOAOUT25!AM11+HISTOSEPT25!AM11+HISTOOCT25!AM11+HISTONOV25!AM11+HISTODEC25!AM11</f>
        <v>0</v>
      </c>
      <c r="AN11" s="5">
        <f>HISTOJANV25!AN11+HISTOFEV25!AN11+HISTOMARS25!AN11+HISTOAVRIL25!AN11+HISTOMAI25!AN11+HISTOJUIN25!AN11+HISTOJUIL25!AN11+HISTOAOUT25!AN11+HISTOSEPT25!AN11+HISTOOCT25!AN11+HISTONOV25!AN11+HISTODEC25!AN11</f>
        <v>25500</v>
      </c>
      <c r="AO11" s="5">
        <f>HISTOJANV25!AO11+HISTOFEV25!AO11+HISTOMARS25!AO11+HISTOAVRIL25!AO11+HISTOMAI25!AO11+HISTOJUIN25!AO11+HISTOJUIL25!AO11+HISTOAOUT25!AO11+HISTOSEPT25!AO11+HISTOOCT25!AO11+HISTONOV25!AO11+HISTODEC25!AO11</f>
        <v>0</v>
      </c>
      <c r="AP11" s="5"/>
      <c r="AQ11" s="5">
        <f>HISTOJANV25!AQ11+HISTOFEV25!AQ11+HISTOMARS25!AQ11+HISTOAVRIL25!AQ11+HISTOMAI25!AQ11+HISTOJUIN25!AQ11+HISTOJUIL25!AQ11+HISTOAOUT25!AQ11+HISTOSEPT25!AQ11+HISTOOCT25!AQ11+HISTONOV25!AQ11+HISTODEC25!AQ11</f>
        <v>0</v>
      </c>
      <c r="AR11" s="5">
        <f>HISTOJANV25!AR11+HISTOFEV25!AR11+HISTOMARS25!AR11+HISTOAVRIL25!AR11+HISTOMAI25!AR11+HISTOJUIN25!AR11+HISTOJUIL25!AR11+HISTOAOUT25!AR11+HISTOSEPT25!AR11+HISTOOCT25!AR11+HISTONOV25!AR11+HISTODEC25!AR11</f>
        <v>0</v>
      </c>
      <c r="AS11" s="5">
        <f>HISTOJANV25!AS11+HISTOFEV25!AS11+HISTOMARS25!AS11+HISTOAVRIL25!AS11+HISTOMAI25!AS11+HISTOJUIN25!AS11+HISTOJUIL25!AS11+HISTOAOUT25!AS11+HISTOSEPT25!AS11+HISTOOCT25!AS11+HISTONOV25!AS11+HISTODEC25!AS11</f>
        <v>550375</v>
      </c>
      <c r="AT11" s="5">
        <f>HISTOJANV25!AT11+HISTOFEV25!AT11+HISTOMARS25!AT11+HISTOAVRIL25!AT11+HISTOMAI25!AT11+HISTOJUIN25!AT11+HISTOJUIL25!AT11+HISTOAOUT25!AT11+HISTOSEPT25!AT11+HISTOOCT25!AT11+HISTONOV25!AT11+HISTODEC25!AT11</f>
        <v>0</v>
      </c>
      <c r="AU11" s="5">
        <f>HISTOJANV25!AU11+HISTOFEV25!AU11+HISTOMARS25!AU11+HISTOAVRIL25!AU11+HISTOMAI25!AU11+HISTOJUIN25!AU11+HISTOJUIL25!AU11+HISTOAOUT25!AU11+HISTOSEPT25!AU11+HISTOOCT25!AU11+HISTONOV25!AU11+HISTODEC25!AU11</f>
        <v>0</v>
      </c>
      <c r="AV11" s="5">
        <f>HISTOJANV25!AV11+HISTOFEV25!AV11+HISTOMARS25!AV11+HISTOAVRIL25!AV11+HISTOMAI25!AV11+HISTOJUIN25!AV11+HISTOJUIL25!AV11+HISTOAOUT25!AV11+HISTOSEPT25!AV11+HISTOOCT25!AV11+HISTONOV25!AV11+HISTODEC25!AV11</f>
        <v>0</v>
      </c>
      <c r="AW11" s="5">
        <f>HISTOJANV25!AW11+HISTOFEV25!AW11+HISTOMARS25!AW11+HISTOAVRIL25!AW11+HISTOMAI25!AW11+HISTOJUIN25!AW11+HISTOJUIL25!AW11+HISTOAOUT25!AW11+HISTOSEPT25!AW11+HISTOOCT25!AW11+HISTONOV25!AW11+HISTODEC25!AW11</f>
        <v>424000</v>
      </c>
      <c r="AX11" s="5">
        <f>HISTOJANV25!AX11+HISTOFEV25!AX11+HISTOMARS25!AX11+HISTOAVRIL25!AX11+HISTOMAI25!AX11+HISTOJUIN25!AX11+HISTOJUIL25!AX11+HISTOAOUT25!AX11+HISTOSEPT25!AX11+HISTOOCT25!AX11+HISTONOV25!AX11+HISTODEC25!AX11</f>
        <v>0</v>
      </c>
      <c r="AY11" s="5">
        <f>HISTOJANV25!AY11+HISTOFEV25!AY11+HISTOMARS25!AY11+HISTOAVRIL25!AY11+HISTOMAI25!AY11+HISTOJUIN25!AY11+HISTOJUIL25!AY11+HISTOAOUT25!AY11+HISTOSEPT25!AY11+HISTOOCT25!AY11+HISTONOV25!AY11+HISTODEC25!AY11</f>
        <v>2190000</v>
      </c>
      <c r="AZ11" s="5">
        <f>HISTOJANV25!AZ11+HISTOFEV25!AZ11+HISTOMARS25!AZ11+HISTOAVRIL25!AZ11+HISTOMAI25!AZ11+HISTOJUIN25!AZ11+HISTOJUIL25!AZ11+HISTOAOUT25!AZ11+HISTOSEPT25!AZ11+HISTOOCT25!AZ11+HISTONOV25!AZ11+HISTODEC25!AZ11</f>
        <v>4369000</v>
      </c>
      <c r="BA11" s="5">
        <f>HISTOJANV25!BA11+HISTOFEV25!BA11+HISTOMARS25!BA11+HISTOAVRIL25!BA11+HISTOMAI25!BA11+HISTOJUIN25!BA11+HISTOJUIL25!BA11+HISTOAOUT25!BA11+HISTOSEPT25!BA11+HISTOOCT25!BA11+HISTONOV25!BA11+HISTODEC25!BA11</f>
        <v>1568500</v>
      </c>
      <c r="BB11" s="5">
        <f>HISTOJANV25!BB11+HISTOFEV25!BB11+HISTOMARS25!BB11+HISTOAVRIL25!BB11+HISTOMAI25!BB11+HISTOJUIN25!BB11+HISTOJUIL25!BB11+HISTOAOUT25!BB11+HISTOSEPT25!BB11+HISTOOCT25!BB11+HISTONOV25!BB11+HISTODEC25!BB11</f>
        <v>0</v>
      </c>
      <c r="BC11" s="5">
        <f>HISTOJANV25!BC11+HISTOFEV25!BC11+HISTOMARS25!BC11+HISTOAVRIL25!BC11+HISTOMAI25!BC11+HISTOJUIN25!BC11+HISTOJUIL25!BC11+HISTOAOUT25!BC11+HISTOSEPT25!BC11+HISTOOCT25!BC11+HISTONOV25!BC11+HISTODEC25!BC11</f>
        <v>268500</v>
      </c>
      <c r="BD11" s="5">
        <f>HISTOJANV25!BD11+HISTOFEV25!BD11+HISTOMARS25!BD11+HISTOAVRIL25!BD11+HISTOMAI25!BD11+HISTOJUIN25!BD11+HISTOJUIL25!BD11+HISTOAOUT25!BD11+HISTOSEPT25!BD11+HISTOOCT25!BD11+HISTONOV25!BD11+HISTODEC25!BD11</f>
        <v>976500</v>
      </c>
      <c r="BE11" s="5"/>
      <c r="BF11" s="5">
        <f>HISTOJANV25!BF11+HISTOFEV25!BF11+HISTOMARS25!BF11+HISTOAVRIL25!BF11+HISTOMAI25!BF11+HISTOJUIN25!BF11+HISTOJUIL25!BF11+HISTOAOUT25!BF11+HISTOSEPT25!BF11+HISTOOCT25!BF11+HISTONOV25!BF11+HISTODEC25!BF11</f>
        <v>345000</v>
      </c>
      <c r="BG11" s="5">
        <f>HISTOJANV25!BG11+HISTOFEV25!BG11+HISTOMARS25!BG11+HISTOAVRIL25!BG11+HISTOMAI25!BG11+HISTOJUIN25!BG11+HISTOJUIL25!BG11+HISTOAOUT25!BG11+HISTOSEPT25!BG11+HISTOOCT25!BG11+HISTONOV25!BG11+HISTODEC25!BG11</f>
        <v>78</v>
      </c>
      <c r="BH11" s="5">
        <f>HISTOJANV25!BH11+HISTOFEV25!BH11+HISTOMARS25!BH11+HISTOAVRIL25!BH11+HISTOMAI25!BH11+HISTOJUIN25!BH11+HISTOJUIL25!BH11+HISTOAOUT25!BH11+HISTOSEPT25!BH11+HISTOOCT25!BH11+HISTONOV25!BH11+HISTODEC25!BH11</f>
        <v>0</v>
      </c>
      <c r="BI11" s="5">
        <f>HISTOJANV25!BI11+HISTOFEV25!BI11+HISTOMARS25!BI11+HISTOAVRIL25!BI11+HISTOMAI25!BI11+HISTOJUIN25!BI11+HISTOJUIL25!BI11+HISTOAOUT25!BI11+HISTOSEPT25!BI11+HISTOOCT25!BI11+HISTONOV25!BI11+HISTODEC25!BI11</f>
        <v>0</v>
      </c>
      <c r="BJ11" s="5">
        <f>HISTOJANV25!BJ11+HISTOFEV25!BJ11+HISTOMARS25!BJ11+HISTOAVRIL25!BJ11+HISTOMAI25!BJ11+HISTOJUIN25!BJ11+HISTOJUIL25!BJ11+HISTOAOUT25!BJ11+HISTOSEPT25!BJ11+HISTOOCT25!BJ11+HISTONOV25!BJ11+HISTODEC25!BJ11</f>
        <v>0</v>
      </c>
      <c r="BK11" s="5">
        <f>HISTOJANV25!BK11+HISTOFEV25!BK11+HISTOMARS25!BK11+HISTOAVRIL25!BK11+HISTOMAI25!BK11+HISTOJUIN25!BK11+HISTOJUIL25!BK11+HISTOAOUT25!BK11+HISTOSEPT25!BK11+HISTOOCT25!BK11+HISTONOV25!BK11+HISTODEC25!BK11</f>
        <v>100000</v>
      </c>
      <c r="BL11" s="5">
        <f>HISTOJANV25!BL11+HISTOFEV25!BL11+HISTOMARS25!BL11+HISTOAVRIL25!BL11+HISTOMAI25!BL11+HISTOJUIN25!BL11+HISTOJUIL25!BL11+HISTOAOUT25!BL11+HISTOSEPT25!BL11+HISTOOCT25!BL11+HISTONOV25!BL11+HISTODEC25!BL11</f>
        <v>0</v>
      </c>
      <c r="BM11" s="5">
        <f>HISTOJANV25!BM11+HISTOFEV25!BM11+HISTOMARS25!BM11+HISTOAVRIL25!BM11+HISTOMAI25!BM11+HISTOJUIN25!BM11+HISTOJUIL25!BM11+HISTOAOUT25!BM11+HISTOSEPT25!BM11+HISTOOCT25!BM11+HISTONOV25!BM11+HISTODEC25!BM11</f>
        <v>0</v>
      </c>
      <c r="BN11" s="5">
        <f>HISTOJANV25!BN11+HISTOFEV25!BN11+HISTOMARS25!BN11+HISTOAVRIL25!BN11+HISTOMAI25!BN11+HISTOJUIN25!BN11+HISTOJUIL25!BN11+HISTOAOUT25!BN11+HISTOSEPT25!BN11+HISTOOCT25!BN11+HISTONOV25!BN11+HISTODEC25!BN11</f>
        <v>0</v>
      </c>
      <c r="BO11" t="s">
        <v>119</v>
      </c>
      <c r="BP11" t="s">
        <v>114</v>
      </c>
      <c r="BQ11" s="6"/>
    </row>
    <row r="12" spans="1:69" ht="17.5" x14ac:dyDescent="0.35">
      <c r="A12" s="1" t="s">
        <v>16</v>
      </c>
      <c r="B12" s="1" t="str">
        <f>VLOOKUP(A12,[5]LISTADHERENT!A$5:H$50,3,0)</f>
        <v>DJUOMBESSY ANTOINE</v>
      </c>
      <c r="C12" s="5">
        <f>HISTOJANV25!C12+HISTOFEV25!C12+HISTOMARS25!C12+HISTOAVRIL25!C12+HISTOMAI25!C12+HISTOJUIN25!C12+HISTOJUIL25!C12+HISTOAOUT25!C12+HISTOSEPT25!C12+HISTOOCT25!C12+HISTONOV25!C12+HISTODEC25!C12</f>
        <v>-1321500</v>
      </c>
      <c r="D12" s="5">
        <f>HISTOJANV25!D12+HISTOFEV25!D12+HISTOMARS25!D12+HISTOAVRIL25!D12+HISTOMAI25!D12+HISTOJUIN25!D12+HISTOJUIL25!D12+HISTOAOUT25!D12+HISTOSEPT25!D12+HISTOOCT25!D12+HISTONOV25!D12+HISTODEC25!D12</f>
        <v>5607000</v>
      </c>
      <c r="E12" s="5">
        <f>HISTOJANV25!E12+HISTOFEV25!E12+HISTOMARS25!E12+HISTOAVRIL25!E12+HISTOMAI25!E12+HISTOJUIN25!E12+HISTOJUIL25!E12+HISTOAOUT25!E12+HISTOSEPT25!E12+HISTOOCT25!E12+HISTONOV25!E12+HISTODEC25!E12</f>
        <v>132500</v>
      </c>
      <c r="F12" s="5">
        <f>HISTOJANV25!F12+HISTOFEV25!F12+HISTOMARS25!F12+HISTOAVRIL25!F12+HISTOMAI25!F12+HISTOJUIN25!F12+HISTOJUIL25!F12+HISTOAOUT25!F12+HISTOSEPT25!F12+HISTOOCT25!F12+HISTONOV25!F12+HISTODEC25!F12</f>
        <v>0</v>
      </c>
      <c r="G12" s="5">
        <f>HISTOJANV25!G12+HISTOFEV25!G12+HISTOMARS25!G12+HISTOAVRIL25!G12+HISTOMAI25!G12+HISTOJUIN25!G12+HISTOJUIL25!G12+HISTOAOUT25!G12+HISTOSEPT25!G12+HISTOOCT25!G12+HISTONOV25!G12+HISTODEC25!G12</f>
        <v>980500</v>
      </c>
      <c r="H12" s="5">
        <f>HISTOJANV25!H12+HISTOFEV25!H12+HISTOMARS25!H12+HISTOAVRIL25!H12+HISTOMAI25!H12+HISTOJUIN25!H12+HISTOJUIL25!H12+HISTOAOUT25!H12+HISTOSEPT25!H12+HISTOOCT25!H12+HISTONOV25!H12+HISTODEC25!H12</f>
        <v>0</v>
      </c>
      <c r="I12" s="5"/>
      <c r="J12" s="5">
        <f>HISTOJANV25!J12+HISTOFEV25!J12+HISTOMARS25!J12+HISTOAVRIL25!J12+HISTOMAI25!J12+HISTOJUIN25!J12+HISTOJUIL25!J12+HISTOAOUT25!J12+HISTOSEPT25!J12+HISTOOCT25!J12+HISTONOV25!J12+HISTODEC25!J12</f>
        <v>12</v>
      </c>
      <c r="K12" s="5">
        <f>HISTOJANV25!K12+HISTOFEV25!K12+HISTOMARS25!K12+HISTOAVRIL25!K12+HISTOMAI25!K12+HISTOJUIN25!K12+HISTOJUIL25!K12+HISTOAOUT25!K12+HISTOSEPT25!K12+HISTOOCT25!K12+HISTONOV25!K12+HISTODEC25!K12</f>
        <v>600000</v>
      </c>
      <c r="L12" s="5">
        <f>HISTOJANV25!L12+HISTOFEV25!L12+HISTOMARS25!L12+HISTOAVRIL25!L12+HISTOMAI25!L12+HISTOJUIN25!L12+HISTOJUIL25!L12+HISTOAOUT25!L12+HISTOSEPT25!L12+HISTOOCT25!L12+HISTONOV25!L12+HISTODEC25!L12</f>
        <v>0</v>
      </c>
      <c r="M12" s="5">
        <f>HISTOJANV25!M12+HISTOFEV25!M12+HISTOMARS25!M12+HISTOAVRIL25!M12+HISTOMAI25!M12+HISTOJUIN25!M12+HISTOJUIL25!M12+HISTOAOUT25!M12+HISTOSEPT25!M12+HISTOOCT25!M12+HISTONOV25!M12+HISTODEC25!M12</f>
        <v>0</v>
      </c>
      <c r="N12" s="5">
        <f>HISTOJANV25!N12+HISTOFEV25!N12+HISTOMARS25!N12+HISTOAVRIL25!N12+HISTOMAI25!N12+HISTOJUIN25!N12+HISTOJUIL25!N12+HISTOAOUT25!N12+HISTOSEPT25!N12+HISTOOCT25!N12+HISTONOV25!N12+HISTODEC25!N12</f>
        <v>24</v>
      </c>
      <c r="O12" s="5">
        <f>HISTOJANV25!O12+HISTOFEV25!O12+HISTOMARS25!O12+HISTOAVRIL25!O12+HISTOMAI25!O12+HISTOJUIN25!O12+HISTOJUIL25!O12+HISTOAOUT25!O12+HISTOSEPT25!O12+HISTOOCT25!O12+HISTONOV25!O12+HISTODEC25!O12</f>
        <v>2400000</v>
      </c>
      <c r="P12" s="5">
        <f>HISTOJANV25!P12+HISTOFEV25!P12+HISTOMARS25!P12+HISTOAVRIL25!P12+HISTOMAI25!P12+HISTOJUIN25!P12+HISTOJUIL25!P12+HISTOAOUT25!P12+HISTOSEPT25!P12+HISTOOCT25!P12+HISTONOV25!P12+HISTODEC25!P12</f>
        <v>115500</v>
      </c>
      <c r="Q12" s="5">
        <f>HISTOJANV25!Q12+HISTOFEV25!Q12+HISTOMARS25!Q12+HISTOAVRIL25!Q12+HISTOMAI25!Q12+HISTOJUIN25!Q12+HISTOJUIL25!Q12+HISTOAOUT25!Q12+HISTOSEPT25!Q12+HISTOOCT25!Q12+HISTONOV25!Q12+HISTODEC25!Q12</f>
        <v>0</v>
      </c>
      <c r="R12" s="5">
        <f>HISTOJANV25!R12+HISTOFEV25!R12+HISTOMARS25!R12+HISTOAVRIL25!R12+HISTOMAI25!R12+HISTOJUIN25!R12+HISTOJUIL25!R12+HISTOAOUT25!R12+HISTOSEPT25!R12+HISTOOCT25!R12+HISTONOV25!R12+HISTODEC25!R12</f>
        <v>815000</v>
      </c>
      <c r="S12" s="5">
        <f>HISTOJANV25!S12+HISTOFEV25!S12+HISTOMARS25!S12+HISTOAVRIL25!S12+HISTOMAI25!S12+HISTOJUIN25!S12+HISTOJUIL25!S12+HISTOAOUT25!S12+HISTOSEPT25!S12+HISTOOCT25!S12+HISTONOV25!S12+HISTODEC25!S12</f>
        <v>2150000</v>
      </c>
      <c r="T12" s="5"/>
      <c r="U12" s="5">
        <f>HISTOJANV25!U12+HISTOFEV25!U12+HISTOMARS25!U12+HISTOAVRIL25!U12+HISTOMAI25!U12+HISTOJUIN25!U12+HISTOJUIL25!U12+HISTOAOUT25!U12+HISTOSEPT25!U12+HISTOOCT25!U12+HISTONOV25!U12+HISTODEC25!U12</f>
        <v>7061000</v>
      </c>
      <c r="V12" s="5">
        <f>HISTOJANV25!V12+HISTOFEV25!V12+HISTOMARS25!V12+HISTOAVRIL25!V12+HISTOMAI25!V12+HISTOJUIN25!V12+HISTOJUIL25!V12+HISTOAOUT25!V12+HISTOSEPT25!V12+HISTOOCT25!V12+HISTONOV25!V12+HISTODEC25!V12</f>
        <v>0</v>
      </c>
      <c r="W12" s="5">
        <f>HISTOJANV25!W12+HISTOFEV25!W12+HISTOMARS25!W12+HISTOAVRIL25!W12+HISTOMAI25!W12+HISTOJUIN25!W12+HISTOJUIL25!W12+HISTOAOUT25!W12+HISTOSEPT25!W12+HISTOOCT25!W12+HISTONOV25!W12+HISTODEC25!W12</f>
        <v>0</v>
      </c>
      <c r="X12" s="5">
        <f>HISTOJANV25!X12+HISTOFEV25!X12+HISTOMARS25!X12+HISTOAVRIL25!X12+HISTOMAI25!X12+HISTOJUIN25!X12+HISTOJUIL25!X12+HISTOAOUT25!X12+HISTOSEPT25!X12+HISTOOCT25!X12+HISTONOV25!X12+HISTODEC25!X12</f>
        <v>0</v>
      </c>
      <c r="Y12" s="5">
        <f>HISTOJANV25!Y12+HISTOFEV25!Y12+HISTOMARS25!Y12+HISTOAVRIL25!Y12+HISTOMAI25!Y12+HISTOJUIN25!Y12+HISTOJUIL25!Y12+HISTOAOUT25!Y12+HISTOSEPT25!Y12+HISTOOCT25!Y12+HISTONOV25!Y12+HISTODEC25!Y12</f>
        <v>3000000</v>
      </c>
      <c r="Z12" s="5">
        <f>HISTOJANV25!Z12+HISTOFEV25!Z12+HISTOMARS25!Z12+HISTOAVRIL25!Z12+HISTOMAI25!Z12+HISTOJUIN25!Z12+HISTOJUIL25!Z12+HISTOAOUT25!Z12+HISTOSEPT25!Z12+HISTOOCT25!Z12+HISTONOV25!Z12+HISTODEC25!Z12</f>
        <v>2150000</v>
      </c>
      <c r="AA12" s="5"/>
      <c r="AB12" s="5">
        <f>HISTOJANV25!AB12+HISTOFEV25!AB12+HISTOMARS25!AB12+HISTOAVRIL25!AB12+HISTOMAI25!AB12+HISTOJUIN25!AB12+HISTOJUIL25!AB12+HISTOAOUT25!AB12+HISTOSEPT25!AB12+HISTOOCT25!AB12+HISTONOV25!AB12+HISTODEC25!AB12</f>
        <v>0</v>
      </c>
      <c r="AC12" s="5">
        <f>HISTOJANV25!AC12+HISTOFEV25!AC12+HISTOMARS25!AC12+HISTOAVRIL25!AC12+HISTOMAI25!AC12+HISTOJUIN25!AC12+HISTOJUIL25!AC12+HISTOAOUT25!AC12+HISTOSEPT25!AC12+HISTOOCT25!AC12+HISTONOV25!AC12+HISTODEC25!AC12</f>
        <v>7000</v>
      </c>
      <c r="AD12" s="5">
        <f>HISTOJANV25!AD12+HISTOFEV25!AD12+HISTOMARS25!AD12+HISTOAVRIL25!AD12+HISTOMAI25!AD12+HISTOJUIN25!AD12+HISTOJUIL25!AD12+HISTOAOUT25!AD12+HISTOSEPT25!AD12+HISTOOCT25!AD12+HISTONOV25!AD12+HISTODEC25!AD12</f>
        <v>0</v>
      </c>
      <c r="AE12" s="5">
        <f>HISTOJANV25!AE12+HISTOFEV25!AE12+HISTOMARS25!AE12+HISTOAVRIL25!AE12+HISTOMAI25!AE12+HISTOJUIN25!AE12+HISTOJUIL25!AE12+HISTOAOUT25!AE12+HISTOSEPT25!AE12+HISTOOCT25!AE12+HISTONOV25!AE12+HISTODEC25!AE12</f>
        <v>45000</v>
      </c>
      <c r="AF12" s="5"/>
      <c r="AG12" s="5">
        <f>HISTOJANV25!AG12+HISTOFEV25!AG12+HISTOMARS25!AG12+HISTOAVRIL25!AG12+HISTOMAI25!AG12+HISTOJUIN25!AG12+HISTOJUIL25!AG12+HISTOAOUT25!AG12+HISTOSEPT25!AG12+HISTOOCT25!AG12+HISTONOV25!AG12+HISTODEC25!AG12</f>
        <v>0</v>
      </c>
      <c r="AH12" s="5">
        <f>HISTOJANV25!AH12+HISTOFEV25!AH12+HISTOMARS25!AH12+HISTOAVRIL25!AH12+HISTOMAI25!AH12+HISTOJUIN25!AH12+HISTOJUIL25!AH12+HISTOAOUT25!AH12+HISTOSEPT25!AH12+HISTOOCT25!AH12+HISTONOV25!AH12+HISTODEC25!AH12</f>
        <v>0</v>
      </c>
      <c r="AI12" s="5">
        <f>HISTOJANV25!AI12+HISTOFEV25!AI12+HISTOMARS25!AI12+HISTOAVRIL25!AI12+HISTOMAI25!AI12+HISTOJUIN25!AI12+HISTOJUIL25!AI12+HISTOAOUT25!AI12+HISTOSEPT25!AI12+HISTOOCT25!AI12+HISTONOV25!AI12+HISTODEC25!AI12</f>
        <v>113000</v>
      </c>
      <c r="AJ12" s="5">
        <f>HISTOJANV25!AJ12+HISTOFEV25!AJ12+HISTOMARS25!AJ12+HISTOAVRIL25!AJ12+HISTOMAI25!AJ12+HISTOJUIN25!AJ12+HISTOJUIL25!AJ12+HISTOAOUT25!AJ12+HISTOSEPT25!AJ12+HISTOOCT25!AJ12+HISTONOV25!AJ12+HISTODEC25!AJ12</f>
        <v>0</v>
      </c>
      <c r="AK12" s="5">
        <f>HISTOJANV25!AK12+HISTOFEV25!AK12+HISTOMARS25!AK12+HISTOAVRIL25!AK12+HISTOMAI25!AK12+HISTOJUIN25!AK12+HISTOJUIL25!AK12+HISTOAOUT25!AK12+HISTOSEPT25!AK12+HISTOOCT25!AK12+HISTONOV25!AK12+HISTODEC25!AK12</f>
        <v>600000</v>
      </c>
      <c r="AL12" s="5">
        <f>HISTOJANV25!AL12+HISTOFEV25!AL12+HISTOMARS25!AL12+HISTOAVRIL25!AL12+HISTOMAI25!AL12+HISTOJUIN25!AL12+HISTOJUIL25!AL12+HISTOAOUT25!AL12+HISTOSEPT25!AL12+HISTOOCT25!AL12+HISTONOV25!AL12+HISTODEC25!AL12</f>
        <v>2500</v>
      </c>
      <c r="AM12" s="5">
        <f>HISTOJANV25!AM12+HISTOFEV25!AM12+HISTOMARS25!AM12+HISTOAVRIL25!AM12+HISTOMAI25!AM12+HISTOJUIN25!AM12+HISTOJUIL25!AM12+HISTOAOUT25!AM12+HISTOSEPT25!AM12+HISTOOCT25!AM12+HISTONOV25!AM12+HISTODEC25!AM12</f>
        <v>0</v>
      </c>
      <c r="AN12" s="5">
        <f>HISTOJANV25!AN12+HISTOFEV25!AN12+HISTOMARS25!AN12+HISTOAVRIL25!AN12+HISTOMAI25!AN12+HISTOJUIN25!AN12+HISTOJUIL25!AN12+HISTOAOUT25!AN12+HISTOSEPT25!AN12+HISTOOCT25!AN12+HISTONOV25!AN12+HISTODEC25!AN12</f>
        <v>12000</v>
      </c>
      <c r="AO12" s="5">
        <f>HISTOJANV25!AO12+HISTOFEV25!AO12+HISTOMARS25!AO12+HISTOAVRIL25!AO12+HISTOMAI25!AO12+HISTOJUIN25!AO12+HISTOJUIL25!AO12+HISTOAOUT25!AO12+HISTOSEPT25!AO12+HISTOOCT25!AO12+HISTONOV25!AO12+HISTODEC25!AO12</f>
        <v>0</v>
      </c>
      <c r="AP12" s="5"/>
      <c r="AQ12" s="5">
        <f>HISTOJANV25!AQ12+HISTOFEV25!AQ12+HISTOMARS25!AQ12+HISTOAVRIL25!AQ12+HISTOMAI25!AQ12+HISTOJUIN25!AQ12+HISTOJUIL25!AQ12+HISTOAOUT25!AQ12+HISTOSEPT25!AQ12+HISTOOCT25!AQ12+HISTONOV25!AQ12+HISTODEC25!AQ12</f>
        <v>0</v>
      </c>
      <c r="AR12" s="5">
        <f>HISTOJANV25!AR12+HISTOFEV25!AR12+HISTOMARS25!AR12+HISTOAVRIL25!AR12+HISTOMAI25!AR12+HISTOJUIN25!AR12+HISTOJUIL25!AR12+HISTOAOUT25!AR12+HISTOSEPT25!AR12+HISTOOCT25!AR12+HISTONOV25!AR12+HISTODEC25!AR12</f>
        <v>0</v>
      </c>
      <c r="AS12" s="5">
        <f>HISTOJANV25!AS12+HISTOFEV25!AS12+HISTOMARS25!AS12+HISTOAVRIL25!AS12+HISTOMAI25!AS12+HISTOJUIN25!AS12+HISTOJUIL25!AS12+HISTOAOUT25!AS12+HISTOSEPT25!AS12+HISTOOCT25!AS12+HISTONOV25!AS12+HISTODEC25!AS12</f>
        <v>1280500</v>
      </c>
      <c r="AT12" s="5">
        <f>HISTOJANV25!AT12+HISTOFEV25!AT12+HISTOMARS25!AT12+HISTOAVRIL25!AT12+HISTOMAI25!AT12+HISTOJUIN25!AT12+HISTOJUIL25!AT12+HISTOAOUT25!AT12+HISTOSEPT25!AT12+HISTOOCT25!AT12+HISTONOV25!AT12+HISTODEC25!AT12</f>
        <v>0</v>
      </c>
      <c r="AU12" s="5">
        <f>HISTOJANV25!AU12+HISTOFEV25!AU12+HISTOMARS25!AU12+HISTOAVRIL25!AU12+HISTOMAI25!AU12+HISTOJUIN25!AU12+HISTOJUIL25!AU12+HISTOAOUT25!AU12+HISTOSEPT25!AU12+HISTOOCT25!AU12+HISTONOV25!AU12+HISTODEC25!AU12</f>
        <v>0</v>
      </c>
      <c r="AV12" s="5">
        <f>HISTOJANV25!AV12+HISTOFEV25!AV12+HISTOMARS25!AV12+HISTOAVRIL25!AV12+HISTOMAI25!AV12+HISTOJUIN25!AV12+HISTOJUIL25!AV12+HISTOAOUT25!AV12+HISTOSEPT25!AV12+HISTOOCT25!AV12+HISTONOV25!AV12+HISTODEC25!AV12</f>
        <v>0</v>
      </c>
      <c r="AW12" s="5">
        <f>HISTOJANV25!AW12+HISTOFEV25!AW12+HISTOMARS25!AW12+HISTOAVRIL25!AW12+HISTOMAI25!AW12+HISTOJUIN25!AW12+HISTOJUIL25!AW12+HISTOAOUT25!AW12+HISTOSEPT25!AW12+HISTOOCT25!AW12+HISTONOV25!AW12+HISTODEC25!AW12</f>
        <v>406000</v>
      </c>
      <c r="AX12" s="5">
        <f>HISTOJANV25!AX12+HISTOFEV25!AX12+HISTOMARS25!AX12+HISTOAVRIL25!AX12+HISTOMAI25!AX12+HISTOJUIN25!AX12+HISTOJUIL25!AX12+HISTOAOUT25!AX12+HISTOSEPT25!AX12+HISTOOCT25!AX12+HISTONOV25!AX12+HISTODEC25!AX12</f>
        <v>0</v>
      </c>
      <c r="AY12" s="5">
        <f>HISTOJANV25!AY12+HISTOFEV25!AY12+HISTOMARS25!AY12+HISTOAVRIL25!AY12+HISTOMAI25!AY12+HISTOJUIN25!AY12+HISTOJUIL25!AY12+HISTOAOUT25!AY12+HISTOSEPT25!AY12+HISTOOCT25!AY12+HISTONOV25!AY12+HISTODEC25!AY12</f>
        <v>2955000</v>
      </c>
      <c r="AZ12" s="5">
        <f>HISTOJANV25!AZ12+HISTOFEV25!AZ12+HISTOMARS25!AZ12+HISTOAVRIL25!AZ12+HISTOMAI25!AZ12+HISTOJUIN25!AZ12+HISTOJUIL25!AZ12+HISTOAOUT25!AZ12+HISTOSEPT25!AZ12+HISTOOCT25!AZ12+HISTONOV25!AZ12+HISTODEC25!AZ12</f>
        <v>5451000</v>
      </c>
      <c r="BA12" s="5">
        <f>HISTOJANV25!BA12+HISTOFEV25!BA12+HISTOMARS25!BA12+HISTOAVRIL25!BA12+HISTOMAI25!BA12+HISTOJUIN25!BA12+HISTOJUIL25!BA12+HISTOAOUT25!BA12+HISTOSEPT25!BA12+HISTOOCT25!BA12+HISTONOV25!BA12+HISTODEC25!BA12</f>
        <v>180000</v>
      </c>
      <c r="BB12" s="5">
        <f>HISTOJANV25!BB12+HISTOFEV25!BB12+HISTOMARS25!BB12+HISTOAVRIL25!BB12+HISTOMAI25!BB12+HISTOJUIN25!BB12+HISTOJUIL25!BB12+HISTOAOUT25!BB12+HISTOSEPT25!BB12+HISTOOCT25!BB12+HISTONOV25!BB12+HISTODEC25!BB12</f>
        <v>0</v>
      </c>
      <c r="BC12" s="5">
        <f>HISTOJANV25!BC12+HISTOFEV25!BC12+HISTOMARS25!BC12+HISTOAVRIL25!BC12+HISTOMAI25!BC12+HISTOJUIN25!BC12+HISTOJUIL25!BC12+HISTOAOUT25!BC12+HISTOSEPT25!BC12+HISTOOCT25!BC12+HISTONOV25!BC12+HISTODEC25!BC12</f>
        <v>0</v>
      </c>
      <c r="BD12" s="5">
        <f>HISTOJANV25!BD12+HISTOFEV25!BD12+HISTOMARS25!BD12+HISTOAVRIL25!BD12+HISTOMAI25!BD12+HISTOJUIN25!BD12+HISTOJUIL25!BD12+HISTOAOUT25!BD12+HISTOSEPT25!BD12+HISTOOCT25!BD12+HISTONOV25!BD12+HISTODEC25!BD12</f>
        <v>5671000</v>
      </c>
      <c r="BE12" s="5"/>
      <c r="BF12" s="5">
        <f>HISTOJANV25!BF12+HISTOFEV25!BF12+HISTOMARS25!BF12+HISTOAVRIL25!BF12+HISTOMAI25!BF12+HISTOJUIN25!BF12+HISTOJUIL25!BF12+HISTOAOUT25!BF12+HISTOSEPT25!BF12+HISTOOCT25!BF12+HISTONOV25!BF12+HISTODEC25!BF12</f>
        <v>91500</v>
      </c>
      <c r="BG12" s="5">
        <f>HISTOJANV25!BG12+HISTOFEV25!BG12+HISTOMARS25!BG12+HISTOAVRIL25!BG12+HISTOMAI25!BG12+HISTOJUIN25!BG12+HISTOJUIL25!BG12+HISTOAOUT25!BG12+HISTOSEPT25!BG12+HISTOOCT25!BG12+HISTONOV25!BG12+HISTODEC25!BG12</f>
        <v>70</v>
      </c>
      <c r="BH12" s="5">
        <f>HISTOJANV25!BH12+HISTOFEV25!BH12+HISTOMARS25!BH12+HISTOAVRIL25!BH12+HISTOMAI25!BH12+HISTOJUIN25!BH12+HISTOJUIL25!BH12+HISTOAOUT25!BH12+HISTOSEPT25!BH12+HISTOOCT25!BH12+HISTONOV25!BH12+HISTODEC25!BH12</f>
        <v>0</v>
      </c>
      <c r="BI12" s="5">
        <f>HISTOJANV25!BI12+HISTOFEV25!BI12+HISTOMARS25!BI12+HISTOAVRIL25!BI12+HISTOMAI25!BI12+HISTOJUIN25!BI12+HISTOJUIL25!BI12+HISTOAOUT25!BI12+HISTOSEPT25!BI12+HISTOOCT25!BI12+HISTONOV25!BI12+HISTODEC25!BI12</f>
        <v>0</v>
      </c>
      <c r="BJ12" s="5">
        <f>HISTOJANV25!BJ12+HISTOFEV25!BJ12+HISTOMARS25!BJ12+HISTOAVRIL25!BJ12+HISTOMAI25!BJ12+HISTOJUIN25!BJ12+HISTOJUIL25!BJ12+HISTOAOUT25!BJ12+HISTOSEPT25!BJ12+HISTOOCT25!BJ12+HISTONOV25!BJ12+HISTODEC25!BJ12</f>
        <v>0</v>
      </c>
      <c r="BK12" s="5">
        <f>HISTOJANV25!BK12+HISTOFEV25!BK12+HISTOMARS25!BK12+HISTOAVRIL25!BK12+HISTOMAI25!BK12+HISTOJUIN25!BK12+HISTOJUIL25!BK12+HISTOAOUT25!BK12+HISTOSEPT25!BK12+HISTOOCT25!BK12+HISTONOV25!BK12+HISTODEC25!BK12</f>
        <v>0</v>
      </c>
      <c r="BL12" s="5">
        <f>HISTOJANV25!BL12+HISTOFEV25!BL12+HISTOMARS25!BL12+HISTOAVRIL25!BL12+HISTOMAI25!BL12+HISTOJUIN25!BL12+HISTOJUIL25!BL12+HISTOAOUT25!BL12+HISTOSEPT25!BL12+HISTOOCT25!BL12+HISTONOV25!BL12+HISTODEC25!BL12</f>
        <v>0</v>
      </c>
      <c r="BM12" s="5">
        <f>HISTOJANV25!BM12+HISTOFEV25!BM12+HISTOMARS25!BM12+HISTOAVRIL25!BM12+HISTOMAI25!BM12+HISTOJUIN25!BM12+HISTOJUIL25!BM12+HISTOAOUT25!BM12+HISTOSEPT25!BM12+HISTOOCT25!BM12+HISTONOV25!BM12+HISTODEC25!BM12</f>
        <v>0</v>
      </c>
      <c r="BN12" s="5">
        <f>HISTOJANV25!BN12+HISTOFEV25!BN12+HISTOMARS25!BN12+HISTOAVRIL25!BN12+HISTOMAI25!BN12+HISTOJUIN25!BN12+HISTOJUIL25!BN12+HISTOAOUT25!BN12+HISTOSEPT25!BN12+HISTOOCT25!BN12+HISTONOV25!BN12+HISTODEC25!BN12</f>
        <v>0</v>
      </c>
      <c r="BO12" t="s">
        <v>120</v>
      </c>
      <c r="BP12" t="s">
        <v>114</v>
      </c>
      <c r="BQ12" s="6"/>
    </row>
    <row r="13" spans="1:69" ht="17.5" x14ac:dyDescent="0.35">
      <c r="A13" s="1" t="s">
        <v>17</v>
      </c>
      <c r="B13" s="1" t="str">
        <f>VLOOKUP(A13,[5]LISTADHERENT!A$5:H$50,3,0)</f>
        <v>DOMOU FABIEN</v>
      </c>
      <c r="C13" s="5">
        <f>HISTOJANV25!C13+HISTOFEV25!C13+HISTOMARS25!C13+HISTOAVRIL25!C13+HISTOMAI25!C13+HISTOJUIN25!C13+HISTOJUIL25!C13+HISTOAOUT25!C13+HISTOSEPT25!C13+HISTOOCT25!C13+HISTONOV25!C13+HISTODEC25!C13</f>
        <v>0</v>
      </c>
      <c r="D13" s="5">
        <f>HISTOJANV25!D13+HISTOFEV25!D13+HISTOMARS25!D13+HISTOAVRIL25!D13+HISTOMAI25!D13+HISTOJUIN25!D13+HISTOJUIL25!D13+HISTOAOUT25!D13+HISTOSEPT25!D13+HISTOOCT25!D13+HISTONOV25!D13+HISTODEC25!D13</f>
        <v>600000</v>
      </c>
      <c r="E13" s="5">
        <f>HISTOJANV25!E13+HISTOFEV25!E13+HISTOMARS25!E13+HISTOAVRIL25!E13+HISTOMAI25!E13+HISTOJUIN25!E13+HISTOJUIL25!E13+HISTOAOUT25!E13+HISTOSEPT25!E13+HISTOOCT25!E13+HISTONOV25!E13+HISTODEC25!E13</f>
        <v>0</v>
      </c>
      <c r="F13" s="5">
        <f>HISTOJANV25!F13+HISTOFEV25!F13+HISTOMARS25!F13+HISTOAVRIL25!F13+HISTOMAI25!F13+HISTOJUIN25!F13+HISTOJUIL25!F13+HISTOAOUT25!F13+HISTOSEPT25!F13+HISTOOCT25!F13+HISTONOV25!F13+HISTODEC25!F13</f>
        <v>0</v>
      </c>
      <c r="G13" s="5">
        <f>HISTOJANV25!G13+HISTOFEV25!G13+HISTOMARS25!G13+HISTOAVRIL25!G13+HISTOMAI25!G13+HISTOJUIN25!G13+HISTOJUIL25!G13+HISTOAOUT25!G13+HISTOSEPT25!G13+HISTOOCT25!G13+HISTONOV25!G13+HISTODEC25!G13</f>
        <v>0</v>
      </c>
      <c r="H13" s="5">
        <f>HISTOJANV25!H13+HISTOFEV25!H13+HISTOMARS25!H13+HISTOAVRIL25!H13+HISTOMAI25!H13+HISTOJUIN25!H13+HISTOJUIL25!H13+HISTOAOUT25!H13+HISTOSEPT25!H13+HISTOOCT25!H13+HISTONOV25!H13+HISTODEC25!H13</f>
        <v>0</v>
      </c>
      <c r="I13" s="5"/>
      <c r="J13" s="5">
        <f>HISTOJANV25!J13+HISTOFEV25!J13+HISTOMARS25!J13+HISTOAVRIL25!J13+HISTOMAI25!J13+HISTOJUIN25!J13+HISTOJUIL25!J13+HISTOAOUT25!J13+HISTOSEPT25!J13+HISTOOCT25!J13+HISTONOV25!J13+HISTODEC25!J13</f>
        <v>12</v>
      </c>
      <c r="K13" s="5">
        <f>HISTOJANV25!K13+HISTOFEV25!K13+HISTOMARS25!K13+HISTOAVRIL25!K13+HISTOMAI25!K13+HISTOJUIN25!K13+HISTOJUIL25!K13+HISTOAOUT25!K13+HISTOSEPT25!K13+HISTOOCT25!K13+HISTONOV25!K13+HISTODEC25!K13</f>
        <v>600000</v>
      </c>
      <c r="L13" s="5">
        <f>HISTOJANV25!L13+HISTOFEV25!L13+HISTOMARS25!L13+HISTOAVRIL25!L13+HISTOMAI25!L13+HISTOJUIN25!L13+HISTOJUIL25!L13+HISTOAOUT25!L13+HISTOSEPT25!L13+HISTOOCT25!L13+HISTONOV25!L13+HISTODEC25!L13</f>
        <v>0</v>
      </c>
      <c r="M13" s="5">
        <f>HISTOJANV25!M13+HISTOFEV25!M13+HISTOMARS25!M13+HISTOAVRIL25!M13+HISTOMAI25!M13+HISTOJUIN25!M13+HISTOJUIL25!M13+HISTOAOUT25!M13+HISTOSEPT25!M13+HISTOOCT25!M13+HISTONOV25!M13+HISTODEC25!M13</f>
        <v>0</v>
      </c>
      <c r="N13" s="5">
        <f>HISTOJANV25!N13+HISTOFEV25!N13+HISTOMARS25!N13+HISTOAVRIL25!N13+HISTOMAI25!N13+HISTOJUIN25!N13+HISTOJUIL25!N13+HISTOAOUT25!N13+HISTOSEPT25!N13+HISTOOCT25!N13+HISTONOV25!N13+HISTODEC25!N13</f>
        <v>0</v>
      </c>
      <c r="O13" s="5">
        <f>HISTOJANV25!O13+HISTOFEV25!O13+HISTOMARS25!O13+HISTOAVRIL25!O13+HISTOMAI25!O13+HISTOJUIN25!O13+HISTOJUIL25!O13+HISTOAOUT25!O13+HISTOSEPT25!O13+HISTOOCT25!O13+HISTONOV25!O13+HISTODEC25!O13</f>
        <v>0</v>
      </c>
      <c r="P13" s="5">
        <f>HISTOJANV25!P13+HISTOFEV25!P13+HISTOMARS25!P13+HISTOAVRIL25!P13+HISTOMAI25!P13+HISTOJUIN25!P13+HISTOJUIL25!P13+HISTOAOUT25!P13+HISTOSEPT25!P13+HISTOOCT25!P13+HISTONOV25!P13+HISTODEC25!P13</f>
        <v>0</v>
      </c>
      <c r="Q13" s="5">
        <f>HISTOJANV25!Q13+HISTOFEV25!Q13+HISTOMARS25!Q13+HISTOAVRIL25!Q13+HISTOMAI25!Q13+HISTOJUIN25!Q13+HISTOJUIL25!Q13+HISTOAOUT25!Q13+HISTOSEPT25!Q13+HISTOOCT25!Q13+HISTONOV25!Q13+HISTODEC25!Q13</f>
        <v>0</v>
      </c>
      <c r="R13" s="5">
        <f>HISTOJANV25!R13+HISTOFEV25!R13+HISTOMARS25!R13+HISTOAVRIL25!R13+HISTOMAI25!R13+HISTOJUIN25!R13+HISTOJUIL25!R13+HISTOAOUT25!R13+HISTOSEPT25!R13+HISTOOCT25!R13+HISTONOV25!R13+HISTODEC25!R13</f>
        <v>0</v>
      </c>
      <c r="S13" s="5">
        <f>HISTOJANV25!S13+HISTOFEV25!S13+HISTOMARS25!S13+HISTOAVRIL25!S13+HISTOMAI25!S13+HISTOJUIN25!S13+HISTOJUIL25!S13+HISTOAOUT25!S13+HISTOSEPT25!S13+HISTOOCT25!S13+HISTONOV25!S13+HISTODEC25!S13</f>
        <v>0</v>
      </c>
      <c r="T13" s="5"/>
      <c r="U13" s="5">
        <f>HISTOJANV25!U13+HISTOFEV25!U13+HISTOMARS25!U13+HISTOAVRIL25!U13+HISTOMAI25!U13+HISTOJUIN25!U13+HISTOJUIL25!U13+HISTOAOUT25!U13+HISTOSEPT25!U13+HISTOOCT25!U13+HISTONOV25!U13+HISTODEC25!U13</f>
        <v>600000</v>
      </c>
      <c r="V13" s="5">
        <f>HISTOJANV25!V13+HISTOFEV25!V13+HISTOMARS25!V13+HISTOAVRIL25!V13+HISTOMAI25!V13+HISTOJUIN25!V13+HISTOJUIL25!V13+HISTOAOUT25!V13+HISTOSEPT25!V13+HISTOOCT25!V13+HISTONOV25!V13+HISTODEC25!V13</f>
        <v>0</v>
      </c>
      <c r="W13" s="5">
        <f>HISTOJANV25!W13+HISTOFEV25!W13+HISTOMARS25!W13+HISTOAVRIL25!W13+HISTOMAI25!W13+HISTOJUIN25!W13+HISTOJUIL25!W13+HISTOAOUT25!W13+HISTOSEPT25!W13+HISTOOCT25!W13+HISTONOV25!W13+HISTODEC25!W13</f>
        <v>0</v>
      </c>
      <c r="X13" s="5">
        <f>HISTOJANV25!X13+HISTOFEV25!X13+HISTOMARS25!X13+HISTOAVRIL25!X13+HISTOMAI25!X13+HISTOJUIN25!X13+HISTOJUIL25!X13+HISTOAOUT25!X13+HISTOSEPT25!X13+HISTOOCT25!X13+HISTONOV25!X13+HISTODEC25!X13</f>
        <v>0</v>
      </c>
      <c r="Y13" s="5">
        <f>HISTOJANV25!Y13+HISTOFEV25!Y13+HISTOMARS25!Y13+HISTOAVRIL25!Y13+HISTOMAI25!Y13+HISTOJUIN25!Y13+HISTOJUIL25!Y13+HISTOAOUT25!Y13+HISTOSEPT25!Y13+HISTOOCT25!Y13+HISTONOV25!Y13+HISTODEC25!Y13</f>
        <v>600000</v>
      </c>
      <c r="Z13" s="5">
        <f>HISTOJANV25!Z13+HISTOFEV25!Z13+HISTOMARS25!Z13+HISTOAVRIL25!Z13+HISTOMAI25!Z13+HISTOJUIN25!Z13+HISTOJUIL25!Z13+HISTOAOUT25!Z13+HISTOSEPT25!Z13+HISTOOCT25!Z13+HISTONOV25!Z13+HISTODEC25!Z13</f>
        <v>0</v>
      </c>
      <c r="AA13" s="5"/>
      <c r="AB13" s="5">
        <f>HISTOJANV25!AB13+HISTOFEV25!AB13+HISTOMARS25!AB13+HISTOAVRIL25!AB13+HISTOMAI25!AB13+HISTOJUIN25!AB13+HISTOJUIL25!AB13+HISTOAOUT25!AB13+HISTOSEPT25!AB13+HISTOOCT25!AB13+HISTONOV25!AB13+HISTODEC25!AB13</f>
        <v>0</v>
      </c>
      <c r="AC13" s="5">
        <f>HISTOJANV25!AC13+HISTOFEV25!AC13+HISTOMARS25!AC13+HISTOAVRIL25!AC13+HISTOMAI25!AC13+HISTOJUIN25!AC13+HISTOJUIL25!AC13+HISTOAOUT25!AC13+HISTOSEPT25!AC13+HISTOOCT25!AC13+HISTONOV25!AC13+HISTODEC25!AC13</f>
        <v>5500</v>
      </c>
      <c r="AD13" s="5">
        <f>HISTOJANV25!AD13+HISTOFEV25!AD13+HISTOMARS25!AD13+HISTOAVRIL25!AD13+HISTOMAI25!AD13+HISTOJUIN25!AD13+HISTOJUIL25!AD13+HISTOAOUT25!AD13+HISTOSEPT25!AD13+HISTOOCT25!AD13+HISTONOV25!AD13+HISTODEC25!AD13</f>
        <v>0</v>
      </c>
      <c r="AE13" s="5">
        <f>HISTOJANV25!AE13+HISTOFEV25!AE13+HISTOMARS25!AE13+HISTOAVRIL25!AE13+HISTOMAI25!AE13+HISTOJUIN25!AE13+HISTOJUIL25!AE13+HISTOAOUT25!AE13+HISTOSEPT25!AE13+HISTOOCT25!AE13+HISTONOV25!AE13+HISTODEC25!AE13</f>
        <v>0</v>
      </c>
      <c r="AF13" s="5"/>
      <c r="AG13" s="5">
        <f>HISTOJANV25!AG13+HISTOFEV25!AG13+HISTOMARS25!AG13+HISTOAVRIL25!AG13+HISTOMAI25!AG13+HISTOJUIN25!AG13+HISTOJUIL25!AG13+HISTOAOUT25!AG13+HISTOSEPT25!AG13+HISTOOCT25!AG13+HISTONOV25!AG13+HISTODEC25!AG13</f>
        <v>0</v>
      </c>
      <c r="AH13" s="5">
        <f>HISTOJANV25!AH13+HISTOFEV25!AH13+HISTOMARS25!AH13+HISTOAVRIL25!AH13+HISTOMAI25!AH13+HISTOJUIN25!AH13+HISTOJUIL25!AH13+HISTOAOUT25!AH13+HISTOSEPT25!AH13+HISTOOCT25!AH13+HISTONOV25!AH13+HISTODEC25!AH13</f>
        <v>0</v>
      </c>
      <c r="AI13" s="5">
        <f>HISTOJANV25!AI13+HISTOFEV25!AI13+HISTOMARS25!AI13+HISTOAVRIL25!AI13+HISTOMAI25!AI13+HISTOJUIN25!AI13+HISTOJUIL25!AI13+HISTOAOUT25!AI13+HISTOSEPT25!AI13+HISTOOCT25!AI13+HISTONOV25!AI13+HISTODEC25!AI13</f>
        <v>0</v>
      </c>
      <c r="AJ13" s="5">
        <f>HISTOJANV25!AJ13+HISTOFEV25!AJ13+HISTOMARS25!AJ13+HISTOAVRIL25!AJ13+HISTOMAI25!AJ13+HISTOJUIN25!AJ13+HISTOJUIL25!AJ13+HISTOAOUT25!AJ13+HISTOSEPT25!AJ13+HISTOOCT25!AJ13+HISTONOV25!AJ13+HISTODEC25!AJ13</f>
        <v>0</v>
      </c>
      <c r="AK13" s="5">
        <f>HISTOJANV25!AK13+HISTOFEV25!AK13+HISTOMARS25!AK13+HISTOAVRIL25!AK13+HISTOMAI25!AK13+HISTOJUIN25!AK13+HISTOJUIL25!AK13+HISTOAOUT25!AK13+HISTOSEPT25!AK13+HISTOOCT25!AK13+HISTONOV25!AK13+HISTODEC25!AK13</f>
        <v>0</v>
      </c>
      <c r="AL13" s="5">
        <f>HISTOJANV25!AL13+HISTOFEV25!AL13+HISTOMARS25!AL13+HISTOAVRIL25!AL13+HISTOMAI25!AL13+HISTOJUIN25!AL13+HISTOJUIL25!AL13+HISTOAOUT25!AL13+HISTOSEPT25!AL13+HISTOOCT25!AL13+HISTONOV25!AL13+HISTODEC25!AL13</f>
        <v>0</v>
      </c>
      <c r="AM13" s="5">
        <f>HISTOJANV25!AM13+HISTOFEV25!AM13+HISTOMARS25!AM13+HISTOAVRIL25!AM13+HISTOMAI25!AM13+HISTOJUIN25!AM13+HISTOJUIL25!AM13+HISTOAOUT25!AM13+HISTOSEPT25!AM13+HISTOOCT25!AM13+HISTONOV25!AM13+HISTODEC25!AM13</f>
        <v>0</v>
      </c>
      <c r="AN13" s="5">
        <f>HISTOJANV25!AN13+HISTOFEV25!AN13+HISTOMARS25!AN13+HISTOAVRIL25!AN13+HISTOMAI25!AN13+HISTOJUIN25!AN13+HISTOJUIL25!AN13+HISTOAOUT25!AN13+HISTOSEPT25!AN13+HISTOOCT25!AN13+HISTONOV25!AN13+HISTODEC25!AN13</f>
        <v>0</v>
      </c>
      <c r="AO13" s="5">
        <f>HISTOJANV25!AO13+HISTOFEV25!AO13+HISTOMARS25!AO13+HISTOAVRIL25!AO13+HISTOMAI25!AO13+HISTOJUIN25!AO13+HISTOJUIL25!AO13+HISTOAOUT25!AO13+HISTOSEPT25!AO13+HISTOOCT25!AO13+HISTONOV25!AO13+HISTODEC25!AO13</f>
        <v>0</v>
      </c>
      <c r="AP13" s="5"/>
      <c r="AQ13" s="5">
        <f>HISTOJANV25!AQ13+HISTOFEV25!AQ13+HISTOMARS25!AQ13+HISTOAVRIL25!AQ13+HISTOMAI25!AQ13+HISTOJUIN25!AQ13+HISTOJUIL25!AQ13+HISTOAOUT25!AQ13+HISTOSEPT25!AQ13+HISTOOCT25!AQ13+HISTONOV25!AQ13+HISTODEC25!AQ13</f>
        <v>0</v>
      </c>
      <c r="AR13" s="5">
        <f>HISTOJANV25!AR13+HISTOFEV25!AR13+HISTOMARS25!AR13+HISTOAVRIL25!AR13+HISTOMAI25!AR13+HISTOJUIN25!AR13+HISTOJUIL25!AR13+HISTOAOUT25!AR13+HISTOSEPT25!AR13+HISTOOCT25!AR13+HISTONOV25!AR13+HISTODEC25!AR13</f>
        <v>0</v>
      </c>
      <c r="AS13" s="5">
        <f>HISTOJANV25!AS13+HISTOFEV25!AS13+HISTOMARS25!AS13+HISTOAVRIL25!AS13+HISTOMAI25!AS13+HISTOJUIN25!AS13+HISTOJUIL25!AS13+HISTOAOUT25!AS13+HISTOSEPT25!AS13+HISTOOCT25!AS13+HISTONOV25!AS13+HISTODEC25!AS13</f>
        <v>300000</v>
      </c>
      <c r="AT13" s="5">
        <f>HISTOJANV25!AT13+HISTOFEV25!AT13+HISTOMARS25!AT13+HISTOAVRIL25!AT13+HISTOMAI25!AT13+HISTOJUIN25!AT13+HISTOJUIL25!AT13+HISTOAOUT25!AT13+HISTOSEPT25!AT13+HISTOOCT25!AT13+HISTONOV25!AT13+HISTODEC25!AT13</f>
        <v>0</v>
      </c>
      <c r="AU13" s="5">
        <f>HISTOJANV25!AU13+HISTOFEV25!AU13+HISTOMARS25!AU13+HISTOAVRIL25!AU13+HISTOMAI25!AU13+HISTOJUIN25!AU13+HISTOJUIL25!AU13+HISTOAOUT25!AU13+HISTOSEPT25!AU13+HISTOOCT25!AU13+HISTONOV25!AU13+HISTODEC25!AU13</f>
        <v>0</v>
      </c>
      <c r="AV13" s="5">
        <f>HISTOJANV25!AV13+HISTOFEV25!AV13+HISTOMARS25!AV13+HISTOAVRIL25!AV13+HISTOMAI25!AV13+HISTOJUIN25!AV13+HISTOJUIL25!AV13+HISTOAOUT25!AV13+HISTOSEPT25!AV13+HISTOOCT25!AV13+HISTONOV25!AV13+HISTODEC25!AV13</f>
        <v>0</v>
      </c>
      <c r="AW13" s="5">
        <f>HISTOJANV25!AW13+HISTOFEV25!AW13+HISTOMARS25!AW13+HISTOAVRIL25!AW13+HISTOMAI25!AW13+HISTOJUIN25!AW13+HISTOJUIL25!AW13+HISTOAOUT25!AW13+HISTOSEPT25!AW13+HISTOOCT25!AW13+HISTONOV25!AW13+HISTODEC25!AW13</f>
        <v>294500</v>
      </c>
      <c r="AX13" s="5">
        <f>HISTOJANV25!AX13+HISTOFEV25!AX13+HISTOMARS25!AX13+HISTOAVRIL25!AX13+HISTOMAI25!AX13+HISTOJUIN25!AX13+HISTOJUIL25!AX13+HISTOAOUT25!AX13+HISTOSEPT25!AX13+HISTOOCT25!AX13+HISTONOV25!AX13+HISTODEC25!AX13</f>
        <v>0</v>
      </c>
      <c r="AY13" s="5">
        <f>HISTOJANV25!AY13+HISTOFEV25!AY13+HISTOMARS25!AY13+HISTOAVRIL25!AY13+HISTOMAI25!AY13+HISTOJUIN25!AY13+HISTOJUIL25!AY13+HISTOAOUT25!AY13+HISTOSEPT25!AY13+HISTOOCT25!AY13+HISTONOV25!AY13+HISTODEC25!AY13</f>
        <v>0</v>
      </c>
      <c r="AZ13" s="5">
        <f>HISTOJANV25!AZ13+HISTOFEV25!AZ13+HISTOMARS25!AZ13+HISTOAVRIL25!AZ13+HISTOMAI25!AZ13+HISTOJUIN25!AZ13+HISTOJUIL25!AZ13+HISTOAOUT25!AZ13+HISTOSEPT25!AZ13+HISTOOCT25!AZ13+HISTONOV25!AZ13+HISTODEC25!AZ13</f>
        <v>294500</v>
      </c>
      <c r="BA13" s="5">
        <f>HISTOJANV25!BA13+HISTOFEV25!BA13+HISTOMARS25!BA13+HISTOAVRIL25!BA13+HISTOMAI25!BA13+HISTOJUIN25!BA13+HISTOJUIL25!BA13+HISTOAOUT25!BA13+HISTOSEPT25!BA13+HISTOOCT25!BA13+HISTONOV25!BA13+HISTODEC25!BA13</f>
        <v>0</v>
      </c>
      <c r="BB13" s="5">
        <f>HISTOJANV25!BB13+HISTOFEV25!BB13+HISTOMARS25!BB13+HISTOAVRIL25!BB13+HISTOMAI25!BB13+HISTOJUIN25!BB13+HISTOJUIL25!BB13+HISTOAOUT25!BB13+HISTOSEPT25!BB13+HISTOOCT25!BB13+HISTONOV25!BB13+HISTODEC25!BB13</f>
        <v>0</v>
      </c>
      <c r="BC13" s="5">
        <f>HISTOJANV25!BC13+HISTOFEV25!BC13+HISTOMARS25!BC13+HISTOAVRIL25!BC13+HISTOMAI25!BC13+HISTOJUIN25!BC13+HISTOJUIL25!BC13+HISTOAOUT25!BC13+HISTOSEPT25!BC13+HISTOOCT25!BC13+HISTONOV25!BC13+HISTODEC25!BC13</f>
        <v>0</v>
      </c>
      <c r="BD13" s="5">
        <f>HISTOJANV25!BD13+HISTOFEV25!BD13+HISTOMARS25!BD13+HISTOAVRIL25!BD13+HISTOMAI25!BD13+HISTOJUIN25!BD13+HISTOJUIL25!BD13+HISTOAOUT25!BD13+HISTOSEPT25!BD13+HISTOOCT25!BD13+HISTONOV25!BD13+HISTODEC25!BD13</f>
        <v>294500</v>
      </c>
      <c r="BE13" s="5"/>
      <c r="BF13" s="5">
        <f>HISTOJANV25!BF13+HISTOFEV25!BF13+HISTOMARS25!BF13+HISTOAVRIL25!BF13+HISTOMAI25!BF13+HISTOJUIN25!BF13+HISTOJUIL25!BF13+HISTOAOUT25!BF13+HISTOSEPT25!BF13+HISTOOCT25!BF13+HISTONOV25!BF13+HISTODEC25!BF13</f>
        <v>0</v>
      </c>
      <c r="BG13" s="5">
        <f>HISTOJANV25!BG13+HISTOFEV25!BG13+HISTOMARS25!BG13+HISTOAVRIL25!BG13+HISTOMAI25!BG13+HISTOJUIN25!BG13+HISTOJUIL25!BG13+HISTOAOUT25!BG13+HISTOSEPT25!BG13+HISTOOCT25!BG13+HISTONOV25!BG13+HISTODEC25!BG13</f>
        <v>67</v>
      </c>
      <c r="BH13" s="5">
        <f>HISTOJANV25!BH13+HISTOFEV25!BH13+HISTOMARS25!BH13+HISTOAVRIL25!BH13+HISTOMAI25!BH13+HISTOJUIN25!BH13+HISTOJUIL25!BH13+HISTOAOUT25!BH13+HISTOSEPT25!BH13+HISTOOCT25!BH13+HISTONOV25!BH13+HISTODEC25!BH13</f>
        <v>0</v>
      </c>
      <c r="BI13" s="5">
        <f>HISTOJANV25!BI13+HISTOFEV25!BI13+HISTOMARS25!BI13+HISTOAVRIL25!BI13+HISTOMAI25!BI13+HISTOJUIN25!BI13+HISTOJUIL25!BI13+HISTOAOUT25!BI13+HISTOSEPT25!BI13+HISTOOCT25!BI13+HISTONOV25!BI13+HISTODEC25!BI13</f>
        <v>0</v>
      </c>
      <c r="BJ13" s="5">
        <f>HISTOJANV25!BJ13+HISTOFEV25!BJ13+HISTOMARS25!BJ13+HISTOAVRIL25!BJ13+HISTOMAI25!BJ13+HISTOJUIN25!BJ13+HISTOJUIL25!BJ13+HISTOAOUT25!BJ13+HISTOSEPT25!BJ13+HISTOOCT25!BJ13+HISTONOV25!BJ13+HISTODEC25!BJ13</f>
        <v>0</v>
      </c>
      <c r="BK13" s="5">
        <f>HISTOJANV25!BK13+HISTOFEV25!BK13+HISTOMARS25!BK13+HISTOAVRIL25!BK13+HISTOMAI25!BK13+HISTOJUIN25!BK13+HISTOJUIL25!BK13+HISTOAOUT25!BK13+HISTOSEPT25!BK13+HISTOOCT25!BK13+HISTONOV25!BK13+HISTODEC25!BK13</f>
        <v>0</v>
      </c>
      <c r="BL13" s="5">
        <f>HISTOJANV25!BL13+HISTOFEV25!BL13+HISTOMARS25!BL13+HISTOAVRIL25!BL13+HISTOMAI25!BL13+HISTOJUIN25!BL13+HISTOJUIL25!BL13+HISTOAOUT25!BL13+HISTOSEPT25!BL13+HISTOOCT25!BL13+HISTONOV25!BL13+HISTODEC25!BL13</f>
        <v>0</v>
      </c>
      <c r="BM13" s="5">
        <f>HISTOJANV25!BM13+HISTOFEV25!BM13+HISTOMARS25!BM13+HISTOAVRIL25!BM13+HISTOMAI25!BM13+HISTOJUIN25!BM13+HISTOJUIL25!BM13+HISTOAOUT25!BM13+HISTOSEPT25!BM13+HISTOOCT25!BM13+HISTONOV25!BM13+HISTODEC25!BM13</f>
        <v>0</v>
      </c>
      <c r="BN13" s="5">
        <f>HISTOJANV25!BN13+HISTOFEV25!BN13+HISTOMARS25!BN13+HISTOAVRIL25!BN13+HISTOMAI25!BN13+HISTOJUIN25!BN13+HISTOJUIL25!BN13+HISTOAOUT25!BN13+HISTOSEPT25!BN13+HISTOOCT25!BN13+HISTONOV25!BN13+HISTODEC25!BN13</f>
        <v>0</v>
      </c>
      <c r="BO13" t="s">
        <v>145</v>
      </c>
      <c r="BP13" t="s">
        <v>114</v>
      </c>
      <c r="BQ13" s="6"/>
    </row>
    <row r="14" spans="1:69" ht="17.5" x14ac:dyDescent="0.35">
      <c r="A14" s="1" t="s">
        <v>18</v>
      </c>
      <c r="B14" s="1" t="str">
        <f>VLOOKUP(A14,[5]LISTADHERENT!A$5:H$50,3,0)</f>
        <v>DONHOU DAVID</v>
      </c>
      <c r="C14" s="5">
        <f>HISTOJANV25!C14+HISTOFEV25!C14+HISTOMARS25!C14+HISTOAVRIL25!C14+HISTOMAI25!C14+HISTOJUIN25!C14+HISTOJUIL25!C14+HISTOAOUT25!C14+HISTOSEPT25!C14+HISTOOCT25!C14+HISTONOV25!C14+HISTODEC25!C14</f>
        <v>0</v>
      </c>
      <c r="D14" s="5">
        <f>HISTOJANV25!D14+HISTOFEV25!D14+HISTOMARS25!D14+HISTOAVRIL25!D14+HISTOMAI25!D14+HISTOJUIN25!D14+HISTOJUIL25!D14+HISTOAOUT25!D14+HISTOSEPT25!D14+HISTOOCT25!D14+HISTONOV25!D14+HISTODEC25!D14</f>
        <v>550000</v>
      </c>
      <c r="E14" s="5">
        <f>HISTOJANV25!E14+HISTOFEV25!E14+HISTOMARS25!E14+HISTOAVRIL25!E14+HISTOMAI25!E14+HISTOJUIN25!E14+HISTOJUIL25!E14+HISTOAOUT25!E14+HISTOSEPT25!E14+HISTOOCT25!E14+HISTONOV25!E14+HISTODEC25!E14</f>
        <v>50000</v>
      </c>
      <c r="F14" s="5">
        <f>HISTOJANV25!F14+HISTOFEV25!F14+HISTOMARS25!F14+HISTOAVRIL25!F14+HISTOMAI25!F14+HISTOJUIN25!F14+HISTOJUIL25!F14+HISTOAOUT25!F14+HISTOSEPT25!F14+HISTOOCT25!F14+HISTONOV25!F14+HISTODEC25!F14</f>
        <v>0</v>
      </c>
      <c r="G14" s="5">
        <f>HISTOJANV25!G14+HISTOFEV25!G14+HISTOMARS25!G14+HISTOAVRIL25!G14+HISTOMAI25!G14+HISTOJUIN25!G14+HISTOJUIL25!G14+HISTOAOUT25!G14+HISTOSEPT25!G14+HISTOOCT25!G14+HISTONOV25!G14+HISTODEC25!G14</f>
        <v>-3000</v>
      </c>
      <c r="H14" s="5">
        <f>HISTOJANV25!H14+HISTOFEV25!H14+HISTOMARS25!H14+HISTOAVRIL25!H14+HISTOMAI25!H14+HISTOJUIN25!H14+HISTOJUIL25!H14+HISTOAOUT25!H14+HISTOSEPT25!H14+HISTOOCT25!H14+HISTONOV25!H14+HISTODEC25!H14</f>
        <v>3000</v>
      </c>
      <c r="I14" s="5"/>
      <c r="J14" s="5">
        <f>HISTOJANV25!J14+HISTOFEV25!J14+HISTOMARS25!J14+HISTOAVRIL25!J14+HISTOMAI25!J14+HISTOJUIN25!J14+HISTOJUIL25!J14+HISTOAOUT25!J14+HISTOSEPT25!J14+HISTOOCT25!J14+HISTONOV25!J14+HISTODEC25!J14</f>
        <v>12</v>
      </c>
      <c r="K14" s="5">
        <f>HISTOJANV25!K14+HISTOFEV25!K14+HISTOMARS25!K14+HISTOAVRIL25!K14+HISTOMAI25!K14+HISTOJUIN25!K14+HISTOJUIL25!K14+HISTOAOUT25!K14+HISTOSEPT25!K14+HISTOOCT25!K14+HISTONOV25!K14+HISTODEC25!K14</f>
        <v>600000</v>
      </c>
      <c r="L14" s="5">
        <f>HISTOJANV25!L14+HISTOFEV25!L14+HISTOMARS25!L14+HISTOAVRIL25!L14+HISTOMAI25!L14+HISTOJUIN25!L14+HISTOJUIL25!L14+HISTOAOUT25!L14+HISTOSEPT25!L14+HISTOOCT25!L14+HISTONOV25!L14+HISTODEC25!L14</f>
        <v>0</v>
      </c>
      <c r="M14" s="5">
        <f>HISTOJANV25!M14+HISTOFEV25!M14+HISTOMARS25!M14+HISTOAVRIL25!M14+HISTOMAI25!M14+HISTOJUIN25!M14+HISTOJUIL25!M14+HISTOAOUT25!M14+HISTOSEPT25!M14+HISTOOCT25!M14+HISTONOV25!M14+HISTODEC25!M14</f>
        <v>0</v>
      </c>
      <c r="N14" s="5">
        <f>HISTOJANV25!N14+HISTOFEV25!N14+HISTOMARS25!N14+HISTOAVRIL25!N14+HISTOMAI25!N14+HISTOJUIN25!N14+HISTOJUIL25!N14+HISTOAOUT25!N14+HISTOSEPT25!N14+HISTOOCT25!N14+HISTONOV25!N14+HISTODEC25!N14</f>
        <v>0</v>
      </c>
      <c r="O14" s="5">
        <f>HISTOJANV25!O14+HISTOFEV25!O14+HISTOMARS25!O14+HISTOAVRIL25!O14+HISTOMAI25!O14+HISTOJUIN25!O14+HISTOJUIL25!O14+HISTOAOUT25!O14+HISTOSEPT25!O14+HISTOOCT25!O14+HISTONOV25!O14+HISTODEC25!O14</f>
        <v>0</v>
      </c>
      <c r="P14" s="5">
        <f>HISTOJANV25!P14+HISTOFEV25!P14+HISTOMARS25!P14+HISTOAVRIL25!P14+HISTOMAI25!P14+HISTOJUIN25!P14+HISTOJUIL25!P14+HISTOAOUT25!P14+HISTOSEPT25!P14+HISTOOCT25!P14+HISTONOV25!P14+HISTODEC25!P14</f>
        <v>0</v>
      </c>
      <c r="Q14" s="5">
        <f>HISTOJANV25!Q14+HISTOFEV25!Q14+HISTOMARS25!Q14+HISTOAVRIL25!Q14+HISTOMAI25!Q14+HISTOJUIN25!Q14+HISTOJUIL25!Q14+HISTOAOUT25!Q14+HISTOSEPT25!Q14+HISTOOCT25!Q14+HISTONOV25!Q14+HISTODEC25!Q14</f>
        <v>0</v>
      </c>
      <c r="R14" s="5">
        <f>HISTOJANV25!R14+HISTOFEV25!R14+HISTOMARS25!R14+HISTOAVRIL25!R14+HISTOMAI25!R14+HISTOJUIN25!R14+HISTOJUIL25!R14+HISTOAOUT25!R14+HISTOSEPT25!R14+HISTOOCT25!R14+HISTONOV25!R14+HISTODEC25!R14</f>
        <v>0</v>
      </c>
      <c r="S14" s="5">
        <f>HISTOJANV25!S14+HISTOFEV25!S14+HISTOMARS25!S14+HISTOAVRIL25!S14+HISTOMAI25!S14+HISTOJUIN25!S14+HISTOJUIL25!S14+HISTOAOUT25!S14+HISTOSEPT25!S14+HISTOOCT25!S14+HISTONOV25!S14+HISTODEC25!S14</f>
        <v>0</v>
      </c>
      <c r="T14" s="5"/>
      <c r="U14" s="5">
        <f>HISTOJANV25!U14+HISTOFEV25!U14+HISTOMARS25!U14+HISTOAVRIL25!U14+HISTOMAI25!U14+HISTOJUIN25!U14+HISTOJUIL25!U14+HISTOAOUT25!U14+HISTOSEPT25!U14+HISTOOCT25!U14+HISTONOV25!U14+HISTODEC25!U14</f>
        <v>600000</v>
      </c>
      <c r="V14" s="5">
        <f>HISTOJANV25!V14+HISTOFEV25!V14+HISTOMARS25!V14+HISTOAVRIL25!V14+HISTOMAI25!V14+HISTOJUIN25!V14+HISTOJUIL25!V14+HISTOAOUT25!V14+HISTOSEPT25!V14+HISTOOCT25!V14+HISTONOV25!V14+HISTODEC25!V14</f>
        <v>0</v>
      </c>
      <c r="W14" s="5">
        <f>HISTOJANV25!W14+HISTOFEV25!W14+HISTOMARS25!W14+HISTOAVRIL25!W14+HISTOMAI25!W14+HISTOJUIN25!W14+HISTOJUIL25!W14+HISTOAOUT25!W14+HISTOSEPT25!W14+HISTOOCT25!W14+HISTONOV25!W14+HISTODEC25!W14</f>
        <v>0</v>
      </c>
      <c r="X14" s="5">
        <f>HISTOJANV25!X14+HISTOFEV25!X14+HISTOMARS25!X14+HISTOAVRIL25!X14+HISTOMAI25!X14+HISTOJUIN25!X14+HISTOJUIL25!X14+HISTOAOUT25!X14+HISTOSEPT25!X14+HISTOOCT25!X14+HISTONOV25!X14+HISTODEC25!X14</f>
        <v>0</v>
      </c>
      <c r="Y14" s="5">
        <f>HISTOJANV25!Y14+HISTOFEV25!Y14+HISTOMARS25!Y14+HISTOAVRIL25!Y14+HISTOMAI25!Y14+HISTOJUIN25!Y14+HISTOJUIL25!Y14+HISTOAOUT25!Y14+HISTOSEPT25!Y14+HISTOOCT25!Y14+HISTONOV25!Y14+HISTODEC25!Y14</f>
        <v>600000</v>
      </c>
      <c r="Z14" s="5">
        <f>HISTOJANV25!Z14+HISTOFEV25!Z14+HISTOMARS25!Z14+HISTOAVRIL25!Z14+HISTOMAI25!Z14+HISTOJUIN25!Z14+HISTOJUIL25!Z14+HISTOAOUT25!Z14+HISTOSEPT25!Z14+HISTOOCT25!Z14+HISTONOV25!Z14+HISTODEC25!Z14</f>
        <v>0</v>
      </c>
      <c r="AA14" s="5"/>
      <c r="AB14" s="5">
        <f>HISTOJANV25!AB14+HISTOFEV25!AB14+HISTOMARS25!AB14+HISTOAVRIL25!AB14+HISTOMAI25!AB14+HISTOJUIN25!AB14+HISTOJUIL25!AB14+HISTOAOUT25!AB14+HISTOSEPT25!AB14+HISTOOCT25!AB14+HISTONOV25!AB14+HISTODEC25!AB14</f>
        <v>0</v>
      </c>
      <c r="AC14" s="5">
        <f>HISTOJANV25!AC14+HISTOFEV25!AC14+HISTOMARS25!AC14+HISTOAVRIL25!AC14+HISTOMAI25!AC14+HISTOJUIN25!AC14+HISTOJUIL25!AC14+HISTOAOUT25!AC14+HISTOSEPT25!AC14+HISTOOCT25!AC14+HISTONOV25!AC14+HISTODEC25!AC14</f>
        <v>2500</v>
      </c>
      <c r="AD14" s="5">
        <f>HISTOJANV25!AD14+HISTOFEV25!AD14+HISTOMARS25!AD14+HISTOAVRIL25!AD14+HISTOMAI25!AD14+HISTOJUIN25!AD14+HISTOJUIL25!AD14+HISTOAOUT25!AD14+HISTOSEPT25!AD14+HISTOOCT25!AD14+HISTONOV25!AD14+HISTODEC25!AD14</f>
        <v>0</v>
      </c>
      <c r="AE14" s="5">
        <f>HISTOJANV25!AE14+HISTOFEV25!AE14+HISTOMARS25!AE14+HISTOAVRIL25!AE14+HISTOMAI25!AE14+HISTOJUIN25!AE14+HISTOJUIL25!AE14+HISTOAOUT25!AE14+HISTOSEPT25!AE14+HISTOOCT25!AE14+HISTONOV25!AE14+HISTODEC25!AE14</f>
        <v>0</v>
      </c>
      <c r="AF14" s="5"/>
      <c r="AG14" s="5">
        <f>HISTOJANV25!AG14+HISTOFEV25!AG14+HISTOMARS25!AG14+HISTOAVRIL25!AG14+HISTOMAI25!AG14+HISTOJUIN25!AG14+HISTOJUIL25!AG14+HISTOAOUT25!AG14+HISTOSEPT25!AG14+HISTOOCT25!AG14+HISTONOV25!AG14+HISTODEC25!AG14</f>
        <v>0</v>
      </c>
      <c r="AH14" s="5">
        <f>HISTOJANV25!AH14+HISTOFEV25!AH14+HISTOMARS25!AH14+HISTOAVRIL25!AH14+HISTOMAI25!AH14+HISTOJUIN25!AH14+HISTOJUIL25!AH14+HISTOAOUT25!AH14+HISTOSEPT25!AH14+HISTOOCT25!AH14+HISTONOV25!AH14+HISTODEC25!AH14</f>
        <v>0</v>
      </c>
      <c r="AI14" s="5">
        <f>HISTOJANV25!AI14+HISTOFEV25!AI14+HISTOMARS25!AI14+HISTOAVRIL25!AI14+HISTOMAI25!AI14+HISTOJUIN25!AI14+HISTOJUIL25!AI14+HISTOAOUT25!AI14+HISTOSEPT25!AI14+HISTOOCT25!AI14+HISTONOV25!AI14+HISTODEC25!AI14</f>
        <v>0</v>
      </c>
      <c r="AJ14" s="5">
        <f>HISTOJANV25!AJ14+HISTOFEV25!AJ14+HISTOMARS25!AJ14+HISTOAVRIL25!AJ14+HISTOMAI25!AJ14+HISTOJUIN25!AJ14+HISTOJUIL25!AJ14+HISTOAOUT25!AJ14+HISTOSEPT25!AJ14+HISTOOCT25!AJ14+HISTONOV25!AJ14+HISTODEC25!AJ14</f>
        <v>0</v>
      </c>
      <c r="AK14" s="5">
        <f>HISTOJANV25!AK14+HISTOFEV25!AK14+HISTOMARS25!AK14+HISTOAVRIL25!AK14+HISTOMAI25!AK14+HISTOJUIN25!AK14+HISTOJUIL25!AK14+HISTOAOUT25!AK14+HISTOSEPT25!AK14+HISTOOCT25!AK14+HISTONOV25!AK14+HISTODEC25!AK14</f>
        <v>0</v>
      </c>
      <c r="AL14" s="5">
        <f>HISTOJANV25!AL14+HISTOFEV25!AL14+HISTOMARS25!AL14+HISTOAVRIL25!AL14+HISTOMAI25!AL14+HISTOJUIN25!AL14+HISTOJUIL25!AL14+HISTOAOUT25!AL14+HISTOSEPT25!AL14+HISTOOCT25!AL14+HISTONOV25!AL14+HISTODEC25!AL14</f>
        <v>0</v>
      </c>
      <c r="AM14" s="5">
        <f>HISTOJANV25!AM14+HISTOFEV25!AM14+HISTOMARS25!AM14+HISTOAVRIL25!AM14+HISTOMAI25!AM14+HISTOJUIN25!AM14+HISTOJUIL25!AM14+HISTOAOUT25!AM14+HISTOSEPT25!AM14+HISTOOCT25!AM14+HISTONOV25!AM14+HISTODEC25!AM14</f>
        <v>0</v>
      </c>
      <c r="AN14" s="5">
        <f>HISTOJANV25!AN14+HISTOFEV25!AN14+HISTOMARS25!AN14+HISTOAVRIL25!AN14+HISTOMAI25!AN14+HISTOJUIN25!AN14+HISTOJUIL25!AN14+HISTOAOUT25!AN14+HISTOSEPT25!AN14+HISTOOCT25!AN14+HISTONOV25!AN14+HISTODEC25!AN14</f>
        <v>0</v>
      </c>
      <c r="AO14" s="5">
        <f>HISTOJANV25!AO14+HISTOFEV25!AO14+HISTOMARS25!AO14+HISTOAVRIL25!AO14+HISTOMAI25!AO14+HISTOJUIN25!AO14+HISTOJUIL25!AO14+HISTOAOUT25!AO14+HISTOSEPT25!AO14+HISTOOCT25!AO14+HISTONOV25!AO14+HISTODEC25!AO14</f>
        <v>0</v>
      </c>
      <c r="AP14" s="5"/>
      <c r="AQ14" s="5">
        <f>HISTOJANV25!AQ14+HISTOFEV25!AQ14+HISTOMARS25!AQ14+HISTOAVRIL25!AQ14+HISTOMAI25!AQ14+HISTOJUIN25!AQ14+HISTOJUIL25!AQ14+HISTOAOUT25!AQ14+HISTOSEPT25!AQ14+HISTOOCT25!AQ14+HISTONOV25!AQ14+HISTODEC25!AQ14</f>
        <v>0</v>
      </c>
      <c r="AR14" s="5">
        <f>HISTOJANV25!AR14+HISTOFEV25!AR14+HISTOMARS25!AR14+HISTOAVRIL25!AR14+HISTOMAI25!AR14+HISTOJUIN25!AR14+HISTOJUIL25!AR14+HISTOAOUT25!AR14+HISTOSEPT25!AR14+HISTOOCT25!AR14+HISTONOV25!AR14+HISTODEC25!AR14</f>
        <v>0</v>
      </c>
      <c r="AS14" s="5">
        <f>HISTOJANV25!AS14+HISTOFEV25!AS14+HISTOMARS25!AS14+HISTOAVRIL25!AS14+HISTOMAI25!AS14+HISTOJUIN25!AS14+HISTOJUIL25!AS14+HISTOAOUT25!AS14+HISTOSEPT25!AS14+HISTOOCT25!AS14+HISTONOV25!AS14+HISTODEC25!AS14</f>
        <v>297000</v>
      </c>
      <c r="AT14" s="5">
        <f>HISTOJANV25!AT14+HISTOFEV25!AT14+HISTOMARS25!AT14+HISTOAVRIL25!AT14+HISTOMAI25!AT14+HISTOJUIN25!AT14+HISTOJUIL25!AT14+HISTOAOUT25!AT14+HISTOSEPT25!AT14+HISTOOCT25!AT14+HISTONOV25!AT14+HISTODEC25!AT14</f>
        <v>0</v>
      </c>
      <c r="AU14" s="5">
        <f>HISTOJANV25!AU14+HISTOFEV25!AU14+HISTOMARS25!AU14+HISTOAVRIL25!AU14+HISTOMAI25!AU14+HISTOJUIN25!AU14+HISTOJUIL25!AU14+HISTOAOUT25!AU14+HISTOSEPT25!AU14+HISTOOCT25!AU14+HISTONOV25!AU14+HISTODEC25!AU14</f>
        <v>0</v>
      </c>
      <c r="AV14" s="5">
        <f>HISTOJANV25!AV14+HISTOFEV25!AV14+HISTOMARS25!AV14+HISTOAVRIL25!AV14+HISTOMAI25!AV14+HISTOJUIN25!AV14+HISTOJUIL25!AV14+HISTOAOUT25!AV14+HISTOSEPT25!AV14+HISTOOCT25!AV14+HISTONOV25!AV14+HISTODEC25!AV14</f>
        <v>0</v>
      </c>
      <c r="AW14" s="5">
        <f>HISTOJANV25!AW14+HISTOFEV25!AW14+HISTOMARS25!AW14+HISTOAVRIL25!AW14+HISTOMAI25!AW14+HISTOJUIN25!AW14+HISTOJUIL25!AW14+HISTOAOUT25!AW14+HISTOSEPT25!AW14+HISTOOCT25!AW14+HISTONOV25!AW14+HISTODEC25!AW14</f>
        <v>297500</v>
      </c>
      <c r="AX14" s="5">
        <f>HISTOJANV25!AX14+HISTOFEV25!AX14+HISTOMARS25!AX14+HISTOAVRIL25!AX14+HISTOMAI25!AX14+HISTOJUIN25!AX14+HISTOJUIL25!AX14+HISTOAOUT25!AX14+HISTOSEPT25!AX14+HISTOOCT25!AX14+HISTONOV25!AX14+HISTODEC25!AX14</f>
        <v>0</v>
      </c>
      <c r="AY14" s="5">
        <f>HISTOJANV25!AY14+HISTOFEV25!AY14+HISTOMARS25!AY14+HISTOAVRIL25!AY14+HISTOMAI25!AY14+HISTOJUIN25!AY14+HISTOJUIL25!AY14+HISTOAOUT25!AY14+HISTOSEPT25!AY14+HISTOOCT25!AY14+HISTONOV25!AY14+HISTODEC25!AY14</f>
        <v>0</v>
      </c>
      <c r="AZ14" s="5">
        <f>HISTOJANV25!AZ14+HISTOFEV25!AZ14+HISTOMARS25!AZ14+HISTOAVRIL25!AZ14+HISTOMAI25!AZ14+HISTOJUIN25!AZ14+HISTOJUIL25!AZ14+HISTOAOUT25!AZ14+HISTOSEPT25!AZ14+HISTOOCT25!AZ14+HISTONOV25!AZ14+HISTODEC25!AZ14</f>
        <v>397500</v>
      </c>
      <c r="BA14" s="5">
        <f>HISTOJANV25!BA14+HISTOFEV25!BA14+HISTOMARS25!BA14+HISTOAVRIL25!BA14+HISTOMAI25!BA14+HISTOJUIN25!BA14+HISTOJUIL25!BA14+HISTOAOUT25!BA14+HISTOSEPT25!BA14+HISTOOCT25!BA14+HISTONOV25!BA14+HISTODEC25!BA14</f>
        <v>197500</v>
      </c>
      <c r="BB14" s="5">
        <f>HISTOJANV25!BB14+HISTOFEV25!BB14+HISTOMARS25!BB14+HISTOAVRIL25!BB14+HISTOMAI25!BB14+HISTOJUIN25!BB14+HISTOJUIL25!BB14+HISTOAOUT25!BB14+HISTOSEPT25!BB14+HISTOOCT25!BB14+HISTONOV25!BB14+HISTODEC25!BB14+200000</f>
        <v>200000</v>
      </c>
      <c r="BC14" s="5">
        <f>HISTOJANV25!BC14+HISTOFEV25!BC14+HISTOMARS25!BC14+HISTOAVRIL25!BC14+HISTOMAI25!BC14+HISTOJUIN25!BC14+HISTOJUIL25!BC14+HISTOAOUT25!BC14+HISTOSEPT25!BC14+HISTOOCT25!BC14+HISTONOV25!BC14+HISTODEC25!BC14</f>
        <v>0</v>
      </c>
      <c r="BD14" s="5">
        <f>HISTOJANV25!BD14+HISTOFEV25!BD14+HISTOMARS25!BD14+HISTOAVRIL25!BD14+HISTOMAI25!BD14+HISTOJUIN25!BD14+HISTOJUIL25!BD14+HISTOAOUT25!BD14+HISTOSEPT25!BD14+HISTOOCT25!BD14+HISTONOV25!BD14+HISTODEC25!BD14</f>
        <v>100000</v>
      </c>
      <c r="BE14" s="5"/>
      <c r="BF14" s="5">
        <f>HISTOJANV25!BF14+HISTOFEV25!BF14+HISTOMARS25!BF14+HISTOAVRIL25!BF14+HISTOMAI25!BF14+HISTOJUIN25!BF14+HISTOJUIL25!BF14+HISTOAOUT25!BF14+HISTOSEPT25!BF14+HISTOOCT25!BF14+HISTONOV25!BF14+HISTODEC25!BF14</f>
        <v>0</v>
      </c>
      <c r="BG14" s="5">
        <f>HISTOJANV25!BG14+HISTOFEV25!BG14+HISTOMARS25!BG14+HISTOAVRIL25!BG14+HISTOMAI25!BG14+HISTOJUIN25!BG14+HISTOJUIL25!BG14+HISTOAOUT25!BG14+HISTOSEPT25!BG14+HISTOOCT25!BG14+HISTONOV25!BG14+HISTODEC25!BG14</f>
        <v>67</v>
      </c>
      <c r="BH14" s="5">
        <f>HISTOJANV25!BH14+HISTOFEV25!BH14+HISTOMARS25!BH14+HISTOAVRIL25!BH14+HISTOMAI25!BH14+HISTOJUIN25!BH14+HISTOJUIL25!BH14+HISTOAOUT25!BH14+HISTOSEPT25!BH14+HISTOOCT25!BH14+HISTONOV25!BH14+HISTODEC25!BH14</f>
        <v>0</v>
      </c>
      <c r="BI14" s="5">
        <f>HISTOJANV25!BI14+HISTOFEV25!BI14+HISTOMARS25!BI14+HISTOAVRIL25!BI14+HISTOMAI25!BI14+HISTOJUIN25!BI14+HISTOJUIL25!BI14+HISTOAOUT25!BI14+HISTOSEPT25!BI14+HISTOOCT25!BI14+HISTONOV25!BI14+HISTODEC25!BI14</f>
        <v>0</v>
      </c>
      <c r="BJ14" s="5">
        <f>HISTOJANV25!BJ14+HISTOFEV25!BJ14+HISTOMARS25!BJ14+HISTOAVRIL25!BJ14+HISTOMAI25!BJ14+HISTOJUIN25!BJ14+HISTOJUIL25!BJ14+HISTOAOUT25!BJ14+HISTOSEPT25!BJ14+HISTOOCT25!BJ14+HISTONOV25!BJ14+HISTODEC25!BJ14</f>
        <v>0</v>
      </c>
      <c r="BK14" s="5">
        <f>HISTOJANV25!BK14+HISTOFEV25!BK14+HISTOMARS25!BK14+HISTOAVRIL25!BK14+HISTOMAI25!BK14+HISTOJUIN25!BK14+HISTOJUIL25!BK14+HISTOAOUT25!BK14+HISTOSEPT25!BK14+HISTOOCT25!BK14+HISTONOV25!BK14+HISTODEC25!BK14</f>
        <v>100000</v>
      </c>
      <c r="BL14" s="5">
        <f>HISTOJANV25!BL14+HISTOFEV25!BL14+HISTOMARS25!BL14+HISTOAVRIL25!BL14+HISTOMAI25!BL14+HISTOJUIN25!BL14+HISTOJUIL25!BL14+HISTOAOUT25!BL14+HISTOSEPT25!BL14+HISTOOCT25!BL14+HISTONOV25!BL14+HISTODEC25!BL14</f>
        <v>0</v>
      </c>
      <c r="BM14" s="5">
        <f>HISTOJANV25!BM14+HISTOFEV25!BM14+HISTOMARS25!BM14+HISTOAVRIL25!BM14+HISTOMAI25!BM14+HISTOJUIN25!BM14+HISTOJUIL25!BM14+HISTOAOUT25!BM14+HISTOSEPT25!BM14+HISTOOCT25!BM14+HISTONOV25!BM14+HISTODEC25!BM14</f>
        <v>0</v>
      </c>
      <c r="BN14" s="5">
        <f>HISTOJANV25!BN14+HISTOFEV25!BN14+HISTOMARS25!BN14+HISTOAVRIL25!BN14+HISTOMAI25!BN14+HISTOJUIN25!BN14+HISTOJUIL25!BN14+HISTOAOUT25!BN14+HISTOSEPT25!BN14+HISTOOCT25!BN14+HISTONOV25!BN14+HISTODEC25!BN14</f>
        <v>0</v>
      </c>
      <c r="BO14" t="s">
        <v>210</v>
      </c>
      <c r="BP14" t="s">
        <v>114</v>
      </c>
      <c r="BQ14" s="6"/>
    </row>
    <row r="15" spans="1:69" ht="17.5" x14ac:dyDescent="0.35">
      <c r="A15" s="1" t="s">
        <v>269</v>
      </c>
      <c r="B15" s="1" t="str">
        <f>VLOOKUP(A15,[5]LISTADHERENT!A$5:H$50,3,0)</f>
        <v>FAMPOU PAUL</v>
      </c>
      <c r="C15" s="5">
        <f>HISTOJANV25!C15+HISTOFEV25!C15+HISTOMARS25!C15+HISTOAVRIL25!C15+HISTOMAI25!C15+HISTOJUIN25!C15+HISTOJUIL25!C15+HISTOAOUT25!C15+HISTOSEPT25!C15+HISTOOCT25!C15+HISTONOV25!C15+HISTODEC25!C15</f>
        <v>150000</v>
      </c>
      <c r="D15" s="5">
        <f>HISTOJANV25!D15+HISTOFEV25!D15+HISTOMARS25!D15+HISTOAVRIL25!D15+HISTOMAI25!D15+HISTOJUIN25!D15+HISTOJUIL25!D15+HISTOAOUT25!D15+HISTOSEPT25!D15+HISTOOCT25!D15+HISTONOV25!D15+HISTODEC25!D15</f>
        <v>1827000</v>
      </c>
      <c r="E15" s="5">
        <f>HISTOJANV25!E15+HISTOFEV25!E15+HISTOMARS25!E15+HISTOAVRIL25!E15+HISTOMAI25!E15+HISTOJUIN25!E15+HISTOJUIL25!E15+HISTOAOUT25!E15+HISTOSEPT25!E15+HISTOOCT25!E15+HISTONOV25!E15+HISTODEC25!E15</f>
        <v>328000</v>
      </c>
      <c r="F15" s="5">
        <f>HISTOJANV25!F15+HISTOFEV25!F15+HISTOMARS25!F15+HISTOAVRIL25!F15+HISTOMAI25!F15+HISTOJUIN25!F15+HISTOJUIL25!F15+HISTOAOUT25!F15+HISTOSEPT25!F15+HISTOOCT25!F15+HISTONOV25!F15+HISTODEC25!F15</f>
        <v>800000</v>
      </c>
      <c r="G15" s="5">
        <f>HISTOJANV25!G15+HISTOFEV25!G15+HISTOMARS25!G15+HISTOAVRIL25!G15+HISTOMAI25!G15+HISTOJUIN25!G15+HISTOJUIL25!G15+HISTOAOUT25!G15+HISTOSEPT25!G15+HISTOOCT25!G15+HISTONOV25!G15+HISTODEC25!G15</f>
        <v>799000</v>
      </c>
      <c r="H15" s="5">
        <f>HISTOJANV25!H15+HISTOFEV25!H15+HISTOMARS25!H15+HISTOAVRIL25!H15+HISTOMAI25!H15+HISTOJUIN25!H15+HISTOJUIL25!H15+HISTOAOUT25!H15+HISTOSEPT25!H15+HISTOOCT25!H15+HISTONOV25!H15+HISTODEC25!H15</f>
        <v>0</v>
      </c>
      <c r="I15" s="5"/>
      <c r="J15" s="5">
        <f>HISTOJANV25!J15+HISTOFEV25!J15+HISTOMARS25!J15+HISTOAVRIL25!J15+HISTOMAI25!J15+HISTOJUIN25!J15+HISTOJUIL25!J15+HISTOAOUT25!J15+HISTOSEPT25!J15+HISTOOCT25!J15+HISTONOV25!J15+HISTODEC25!J15</f>
        <v>12</v>
      </c>
      <c r="K15" s="5">
        <f>HISTOJANV25!K15+HISTOFEV25!K15+HISTOMARS25!K15+HISTOAVRIL25!K15+HISTOMAI25!K15+HISTOJUIN25!K15+HISTOJUIL25!K15+HISTOAOUT25!K15+HISTOSEPT25!K15+HISTOOCT25!K15+HISTONOV25!K15+HISTODEC25!K15</f>
        <v>550000</v>
      </c>
      <c r="L15" s="5">
        <f>HISTOJANV25!L15+HISTOFEV25!L15+HISTOMARS25!L15+HISTOAVRIL25!L15+HISTOMAI25!L15+HISTOJUIN25!L15+HISTOJUIL25!L15+HISTOAOUT25!L15+HISTOSEPT25!L15+HISTOOCT25!L15+HISTONOV25!L15+HISTODEC25!L15</f>
        <v>0</v>
      </c>
      <c r="M15" s="5">
        <f>HISTOJANV25!M15+HISTOFEV25!M15+HISTOMARS25!M15+HISTOAVRIL25!M15+HISTOMAI25!M15+HISTOJUIN25!M15+HISTOJUIL25!M15+HISTOAOUT25!M15+HISTOSEPT25!M15+HISTOOCT25!M15+HISTONOV25!M15+HISTODEC25!M15</f>
        <v>0</v>
      </c>
      <c r="N15" s="5">
        <f>HISTOJANV25!N15+HISTOFEV25!N15+HISTOMARS25!N15+HISTOAVRIL25!N15+HISTOMAI25!N15+HISTOJUIN25!N15+HISTOJUIL25!N15+HISTOAOUT25!N15+HISTOSEPT25!N15+HISTOOCT25!N15+HISTONOV25!N15+HISTODEC25!N15</f>
        <v>12</v>
      </c>
      <c r="O15" s="5">
        <f>HISTOJANV25!O15+HISTOFEV25!O15+HISTOMARS25!O15+HISTOAVRIL25!O15+HISTOMAI25!O15+HISTOJUIN25!O15+HISTOJUIL25!O15+HISTOAOUT25!O15+HISTOSEPT25!O15+HISTOOCT25!O15+HISTONOV25!O15+HISTODEC25!O15</f>
        <v>1100000</v>
      </c>
      <c r="P15" s="5">
        <f>HISTOJANV25!P15+HISTOFEV25!P15+HISTOMARS25!P15+HISTOAVRIL25!P15+HISTOMAI25!P15+HISTOJUIN25!P15+HISTOJUIL25!P15+HISTOAOUT25!P15+HISTOSEPT25!P15+HISTOOCT25!P15+HISTONOV25!P15+HISTODEC25!P15</f>
        <v>0</v>
      </c>
      <c r="Q15" s="5">
        <f>HISTOJANV25!Q15+HISTOFEV25!Q15+HISTOMARS25!Q15+HISTOAVRIL25!Q15+HISTOMAI25!Q15+HISTOJUIN25!Q15+HISTOJUIL25!Q15+HISTOAOUT25!Q15+HISTOSEPT25!Q15+HISTOOCT25!Q15+HISTONOV25!Q15+HISTODEC25!Q15</f>
        <v>0</v>
      </c>
      <c r="R15" s="5">
        <f>HISTOJANV25!R15+HISTOFEV25!R15+HISTOMARS25!R15+HISTOAVRIL25!R15+HISTOMAI25!R15+HISTOJUIN25!R15+HISTOJUIL25!R15+HISTOAOUT25!R15+HISTOSEPT25!R15+HISTOOCT25!R15+HISTONOV25!R15+HISTODEC25!R15</f>
        <v>331000</v>
      </c>
      <c r="S15" s="5">
        <f>HISTOJANV25!S15+HISTOFEV25!S15+HISTOMARS25!S15+HISTOAVRIL25!S15+HISTOMAI25!S15+HISTOJUIN25!S15+HISTOJUIL25!S15+HISTOAOUT25!S15+HISTOSEPT25!S15+HISTOOCT25!S15+HISTONOV25!S15+HISTODEC25!S15</f>
        <v>0</v>
      </c>
      <c r="T15" s="5"/>
      <c r="U15" s="5">
        <f>HISTOJANV25!U15+HISTOFEV25!U15+HISTOMARS25!U15+HISTOAVRIL25!U15+HISTOMAI25!U15+HISTOJUIN25!U15+HISTOJUIL25!U15+HISTOAOUT25!U15+HISTOSEPT25!U15+HISTOOCT25!U15+HISTONOV25!U15+HISTODEC25!U15</f>
        <v>2805000</v>
      </c>
      <c r="V15" s="5">
        <f>HISTOJANV25!V15+HISTOFEV25!V15+HISTOMARS25!V15+HISTOAVRIL25!V15+HISTOMAI25!V15+HISTOJUIN25!V15+HISTOJUIL25!V15+HISTOAOUT25!V15+HISTOSEPT25!V15+HISTOOCT25!V15+HISTONOV25!V15+HISTODEC25!V15</f>
        <v>0</v>
      </c>
      <c r="W15" s="5">
        <f>HISTOJANV25!W15+HISTOFEV25!W15+HISTOMARS25!W15+HISTOAVRIL25!W15+HISTOMAI25!W15+HISTOJUIN25!W15+HISTOJUIL25!W15+HISTOAOUT25!W15+HISTOSEPT25!W15+HISTOOCT25!W15+HISTONOV25!W15+HISTODEC25!W15</f>
        <v>25000</v>
      </c>
      <c r="X15" s="5">
        <f>HISTOJANV25!X15+HISTOFEV25!X15+HISTOMARS25!X15+HISTOAVRIL25!X15+HISTOMAI25!X15+HISTOJUIN25!X15+HISTOJUIL25!X15+HISTOAOUT25!X15+HISTOSEPT25!X15+HISTOOCT25!X15+HISTONOV25!X15+HISTODEC25!X15</f>
        <v>0</v>
      </c>
      <c r="Y15" s="5">
        <f>HISTOJANV25!Y15+HISTOFEV25!Y15+HISTOMARS25!Y15+HISTOAVRIL25!Y15+HISTOMAI25!Y15+HISTOJUIN25!Y15+HISTOJUIL25!Y15+HISTOAOUT25!Y15+HISTOSEPT25!Y15+HISTOOCT25!Y15+HISTONOV25!Y15+HISTODEC25!Y15</f>
        <v>1650000</v>
      </c>
      <c r="Z15" s="5">
        <f>HISTOJANV25!Z15+HISTOFEV25!Z15+HISTOMARS25!Z15+HISTOAVRIL25!Z15+HISTOMAI25!Z15+HISTOJUIN25!Z15+HISTOJUIL25!Z15+HISTOAOUT25!Z15+HISTOSEPT25!Z15+HISTOOCT25!Z15+HISTONOV25!Z15+HISTODEC25!Z15</f>
        <v>0</v>
      </c>
      <c r="AA15" s="5"/>
      <c r="AB15" s="5">
        <f>HISTOJANV25!AB15+HISTOFEV25!AB15+HISTOMARS25!AB15+HISTOAVRIL25!AB15+HISTOMAI25!AB15+HISTOJUIN25!AB15+HISTOJUIL25!AB15+HISTOAOUT25!AB15+HISTOSEPT25!AB15+HISTOOCT25!AB15+HISTONOV25!AB15+HISTODEC25!AB15</f>
        <v>0</v>
      </c>
      <c r="AC15" s="5">
        <f>HISTOJANV25!AC15+HISTOFEV25!AC15+HISTOMARS25!AC15+HISTOAVRIL25!AC15+HISTOMAI25!AC15+HISTOJUIN25!AC15+HISTOJUIL25!AC15+HISTOAOUT25!AC15+HISTOSEPT25!AC15+HISTOOCT25!AC15+HISTONOV25!AC15+HISTODEC25!AC15</f>
        <v>2500</v>
      </c>
      <c r="AD15" s="5">
        <f>HISTOJANV25!AD15+HISTOFEV25!AD15+HISTOMARS25!AD15+HISTOAVRIL25!AD15+HISTOMAI25!AD15+HISTOJUIN25!AD15+HISTOJUIL25!AD15+HISTOAOUT25!AD15+HISTOSEPT25!AD15+HISTOOCT25!AD15+HISTONOV25!AD15+HISTODEC25!AD15</f>
        <v>0</v>
      </c>
      <c r="AE15" s="5">
        <f>HISTOJANV25!AE15+HISTOFEV25!AE15+HISTOMARS25!AE15+HISTOAVRIL25!AE15+HISTOMAI25!AE15+HISTOJUIN25!AE15+HISTOJUIL25!AE15+HISTOAOUT25!AE15+HISTOSEPT25!AE15+HISTOOCT25!AE15+HISTONOV25!AE15+HISTODEC25!AE15</f>
        <v>15000</v>
      </c>
      <c r="AF15" s="5"/>
      <c r="AG15" s="5">
        <f>HISTOJANV25!AG15+HISTOFEV25!AG15+HISTOMARS25!AG15+HISTOAVRIL25!AG15+HISTOMAI25!AG15+HISTOJUIN25!AG15+HISTOJUIL25!AG15+HISTOAOUT25!AG15+HISTOSEPT25!AG15+HISTOOCT25!AG15+HISTONOV25!AG15+HISTODEC25!AG15</f>
        <v>0</v>
      </c>
      <c r="AH15" s="5">
        <f>HISTOJANV25!AH15+HISTOFEV25!AH15+HISTOMARS25!AH15+HISTOAVRIL25!AH15+HISTOMAI25!AH15+HISTOJUIN25!AH15+HISTOJUIL25!AH15+HISTOAOUT25!AH15+HISTOSEPT25!AH15+HISTOOCT25!AH15+HISTONOV25!AH15+HISTODEC25!AH15</f>
        <v>0</v>
      </c>
      <c r="AI15" s="5">
        <f>HISTOJANV25!AI15+HISTOFEV25!AI15+HISTOMARS25!AI15+HISTOAVRIL25!AI15+HISTOMAI25!AI15+HISTOJUIN25!AI15+HISTOJUIL25!AI15+HISTOAOUT25!AI15+HISTOSEPT25!AI15+HISTOOCT25!AI15+HISTONOV25!AI15+HISTODEC25!AI15</f>
        <v>0</v>
      </c>
      <c r="AJ15" s="5">
        <f>HISTOJANV25!AJ15+HISTOFEV25!AJ15+HISTOMARS25!AJ15+HISTOAVRIL25!AJ15+HISTOMAI25!AJ15+HISTOJUIN25!AJ15+HISTOJUIL25!AJ15+HISTOAOUT25!AJ15+HISTOSEPT25!AJ15+HISTOOCT25!AJ15+HISTONOV25!AJ15+HISTODEC25!AJ15</f>
        <v>0</v>
      </c>
      <c r="AK15" s="5">
        <f>HISTOJANV25!AK15+HISTOFEV25!AK15+HISTOMARS25!AK15+HISTOAVRIL25!AK15+HISTOMAI25!AK15+HISTOJUIN25!AK15+HISTOJUIL25!AK15+HISTOAOUT25!AK15+HISTOSEPT25!AK15+HISTOOCT25!AK15+HISTONOV25!AK15+HISTODEC25!AK15</f>
        <v>300000</v>
      </c>
      <c r="AL15" s="5">
        <f>HISTOJANV25!AL15+HISTOFEV25!AL15+HISTOMARS25!AL15+HISTOAVRIL25!AL15+HISTOMAI25!AL15+HISTOJUIN25!AL15+HISTOJUIL25!AL15+HISTOAOUT25!AL15+HISTOSEPT25!AL15+HISTOOCT25!AL15+HISTONOV25!AL15+HISTODEC25!AL15</f>
        <v>0</v>
      </c>
      <c r="AM15" s="5">
        <f>HISTOJANV25!AM15+HISTOFEV25!AM15+HISTOMARS25!AM15+HISTOAVRIL25!AM15+HISTOMAI25!AM15+HISTOJUIN25!AM15+HISTOJUIL25!AM15+HISTOAOUT25!AM15+HISTOSEPT25!AM15+HISTOOCT25!AM15+HISTONOV25!AM15+HISTODEC25!AM15</f>
        <v>0</v>
      </c>
      <c r="AN15" s="5">
        <f>HISTOJANV25!AN15+HISTOFEV25!AN15+HISTOMARS25!AN15+HISTOAVRIL25!AN15+HISTOMAI25!AN15+HISTOJUIN25!AN15+HISTOJUIL25!AN15+HISTOAOUT25!AN15+HISTOSEPT25!AN15+HISTOOCT25!AN15+HISTONOV25!AN15+HISTODEC25!AN15</f>
        <v>5000</v>
      </c>
      <c r="AO15" s="5">
        <f>HISTOJANV25!AO15+HISTOFEV25!AO15+HISTOMARS25!AO15+HISTOAVRIL25!AO15+HISTOMAI25!AO15+HISTOJUIN25!AO15+HISTOJUIL25!AO15+HISTOAOUT25!AO15+HISTOSEPT25!AO15+HISTOOCT25!AO15+HISTONOV25!AO15+HISTODEC25!AO15</f>
        <v>0</v>
      </c>
      <c r="AP15" s="5"/>
      <c r="AQ15" s="5">
        <f>HISTOJANV25!AQ15+HISTOFEV25!AQ15+HISTOMARS25!AQ15+HISTOAVRIL25!AQ15+HISTOMAI25!AQ15+HISTOJUIN25!AQ15+HISTOJUIL25!AQ15+HISTOAOUT25!AQ15+HISTOSEPT25!AQ15+HISTOOCT25!AQ15+HISTONOV25!AQ15+HISTODEC25!AQ15</f>
        <v>0</v>
      </c>
      <c r="AR15" s="5">
        <f>HISTOJANV25!AR15+HISTOFEV25!AR15+HISTOMARS25!AR15+HISTOAVRIL25!AR15+HISTOMAI25!AR15+HISTOJUIN25!AR15+HISTOJUIL25!AR15+HISTOAOUT25!AR15+HISTOSEPT25!AR15+HISTOOCT25!AR15+HISTONOV25!AR15+HISTODEC25!AR15</f>
        <v>0</v>
      </c>
      <c r="AS15" s="5">
        <f>HISTOJANV25!AS15+HISTOFEV25!AS15+HISTOMARS25!AS15+HISTOAVRIL25!AS15+HISTOMAI25!AS15+HISTOJUIN25!AS15+HISTOJUIL25!AS15+HISTOAOUT25!AS15+HISTOSEPT25!AS15+HISTOOCT25!AS15+HISTONOV25!AS15+HISTODEC25!AS15</f>
        <v>1099000</v>
      </c>
      <c r="AT15" s="5">
        <f>HISTOJANV25!AT15+HISTOFEV25!AT15+HISTOMARS25!AT15+HISTOAVRIL25!AT15+HISTOMAI25!AT15+HISTOJUIN25!AT15+HISTOJUIL25!AT15+HISTOAOUT25!AT15+HISTOSEPT25!AT15+HISTOOCT25!AT15+HISTONOV25!AT15+HISTODEC25!AT15</f>
        <v>120000</v>
      </c>
      <c r="AU15" s="5">
        <f>HISTOJANV25!AU15+HISTOFEV25!AU15+HISTOMARS25!AU15+HISTOAVRIL25!AU15+HISTOMAI25!AU15+HISTOJUIN25!AU15+HISTOJUIL25!AU15+HISTOAOUT25!AU15+HISTOSEPT25!AU15+HISTOOCT25!AU15+HISTONOV25!AU15+HISTODEC25!AU15</f>
        <v>0</v>
      </c>
      <c r="AV15" s="5">
        <f>HISTOJANV25!AV15+HISTOFEV25!AV15+HISTOMARS25!AV15+HISTOAVRIL25!AV15+HISTOMAI25!AV15+HISTOJUIN25!AV15+HISTOJUIL25!AV15+HISTOAOUT25!AV15+HISTOSEPT25!AV15+HISTOOCT25!AV15+HISTONOV25!AV15+HISTODEC25!AV15</f>
        <v>0</v>
      </c>
      <c r="AW15" s="5">
        <f>HISTOJANV25!AW15+HISTOFEV25!AW15+HISTOMARS25!AW15+HISTOAVRIL25!AW15+HISTOMAI25!AW15+HISTOJUIN25!AW15+HISTOJUIL25!AW15+HISTOAOUT25!AW15+HISTOSEPT25!AW15+HISTOOCT25!AW15+HISTONOV25!AW15+HISTODEC25!AW15</f>
        <v>297500</v>
      </c>
      <c r="AX15" s="5">
        <f>HISTOJANV25!AX15+HISTOFEV25!AX15+HISTOMARS25!AX15+HISTOAVRIL25!AX15+HISTOMAI25!AX15+HISTOJUIN25!AX15+HISTOJUIL25!AX15+HISTOAOUT25!AX15+HISTOSEPT25!AX15+HISTOOCT25!AX15+HISTONOV25!AX15+HISTODEC25!AX15</f>
        <v>0</v>
      </c>
      <c r="AY15" s="5">
        <f>HISTOJANV25!AY15+HISTOFEV25!AY15+HISTOMARS25!AY15+HISTOAVRIL25!AY15+HISTOMAI25!AY15+HISTOJUIN25!AY15+HISTOJUIL25!AY15+HISTOAOUT25!AY15+HISTOSEPT25!AY15+HISTOOCT25!AY15+HISTONOV25!AY15+HISTODEC25!AY15</f>
        <v>1485000</v>
      </c>
      <c r="AZ15" s="5">
        <f>HISTOJANV25!AZ15+HISTOFEV25!AZ15+HISTOMARS25!AZ15+HISTOAVRIL25!AZ15+HISTOMAI25!AZ15+HISTOJUIN25!AZ15+HISTOJUIL25!AZ15+HISTOAOUT25!AZ15+HISTOSEPT25!AZ15+HISTOOCT25!AZ15+HISTONOV25!AZ15+HISTODEC25!AZ15</f>
        <v>687500</v>
      </c>
      <c r="BA15" s="5">
        <f>HISTOJANV25!BA15+HISTOFEV25!BA15+HISTOMARS25!BA15+HISTOAVRIL25!BA15+HISTOMAI25!BA15+HISTOJUIN25!BA15+HISTOJUIL25!BA15+HISTOAOUT25!BA15+HISTOSEPT25!BA15+HISTOOCT25!BA15+HISTONOV25!BA15+HISTODEC25!BA15</f>
        <v>90000</v>
      </c>
      <c r="BB15" s="5">
        <f>HISTOJANV25!BB15+HISTOFEV25!BB15+HISTOMARS25!BB15+HISTOAVRIL25!BB15+HISTOMAI25!BB15+HISTOJUIN25!BB15+HISTOJUIL25!BB15+HISTOAOUT25!BB15+HISTOSEPT25!BB15+HISTOOCT25!BB15+HISTONOV25!BB15+HISTODEC25!BB15-100000</f>
        <v>75000</v>
      </c>
      <c r="BC15" s="5">
        <f>HISTOJANV25!BC15+HISTOFEV25!BC15+HISTOMARS25!BC15+HISTOAVRIL25!BC15+HISTOMAI25!BC15+HISTOJUIN25!BC15+HISTOJUIL25!BC15+HISTOAOUT25!BC15+HISTOSEPT25!BC15+HISTOOCT25!BC15+HISTONOV25!BC15+HISTODEC25!BC15</f>
        <v>800000</v>
      </c>
      <c r="BD15" s="5">
        <f>HISTOJANV25!BD15+HISTOFEV25!BD15+HISTOMARS25!BD15+HISTOAVRIL25!BD15+HISTOMAI25!BD15+HISTOJUIN25!BD15+HISTOJUIL25!BD15+HISTOAOUT25!BD15+HISTOSEPT25!BD15+HISTOOCT25!BD15+HISTONOV25!BD15+HISTODEC25!BD15</f>
        <v>597500</v>
      </c>
      <c r="BE15" s="5"/>
      <c r="BF15" s="5">
        <f>HISTOJANV25!BF15+HISTOFEV25!BF15+HISTOMARS25!BF15+HISTOAVRIL25!BF15+HISTOMAI25!BF15+HISTOJUIN25!BF15+HISTOJUIL25!BF15+HISTOAOUT25!BF15+HISTOSEPT25!BF15+HISTOOCT25!BF15+HISTONOV25!BF15+HISTODEC25!BF15</f>
        <v>0</v>
      </c>
      <c r="BG15" s="5">
        <f>HISTOJANV25!BG15+HISTOFEV25!BG15+HISTOMARS25!BG15+HISTOAVRIL25!BG15+HISTOMAI25!BG15+HISTOJUIN25!BG15+HISTOJUIL25!BG15+HISTOAOUT25!BG15+HISTOSEPT25!BG15+HISTOOCT25!BG15+HISTONOV25!BG15+HISTODEC25!BG15</f>
        <v>67</v>
      </c>
      <c r="BH15" s="5">
        <f>HISTOJANV25!BH15+HISTOFEV25!BH15+HISTOMARS25!BH15+HISTOAVRIL25!BH15+HISTOMAI25!BH15+HISTOJUIN25!BH15+HISTOJUIL25!BH15+HISTOAOUT25!BH15+HISTOSEPT25!BH15+HISTOOCT25!BH15+HISTONOV25!BH15+HISTODEC25!BH15</f>
        <v>0</v>
      </c>
      <c r="BI15" s="5">
        <f>HISTOJANV25!BI15+HISTOFEV25!BI15+HISTOMARS25!BI15+HISTOAVRIL25!BI15+HISTOMAI25!BI15+HISTOJUIN25!BI15+HISTOJUIL25!BI15+HISTOAOUT25!BI15+HISTOSEPT25!BI15+HISTOOCT25!BI15+HISTONOV25!BI15+HISTODEC25!BI15</f>
        <v>0</v>
      </c>
      <c r="BJ15" s="5">
        <f>HISTOJANV25!BJ15+HISTOFEV25!BJ15+HISTOMARS25!BJ15+HISTOAVRIL25!BJ15+HISTOMAI25!BJ15+HISTOJUIN25!BJ15+HISTOJUIL25!BJ15+HISTOAOUT25!BJ15+HISTOSEPT25!BJ15+HISTOOCT25!BJ15+HISTONOV25!BJ15+HISTODEC25!BJ15</f>
        <v>0</v>
      </c>
      <c r="BK15" s="5">
        <f>HISTOJANV25!BK15+HISTOFEV25!BK15+HISTOMARS25!BK15+HISTOAVRIL25!BK15+HISTOMAI25!BK15+HISTOJUIN25!BK15+HISTOJUIL25!BK15+HISTOAOUT25!BK15+HISTOSEPT25!BK15+HISTOOCT25!BK15+HISTONOV25!BK15+HISTODEC25!BK15</f>
        <v>0</v>
      </c>
      <c r="BL15" s="5">
        <f>HISTOJANV25!BL15+HISTOFEV25!BL15+HISTOMARS25!BL15+HISTOAVRIL25!BL15+HISTOMAI25!BL15+HISTOJUIN25!BL15+HISTOJUIL25!BL15+HISTOAOUT25!BL15+HISTOSEPT25!BL15+HISTOOCT25!BL15+HISTONOV25!BL15+HISTODEC25!BL15</f>
        <v>0</v>
      </c>
      <c r="BM15" s="5">
        <f>HISTOJANV25!BM15+HISTOFEV25!BM15+HISTOMARS25!BM15+HISTOAVRIL25!BM15+HISTOMAI25!BM15+HISTOJUIN25!BM15+HISTOJUIL25!BM15+HISTOAOUT25!BM15+HISTOSEPT25!BM15+HISTOOCT25!BM15+HISTONOV25!BM15+HISTODEC25!BM15</f>
        <v>0</v>
      </c>
      <c r="BN15" s="5">
        <f>HISTOJANV25!BN15+HISTOFEV25!BN15+HISTOMARS25!BN15+HISTOAVRIL25!BN15+HISTOMAI25!BN15+HISTOJUIN25!BN15+HISTOJUIL25!BN15+HISTOAOUT25!BN15+HISTOSEPT25!BN15+HISTOOCT25!BN15+HISTONOV25!BN15+HISTODEC25!BN15</f>
        <v>0</v>
      </c>
      <c r="BO15" t="s">
        <v>210</v>
      </c>
      <c r="BP15" t="s">
        <v>114</v>
      </c>
      <c r="BQ15" s="6"/>
    </row>
    <row r="16" spans="1:69" ht="17.5" x14ac:dyDescent="0.35">
      <c r="A16" s="1" t="s">
        <v>20</v>
      </c>
      <c r="B16" s="1" t="str">
        <f>VLOOKUP(A16,[5]LISTADHERENT!A$5:H$50,3,0)</f>
        <v>HENGUE PAUL OMER</v>
      </c>
      <c r="C16" s="5">
        <f>HISTOJANV25!C16+HISTOFEV25!C16+HISTOMARS25!C16+HISTOAVRIL25!C16+HISTOMAI25!C16+HISTOJUIN25!C16+HISTOJUIL25!C16+HISTOAOUT25!C16+HISTOSEPT25!C16+HISTOOCT25!C16+HISTONOV25!C16+HISTODEC25!C16</f>
        <v>131000</v>
      </c>
      <c r="D16" s="5">
        <f>HISTOJANV25!D16+HISTOFEV25!D16+HISTOMARS25!D16+HISTOAVRIL25!D16+HISTOMAI25!D16+HISTOJUIN25!D16+HISTOJUIL25!D16+HISTOAOUT25!D16+HISTOSEPT25!D16+HISTOOCT25!D16+HISTONOV25!D16+HISTODEC25!D16</f>
        <v>2650000</v>
      </c>
      <c r="E16" s="5">
        <f>HISTOJANV25!E16+HISTOFEV25!E16+HISTOMARS25!E16+HISTOAVRIL25!E16+HISTOMAI25!E16+HISTOJUIN25!E16+HISTOJUIL25!E16+HISTOAOUT25!E16+HISTOSEPT25!E16+HISTOOCT25!E16+HISTONOV25!E16+HISTODEC25!E16</f>
        <v>26000</v>
      </c>
      <c r="F16" s="5">
        <f>HISTOJANV25!F16+HISTOFEV25!F16+HISTOMARS25!F16+HISTOAVRIL25!F16+HISTOMAI25!F16+HISTOJUIN25!F16+HISTOJUIL25!F16+HISTOAOUT25!F16+HISTOSEPT25!F16+HISTOOCT25!F16+HISTONOV25!F16+HISTODEC25!F16</f>
        <v>0</v>
      </c>
      <c r="G16" s="5">
        <f>HISTOJANV25!G16+HISTOFEV25!G16+HISTOMARS25!G16+HISTOAVRIL25!G16+HISTOMAI25!G16+HISTOJUIN25!G16+HISTOJUIL25!G16+HISTOAOUT25!G16+HISTOSEPT25!G16+HISTOOCT25!G16+HISTONOV25!G16+HISTODEC25!G16</f>
        <v>-5000</v>
      </c>
      <c r="H16" s="5">
        <f>HISTOJANV25!H16+HISTOFEV25!H16+HISTOMARS25!H16+HISTOAVRIL25!H16+HISTOMAI25!H16+HISTOJUIN25!H16+HISTOJUIL25!H16+HISTOAOUT25!H16+HISTOSEPT25!H16+HISTOOCT25!H16+HISTONOV25!H16+HISTODEC25!H16</f>
        <v>0</v>
      </c>
      <c r="I16" s="5"/>
      <c r="J16" s="5">
        <f>HISTOJANV25!J16+HISTOFEV25!J16+HISTOMARS25!J16+HISTOAVRIL25!J16+HISTOMAI25!J16+HISTOJUIN25!J16+HISTOJUIL25!J16+HISTOAOUT25!J16+HISTOSEPT25!J16+HISTOOCT25!J16+HISTONOV25!J16+HISTODEC25!J16</f>
        <v>12</v>
      </c>
      <c r="K16" s="5">
        <f>HISTOJANV25!K16+HISTOFEV25!K16+HISTOMARS25!K16+HISTOAVRIL25!K16+HISTOMAI25!K16+HISTOJUIN25!K16+HISTOJUIL25!K16+HISTOAOUT25!K16+HISTOSEPT25!K16+HISTOOCT25!K16+HISTONOV25!K16+HISTODEC25!K16</f>
        <v>600000</v>
      </c>
      <c r="L16" s="5">
        <f>HISTOJANV25!L16+HISTOFEV25!L16+HISTOMARS25!L16+HISTOAVRIL25!L16+HISTOMAI25!L16+HISTOJUIN25!L16+HISTOJUIL25!L16+HISTOAOUT25!L16+HISTOSEPT25!L16+HISTOOCT25!L16+HISTONOV25!L16+HISTODEC25!L16</f>
        <v>12</v>
      </c>
      <c r="M16" s="5">
        <f>HISTOJANV25!M16+HISTOFEV25!M16+HISTOMARS25!M16+HISTOAVRIL25!M16+HISTOMAI25!M16+HISTOJUIN25!M16+HISTOJUIL25!M16+HISTOAOUT25!M16+HISTOSEPT25!M16+HISTOOCT25!M16+HISTONOV25!M16+HISTODEC25!M16</f>
        <v>900000</v>
      </c>
      <c r="N16" s="5">
        <f>HISTOJANV25!N16+HISTOFEV25!N16+HISTOMARS25!N16+HISTOAVRIL25!N16+HISTOMAI25!N16+HISTOJUIN25!N16+HISTOJUIL25!N16+HISTOAOUT25!N16+HISTOSEPT25!N16+HISTOOCT25!N16+HISTONOV25!N16+HISTODEC25!N16</f>
        <v>0</v>
      </c>
      <c r="O16" s="5">
        <f>HISTOJANV25!O16+HISTOFEV25!O16+HISTOMARS25!O16+HISTOAVRIL25!O16+HISTOMAI25!O16+HISTOJUIN25!O16+HISTOJUIL25!O16+HISTOAOUT25!O16+HISTOSEPT25!O16+HISTOOCT25!O16+HISTONOV25!O16+HISTODEC25!O16</f>
        <v>0</v>
      </c>
      <c r="P16" s="5">
        <f>HISTOJANV25!P16+HISTOFEV25!P16+HISTOMARS25!P16+HISTOAVRIL25!P16+HISTOMAI25!P16+HISTOJUIN25!P16+HISTOJUIL25!P16+HISTOAOUT25!P16+HISTOSEPT25!P16+HISTOOCT25!P16+HISTONOV25!P16+HISTODEC25!P16</f>
        <v>0</v>
      </c>
      <c r="Q16" s="5">
        <f>HISTOJANV25!Q16+HISTOFEV25!Q16+HISTOMARS25!Q16+HISTOAVRIL25!Q16+HISTOMAI25!Q16+HISTOJUIN25!Q16+HISTOJUIL25!Q16+HISTOAOUT25!Q16+HISTOSEPT25!Q16+HISTOOCT25!Q16+HISTONOV25!Q16+HISTODEC25!Q16</f>
        <v>0</v>
      </c>
      <c r="R16" s="5">
        <f>HISTOJANV25!R16+HISTOFEV25!R16+HISTOMARS25!R16+HISTOAVRIL25!R16+HISTOMAI25!R16+HISTOJUIN25!R16+HISTOJUIL25!R16+HISTOAOUT25!R16+HISTOSEPT25!R16+HISTOOCT25!R16+HISTONOV25!R16+HISTODEC25!R16</f>
        <v>0</v>
      </c>
      <c r="S16" s="5">
        <f>HISTOJANV25!S16+HISTOFEV25!S16+HISTOMARS25!S16+HISTOAVRIL25!S16+HISTOMAI25!S16+HISTOJUIN25!S16+HISTOJUIL25!S16+HISTOAOUT25!S16+HISTOSEPT25!S16+HISTOOCT25!S16+HISTONOV25!S16+HISTODEC25!S16</f>
        <v>1050000</v>
      </c>
      <c r="T16" s="5"/>
      <c r="U16" s="5">
        <f>HISTOJANV25!U16+HISTOFEV25!U16+HISTOMARS25!U16+HISTOAVRIL25!U16+HISTOMAI25!U16+HISTOJUIN25!U16+HISTOJUIL25!U16+HISTOAOUT25!U16+HISTOSEPT25!U16+HISTOOCT25!U16+HISTONOV25!U16+HISTODEC25!U16</f>
        <v>2545000</v>
      </c>
      <c r="V16" s="5">
        <f>HISTOJANV25!V16+HISTOFEV25!V16+HISTOMARS25!V16+HISTOAVRIL25!V16+HISTOMAI25!V16+HISTOJUIN25!V16+HISTOJUIL25!V16+HISTOAOUT25!V16+HISTOSEPT25!V16+HISTOOCT25!V16+HISTONOV25!V16+HISTODEC25!V16</f>
        <v>0</v>
      </c>
      <c r="W16" s="5">
        <f>HISTOJANV25!W16+HISTOFEV25!W16+HISTOMARS25!W16+HISTOAVRIL25!W16+HISTOMAI25!W16+HISTOJUIN25!W16+HISTOJUIL25!W16+HISTOAOUT25!W16+HISTOSEPT25!W16+HISTOOCT25!W16+HISTONOV25!W16+HISTODEC25!W16</f>
        <v>0</v>
      </c>
      <c r="X16" s="5">
        <f>HISTOJANV25!X16+HISTOFEV25!X16+HISTOMARS25!X16+HISTOAVRIL25!X16+HISTOMAI25!X16+HISTOJUIN25!X16+HISTOJUIL25!X16+HISTOAOUT25!X16+HISTOSEPT25!X16+HISTOOCT25!X16+HISTONOV25!X16+HISTODEC25!X16</f>
        <v>0</v>
      </c>
      <c r="Y16" s="5">
        <f>HISTOJANV25!Y16+HISTOFEV25!Y16+HISTOMARS25!Y16+HISTOAVRIL25!Y16+HISTOMAI25!Y16+HISTOJUIN25!Y16+HISTOJUIL25!Y16+HISTOAOUT25!Y16+HISTOSEPT25!Y16+HISTOOCT25!Y16+HISTONOV25!Y16+HISTODEC25!Y16</f>
        <v>1500000</v>
      </c>
      <c r="Z16" s="5">
        <f>HISTOJANV25!Z16+HISTOFEV25!Z16+HISTOMARS25!Z16+HISTOAVRIL25!Z16+HISTOMAI25!Z16+HISTOJUIN25!Z16+HISTOJUIL25!Z16+HISTOAOUT25!Z16+HISTOSEPT25!Z16+HISTOOCT25!Z16+HISTONOV25!Z16+HISTODEC25!Z16</f>
        <v>0</v>
      </c>
      <c r="AA16" s="5"/>
      <c r="AB16" s="5">
        <f>HISTOJANV25!AB16+HISTOFEV25!AB16+HISTOMARS25!AB16+HISTOAVRIL25!AB16+HISTOMAI25!AB16+HISTOJUIN25!AB16+HISTOJUIL25!AB16+HISTOAOUT25!AB16+HISTOSEPT25!AB16+HISTOOCT25!AB16+HISTONOV25!AB16+HISTODEC25!AB16</f>
        <v>0</v>
      </c>
      <c r="AC16" s="5">
        <f>HISTOJANV25!AC16+HISTOFEV25!AC16+HISTOMARS25!AC16+HISTOAVRIL25!AC16+HISTOMAI25!AC16+HISTOJUIN25!AC16+HISTOJUIL25!AC16+HISTOAOUT25!AC16+HISTOSEPT25!AC16+HISTOOCT25!AC16+HISTONOV25!AC16+HISTODEC25!AC16</f>
        <v>3500</v>
      </c>
      <c r="AD16" s="5">
        <f>HISTOJANV25!AD16+HISTOFEV25!AD16+HISTOMARS25!AD16+HISTOAVRIL25!AD16+HISTOMAI25!AD16+HISTOJUIN25!AD16+HISTOJUIL25!AD16+HISTOAOUT25!AD16+HISTOSEPT25!AD16+HISTOOCT25!AD16+HISTONOV25!AD16+HISTODEC25!AD16</f>
        <v>8500</v>
      </c>
      <c r="AE16" s="5">
        <f>HISTOJANV25!AE16+HISTOFEV25!AE16+HISTOMARS25!AE16+HISTOAVRIL25!AE16+HISTOMAI25!AE16+HISTOJUIN25!AE16+HISTOJUIL25!AE16+HISTOAOUT25!AE16+HISTOSEPT25!AE16+HISTOOCT25!AE16+HISTONOV25!AE16+HISTODEC25!AE16</f>
        <v>0</v>
      </c>
      <c r="AF16" s="5"/>
      <c r="AG16" s="5">
        <f>HISTOJANV25!AG16+HISTOFEV25!AG16+HISTOMARS25!AG16+HISTOAVRIL25!AG16+HISTOMAI25!AG16+HISTOJUIN25!AG16+HISTOJUIL25!AG16+HISTOAOUT25!AG16+HISTOSEPT25!AG16+HISTOOCT25!AG16+HISTONOV25!AG16+HISTODEC25!AG16</f>
        <v>0</v>
      </c>
      <c r="AH16" s="5">
        <f>HISTOJANV25!AH16+HISTOFEV25!AH16+HISTOMARS25!AH16+HISTOAVRIL25!AH16+HISTOMAI25!AH16+HISTOJUIN25!AH16+HISTOJUIL25!AH16+HISTOAOUT25!AH16+HISTOSEPT25!AH16+HISTOOCT25!AH16+HISTONOV25!AH16+HISTODEC25!AH16</f>
        <v>0</v>
      </c>
      <c r="AI16" s="5">
        <f>HISTOJANV25!AI16+HISTOFEV25!AI16+HISTOMARS25!AI16+HISTOAVRIL25!AI16+HISTOMAI25!AI16+HISTOJUIN25!AI16+HISTOJUIL25!AI16+HISTOAOUT25!AI16+HISTOSEPT25!AI16+HISTOOCT25!AI16+HISTONOV25!AI16+HISTODEC25!AI16</f>
        <v>0</v>
      </c>
      <c r="AJ16" s="5">
        <f>HISTOJANV25!AJ16+HISTOFEV25!AJ16+HISTOMARS25!AJ16+HISTOAVRIL25!AJ16+HISTOMAI25!AJ16+HISTOJUIN25!AJ16+HISTOJUIL25!AJ16+HISTOAOUT25!AJ16+HISTOSEPT25!AJ16+HISTOOCT25!AJ16+HISTONOV25!AJ16+HISTODEC25!AJ16</f>
        <v>0</v>
      </c>
      <c r="AK16" s="5">
        <f>HISTOJANV25!AK16+HISTOFEV25!AK16+HISTOMARS25!AK16+HISTOAVRIL25!AK16+HISTOMAI25!AK16+HISTOJUIN25!AK16+HISTOJUIL25!AK16+HISTOAOUT25!AK16+HISTOSEPT25!AK16+HISTOOCT25!AK16+HISTONOV25!AK16+HISTODEC25!AK16</f>
        <v>0</v>
      </c>
      <c r="AL16" s="5">
        <f>HISTOJANV25!AL16+HISTOFEV25!AL16+HISTOMARS25!AL16+HISTOAVRIL25!AL16+HISTOMAI25!AL16+HISTOJUIN25!AL16+HISTOJUIL25!AL16+HISTOAOUT25!AL16+HISTOSEPT25!AL16+HISTOOCT25!AL16+HISTONOV25!AL16+HISTODEC25!AL16</f>
        <v>0</v>
      </c>
      <c r="AM16" s="5">
        <f>HISTOJANV25!AM16+HISTOFEV25!AM16+HISTOMARS25!AM16+HISTOAVRIL25!AM16+HISTOMAI25!AM16+HISTOJUIN25!AM16+HISTOJUIL25!AM16+HISTOAOUT25!AM16+HISTOSEPT25!AM16+HISTOOCT25!AM16+HISTONOV25!AM16+HISTODEC25!AM16</f>
        <v>0</v>
      </c>
      <c r="AN16" s="5">
        <f>HISTOJANV25!AN16+HISTOFEV25!AN16+HISTOMARS25!AN16+HISTOAVRIL25!AN16+HISTOMAI25!AN16+HISTOJUIN25!AN16+HISTOJUIL25!AN16+HISTOAOUT25!AN16+HISTOSEPT25!AN16+HISTOOCT25!AN16+HISTONOV25!AN16+HISTODEC25!AN16</f>
        <v>0</v>
      </c>
      <c r="AO16" s="5">
        <f>HISTOJANV25!AO16+HISTOFEV25!AO16+HISTOMARS25!AO16+HISTOAVRIL25!AO16+HISTOMAI25!AO16+HISTOJUIN25!AO16+HISTOJUIL25!AO16+HISTOAOUT25!AO16+HISTOSEPT25!AO16+HISTOOCT25!AO16+HISTONOV25!AO16+HISTODEC25!AO16</f>
        <v>0</v>
      </c>
      <c r="AP16" s="5"/>
      <c r="AQ16" s="5">
        <f>HISTOJANV25!AQ16+HISTOFEV25!AQ16+HISTOMARS25!AQ16+HISTOAVRIL25!AQ16+HISTOMAI25!AQ16+HISTOJUIN25!AQ16+HISTOJUIL25!AQ16+HISTOAOUT25!AQ16+HISTOSEPT25!AQ16+HISTOOCT25!AQ16+HISTONOV25!AQ16+HISTODEC25!AQ16</f>
        <v>0</v>
      </c>
      <c r="AR16" s="5">
        <f>HISTOJANV25!AR16+HISTOFEV25!AR16+HISTOMARS25!AR16+HISTOAVRIL25!AR16+HISTOMAI25!AR16+HISTOJUIN25!AR16+HISTOJUIL25!AR16+HISTOAOUT25!AR16+HISTOSEPT25!AR16+HISTOOCT25!AR16+HISTONOV25!AR16+HISTODEC25!AR16</f>
        <v>0</v>
      </c>
      <c r="AS16" s="5">
        <f>HISTOJANV25!AS16+HISTOFEV25!AS16+HISTOMARS25!AS16+HISTOAVRIL25!AS16+HISTOMAI25!AS16+HISTOJUIN25!AS16+HISTOJUIL25!AS16+HISTOAOUT25!AS16+HISTOSEPT25!AS16+HISTOOCT25!AS16+HISTONOV25!AS16+HISTODEC25!AS16</f>
        <v>295000</v>
      </c>
      <c r="AT16" s="5">
        <f>HISTOJANV25!AT16+HISTOFEV25!AT16+HISTOMARS25!AT16+HISTOAVRIL25!AT16+HISTOMAI25!AT16+HISTOJUIN25!AT16+HISTOJUIL25!AT16+HISTOAOUT25!AT16+HISTOSEPT25!AT16+HISTOOCT25!AT16+HISTONOV25!AT16+HISTODEC25!AT16</f>
        <v>0</v>
      </c>
      <c r="AU16" s="5">
        <f>HISTOJANV25!AU16+HISTOFEV25!AU16+HISTOMARS25!AU16+HISTOAVRIL25!AU16+HISTOMAI25!AU16+HISTOJUIN25!AU16+HISTOJUIL25!AU16+HISTOAOUT25!AU16+HISTOSEPT25!AU16+HISTOOCT25!AU16+HISTONOV25!AU16+HISTODEC25!AU16</f>
        <v>0</v>
      </c>
      <c r="AV16" s="5">
        <f>HISTOJANV25!AV16+HISTOFEV25!AV16+HISTOMARS25!AV16+HISTOAVRIL25!AV16+HISTOMAI25!AV16+HISTOJUIN25!AV16+HISTOJUIL25!AV16+HISTOAOUT25!AV16+HISTOSEPT25!AV16+HISTOOCT25!AV16+HISTONOV25!AV16+HISTODEC25!AV16</f>
        <v>0</v>
      </c>
      <c r="AW16" s="5">
        <f>HISTOJANV25!AW16+HISTOFEV25!AW16+HISTOMARS25!AW16+HISTOAVRIL25!AW16+HISTOMAI25!AW16+HISTOJUIN25!AW16+HISTOJUIL25!AW16+HISTOAOUT25!AW16+HISTOSEPT25!AW16+HISTOOCT25!AW16+HISTONOV25!AW16+HISTODEC25!AW16</f>
        <v>296500</v>
      </c>
      <c r="AX16" s="5">
        <f>HISTOJANV25!AX16+HISTOFEV25!AX16+HISTOMARS25!AX16+HISTOAVRIL25!AX16+HISTOMAI25!AX16+HISTOJUIN25!AX16+HISTOJUIL25!AX16+HISTOAOUT25!AX16+HISTOSEPT25!AX16+HISTOOCT25!AX16+HISTONOV25!AX16+HISTODEC25!AX16</f>
        <v>891500</v>
      </c>
      <c r="AY16" s="5">
        <f>HISTOJANV25!AY16+HISTOFEV25!AY16+HISTOMARS25!AY16+HISTOAVRIL25!AY16+HISTOMAI25!AY16+HISTOJUIN25!AY16+HISTOJUIL25!AY16+HISTOAOUT25!AY16+HISTOSEPT25!AY16+HISTOOCT25!AY16+HISTONOV25!AY16+HISTODEC25!AY16</f>
        <v>0</v>
      </c>
      <c r="AZ16" s="5">
        <f>HISTOJANV25!AZ16+HISTOFEV25!AZ16+HISTOMARS25!AZ16+HISTOAVRIL25!AZ16+HISTOMAI25!AZ16+HISTOJUIN25!AZ16+HISTOJUIL25!AZ16+HISTOAOUT25!AZ16+HISTOSEPT25!AZ16+HISTOOCT25!AZ16+HISTONOV25!AZ16+HISTODEC25!AZ16</f>
        <v>1283000</v>
      </c>
      <c r="BA16" s="5">
        <f>HISTOJANV25!BA16+HISTOFEV25!BA16+HISTOMARS25!BA16+HISTOAVRIL25!BA16+HISTOMAI25!BA16+HISTOJUIN25!BA16+HISTOJUIL25!BA16+HISTOAOUT25!BA16+HISTOSEPT25!BA16+HISTOOCT25!BA16+HISTONOV25!BA16+HISTODEC25!BA16</f>
        <v>0</v>
      </c>
      <c r="BB16" s="5">
        <f>HISTOJANV25!BB16+HISTOFEV25!BB16+HISTOMARS25!BB16+HISTOAVRIL25!BB16+HISTOMAI25!BB16+HISTOJUIN25!BB16+HISTOJUIL25!BB16+HISTOAOUT25!BB16+HISTOSEPT25!BB16+HISTOOCT25!BB16+HISTONOV25!BB16+HISTODEC25!BB16</f>
        <v>0</v>
      </c>
      <c r="BC16" s="5">
        <f>HISTOJANV25!BC16+HISTOFEV25!BC16+HISTOMARS25!BC16+HISTOAVRIL25!BC16+HISTOMAI25!BC16+HISTOJUIN25!BC16+HISTOJUIL25!BC16+HISTOAOUT25!BC16+HISTOSEPT25!BC16+HISTOOCT25!BC16+HISTONOV25!BC16+HISTODEC25!BC16</f>
        <v>0</v>
      </c>
      <c r="BD16" s="5">
        <f>HISTOJANV25!BD16+HISTOFEV25!BD16+HISTOMARS25!BD16+HISTOAVRIL25!BD16+HISTOMAI25!BD16+HISTOJUIN25!BD16+HISTOJUIL25!BD16+HISTOAOUT25!BD16+HISTOSEPT25!BD16+HISTOOCT25!BD16+HISTONOV25!BD16+HISTODEC25!BD16</f>
        <v>1133000</v>
      </c>
      <c r="BE16" s="5"/>
      <c r="BF16" s="5">
        <f>HISTOJANV25!BF16+HISTOFEV25!BF16+HISTOMARS25!BF16+HISTOAVRIL25!BF16+HISTOMAI25!BF16+HISTOJUIN25!BF16+HISTOJUIL25!BF16+HISTOAOUT25!BF16+HISTOSEPT25!BF16+HISTOOCT25!BF16+HISTONOV25!BF16+HISTODEC25!BF16</f>
        <v>155000</v>
      </c>
      <c r="BG16" s="5">
        <f>HISTOJANV25!BG16+HISTOFEV25!BG16+HISTOMARS25!BG16+HISTOAVRIL25!BG16+HISTOMAI25!BG16+HISTOJUIN25!BG16+HISTOJUIL25!BG16+HISTOAOUT25!BG16+HISTOSEPT25!BG16+HISTOOCT25!BG16+HISTONOV25!BG16+HISTODEC25!BG16</f>
        <v>67</v>
      </c>
      <c r="BH16" s="5">
        <f>HISTOJANV25!BH16+HISTOFEV25!BH16+HISTOMARS25!BH16+HISTOAVRIL25!BH16+HISTOMAI25!BH16+HISTOJUIN25!BH16+HISTOJUIL25!BH16+HISTOAOUT25!BH16+HISTOSEPT25!BH16+HISTOOCT25!BH16+HISTONOV25!BH16+HISTODEC25!BH16</f>
        <v>0</v>
      </c>
      <c r="BI16" s="5">
        <f>HISTOJANV25!BI16+HISTOFEV25!BI16+HISTOMARS25!BI16+HISTOAVRIL25!BI16+HISTOMAI25!BI16+HISTOJUIN25!BI16+HISTOJUIL25!BI16+HISTOAOUT25!BI16+HISTOSEPT25!BI16+HISTOOCT25!BI16+HISTONOV25!BI16+HISTODEC25!BI16</f>
        <v>0</v>
      </c>
      <c r="BJ16" s="5">
        <f>HISTOJANV25!BJ16+HISTOFEV25!BJ16+HISTOMARS25!BJ16+HISTOAVRIL25!BJ16+HISTOMAI25!BJ16+HISTOJUIN25!BJ16+HISTOJUIL25!BJ16+HISTOAOUT25!BJ16+HISTOSEPT25!BJ16+HISTOOCT25!BJ16+HISTONOV25!BJ16+HISTODEC25!BJ16</f>
        <v>0</v>
      </c>
      <c r="BK16" s="5">
        <f>HISTOJANV25!BK16+HISTOFEV25!BK16+HISTOMARS25!BK16+HISTOAVRIL25!BK16+HISTOMAI25!BK16+HISTOJUIN25!BK16+HISTOJUIL25!BK16+HISTOAOUT25!BK16+HISTOSEPT25!BK16+HISTOOCT25!BK16+HISTONOV25!BK16+HISTODEC25!BK16</f>
        <v>100000</v>
      </c>
      <c r="BL16" s="5">
        <f>HISTOJANV25!BL16+HISTOFEV25!BL16+HISTOMARS25!BL16+HISTOAVRIL25!BL16+HISTOMAI25!BL16+HISTOJUIN25!BL16+HISTOJUIL25!BL16+HISTOAOUT25!BL16+HISTOSEPT25!BL16+HISTOOCT25!BL16+HISTONOV25!BL16+HISTODEC25!BL16</f>
        <v>150000</v>
      </c>
      <c r="BM16" s="5">
        <f>HISTOJANV25!BM16+HISTOFEV25!BM16+HISTOMARS25!BM16+HISTOAVRIL25!BM16+HISTOMAI25!BM16+HISTOJUIN25!BM16+HISTOJUIL25!BM16+HISTOAOUT25!BM16+HISTOSEPT25!BM16+HISTOOCT25!BM16+HISTONOV25!BM16+HISTODEC25!BM16</f>
        <v>0</v>
      </c>
      <c r="BN16" s="5">
        <f>HISTOJANV25!BN16+HISTOFEV25!BN16+HISTOMARS25!BN16+HISTOAVRIL25!BN16+HISTOMAI25!BN16+HISTOJUIN25!BN16+HISTOJUIL25!BN16+HISTOAOUT25!BN16+HISTOSEPT25!BN16+HISTOOCT25!BN16+HISTONOV25!BN16+HISTODEC25!BN16</f>
        <v>0</v>
      </c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>HISTOJANV25!C17+HISTOFEV25!C17+HISTOMARS25!C17+HISTOAVRIL25!C17+HISTOMAI25!C17+HISTOJUIN25!C17+HISTOJUIL25!C17+HISTOAOUT25!C17+HISTOSEPT25!C17+HISTOOCT25!C17+HISTONOV25!C17+HISTODEC25!C17</f>
        <v>-1090625</v>
      </c>
      <c r="D17" s="5">
        <f>HISTOJANV25!D17+HISTOFEV25!D17+HISTOMARS25!D17+HISTOAVRIL25!D17+HISTOMAI25!D17+HISTOJUIN25!D17+HISTOJUIL25!D17+HISTOAOUT25!D17+HISTOSEPT25!D17+HISTOOCT25!D17+HISTONOV25!D17+HISTODEC25!D17</f>
        <v>3604000</v>
      </c>
      <c r="E17" s="5">
        <f>HISTOJANV25!E17+HISTOFEV25!E17+HISTOMARS25!E17+HISTOAVRIL25!E17+HISTOMAI25!E17+HISTOJUIN25!E17+HISTOJUIL25!E17+HISTOAOUT25!E17+HISTOSEPT25!E17+HISTOOCT25!E17+HISTONOV25!E17+HISTODEC25!E17</f>
        <v>678500</v>
      </c>
      <c r="F17" s="5">
        <f>HISTOJANV25!F17+HISTOFEV25!F17+HISTOMARS25!F17+HISTOAVRIL25!F17+HISTOMAI25!F17+HISTOJUIN25!F17+HISTOJUIL25!F17+HISTOAOUT25!F17+HISTOSEPT25!F17+HISTOOCT25!F17+HISTONOV25!F17+HISTODEC25!F17</f>
        <v>0</v>
      </c>
      <c r="G17" s="5">
        <f>HISTOJANV25!G17+HISTOFEV25!G17+HISTOMARS25!G17+HISTOAVRIL25!G17+HISTOMAI25!G17+HISTOJUIN25!G17+HISTOJUIL25!G17+HISTOAOUT25!G17+HISTOSEPT25!G17+HISTOOCT25!G17+HISTONOV25!G17+HISTODEC25!G17</f>
        <v>284500</v>
      </c>
      <c r="H17" s="5">
        <f>HISTOJANV25!H17+HISTOFEV25!H17+HISTOMARS25!H17+HISTOAVRIL25!H17+HISTOMAI25!H17+HISTOJUIN25!H17+HISTOJUIL25!H17+HISTOAOUT25!H17+HISTOSEPT25!H17+HISTOOCT25!H17+HISTONOV25!H17+HISTODEC25!H17</f>
        <v>0</v>
      </c>
      <c r="I17" s="5"/>
      <c r="J17" s="5">
        <f>HISTOJANV25!J17+HISTOFEV25!J17+HISTOMARS25!J17+HISTOAVRIL25!J17+HISTOMAI25!J17+HISTOJUIN25!J17+HISTOJUIL25!J17+HISTOAOUT25!J17+HISTOSEPT25!J17+HISTOOCT25!J17+HISTONOV25!J17+HISTODEC25!J17</f>
        <v>12</v>
      </c>
      <c r="K17" s="5">
        <f>HISTOJANV25!K17+HISTOFEV25!K17+HISTOMARS25!K17+HISTOAVRIL25!K17+HISTOMAI25!K17+HISTOJUIN25!K17+HISTOJUIL25!K17+HISTOAOUT25!K17+HISTOSEPT25!K17+HISTOOCT25!K17+HISTONOV25!K17+HISTODEC25!K17</f>
        <v>600000</v>
      </c>
      <c r="L17" s="5">
        <f>HISTOJANV25!L17+HISTOFEV25!L17+HISTOMARS25!L17+HISTOAVRIL25!L17+HISTOMAI25!L17+HISTOJUIN25!L17+HISTOJUIL25!L17+HISTOAOUT25!L17+HISTOSEPT25!L17+HISTOOCT25!L17+HISTONOV25!L17+HISTODEC25!L17</f>
        <v>12</v>
      </c>
      <c r="M17" s="5">
        <f>HISTOJANV25!M17+HISTOFEV25!M17+HISTOMARS25!M17+HISTOAVRIL25!M17+HISTOMAI25!M17+HISTOJUIN25!M17+HISTOJUIL25!M17+HISTOAOUT25!M17+HISTOSEPT25!M17+HISTOOCT25!M17+HISTONOV25!M17+HISTODEC25!M17</f>
        <v>900000</v>
      </c>
      <c r="N17" s="5">
        <f>HISTOJANV25!N17+HISTOFEV25!N17+HISTOMARS25!N17+HISTOAVRIL25!N17+HISTOMAI25!N17+HISTOJUIN25!N17+HISTOJUIL25!N17+HISTOAOUT25!N17+HISTOSEPT25!N17+HISTOOCT25!N17+HISTONOV25!N17+HISTODEC25!N17</f>
        <v>12</v>
      </c>
      <c r="O17" s="5">
        <f>HISTOJANV25!O17+HISTOFEV25!O17+HISTOMARS25!O17+HISTOAVRIL25!O17+HISTOMAI25!O17+HISTOJUIN25!O17+HISTOJUIL25!O17+HISTOAOUT25!O17+HISTOSEPT25!O17+HISTOOCT25!O17+HISTONOV25!O17+HISTODEC25!O17</f>
        <v>1200000</v>
      </c>
      <c r="P17" s="5">
        <f>HISTOJANV25!P17+HISTOFEV25!P17+HISTOMARS25!P17+HISTOAVRIL25!P17+HISTOMAI25!P17+HISTOJUIN25!P17+HISTOJUIL25!P17+HISTOAOUT25!P17+HISTOSEPT25!P17+HISTOOCT25!P17+HISTONOV25!P17+HISTODEC25!P17</f>
        <v>50500</v>
      </c>
      <c r="Q17" s="5">
        <f>HISTOJANV25!Q17+HISTOFEV25!Q17+HISTOMARS25!Q17+HISTOAVRIL25!Q17+HISTOMAI25!Q17+HISTOJUIN25!Q17+HISTOJUIL25!Q17+HISTOAOUT25!Q17+HISTOSEPT25!Q17+HISTOOCT25!Q17+HISTONOV25!Q17+HISTODEC25!Q17</f>
        <v>500125</v>
      </c>
      <c r="R17" s="5">
        <f>HISTOJANV25!R17+HISTOFEV25!R17+HISTOMARS25!R17+HISTOAVRIL25!R17+HISTOMAI25!R17+HISTOJUIN25!R17+HISTOJUIL25!R17+HISTOAOUT25!R17+HISTOSEPT25!R17+HISTOOCT25!R17+HISTONOV25!R17+HISTODEC25!R17</f>
        <v>538000</v>
      </c>
      <c r="S17" s="5">
        <f>HISTOJANV25!S17+HISTOFEV25!S17+HISTOMARS25!S17+HISTOAVRIL25!S17+HISTOMAI25!S17+HISTOJUIN25!S17+HISTOJUIL25!S17+HISTOAOUT25!S17+HISTOSEPT25!S17+HISTOOCT25!S17+HISTONOV25!S17+HISTODEC25!S17</f>
        <v>1300000</v>
      </c>
      <c r="T17" s="5"/>
      <c r="U17" s="5">
        <f>HISTOJANV25!U17+HISTOFEV25!U17+HISTOMARS25!U17+HISTOAVRIL25!U17+HISTOMAI25!U17+HISTOJUIN25!U17+HISTOJUIL25!U17+HISTOAOUT25!U17+HISTOSEPT25!U17+HISTOOCT25!U17+HISTONOV25!U17+HISTODEC25!U17</f>
        <v>5373125</v>
      </c>
      <c r="V17" s="5">
        <f>HISTOJANV25!V17+HISTOFEV25!V17+HISTOMARS25!V17+HISTOAVRIL25!V17+HISTOMAI25!V17+HISTOJUIN25!V17+HISTOJUIL25!V17+HISTOAOUT25!V17+HISTOSEPT25!V17+HISTOOCT25!V17+HISTONOV25!V17+HISTODEC25!V17</f>
        <v>0</v>
      </c>
      <c r="W17" s="5">
        <f>HISTOJANV25!W17+HISTOFEV25!W17+HISTOMARS25!W17+HISTOAVRIL25!W17+HISTOMAI25!W17+HISTOJUIN25!W17+HISTOJUIL25!W17+HISTOAOUT25!W17+HISTOSEPT25!W17+HISTOOCT25!W17+HISTONOV25!W17+HISTODEC25!W17</f>
        <v>0</v>
      </c>
      <c r="X17" s="5">
        <f>HISTOJANV25!X17+HISTOFEV25!X17+HISTOMARS25!X17+HISTOAVRIL25!X17+HISTOMAI25!X17+HISTOJUIN25!X17+HISTOJUIL25!X17+HISTOAOUT25!X17+HISTOSEPT25!X17+HISTOOCT25!X17+HISTONOV25!X17+HISTODEC25!X17</f>
        <v>0</v>
      </c>
      <c r="Y17" s="5">
        <f>HISTOJANV25!Y17+HISTOFEV25!Y17+HISTOMARS25!Y17+HISTOAVRIL25!Y17+HISTOMAI25!Y17+HISTOJUIN25!Y17+HISTOJUIL25!Y17+HISTOAOUT25!Y17+HISTOSEPT25!Y17+HISTOOCT25!Y17+HISTONOV25!Y17+HISTODEC25!Y17</f>
        <v>2700000</v>
      </c>
      <c r="Z17" s="5">
        <f>HISTOJANV25!Z17+HISTOFEV25!Z17+HISTOMARS25!Z17+HISTOAVRIL25!Z17+HISTOMAI25!Z17+HISTOJUIN25!Z17+HISTOJUIL25!Z17+HISTOAOUT25!Z17+HISTOSEPT25!Z17+HISTOOCT25!Z17+HISTONOV25!Z17+HISTODEC25!Z17</f>
        <v>1700000</v>
      </c>
      <c r="AA17" s="5"/>
      <c r="AB17" s="5">
        <f>HISTOJANV25!AB17+HISTOFEV25!AB17+HISTOMARS25!AB17+HISTOAVRIL25!AB17+HISTOMAI25!AB17+HISTOJUIN25!AB17+HISTOJUIL25!AB17+HISTOAOUT25!AB17+HISTOSEPT25!AB17+HISTOOCT25!AB17+HISTONOV25!AB17+HISTODEC25!AB17</f>
        <v>0</v>
      </c>
      <c r="AC17" s="5">
        <f>HISTOJANV25!AC17+HISTOFEV25!AC17+HISTOMARS25!AC17+HISTOAVRIL25!AC17+HISTOMAI25!AC17+HISTOJUIN25!AC17+HISTOJUIL25!AC17+HISTOAOUT25!AC17+HISTOSEPT25!AC17+HISTOOCT25!AC17+HISTONOV25!AC17+HISTODEC25!AC17</f>
        <v>4500</v>
      </c>
      <c r="AD17" s="5">
        <f>HISTOJANV25!AD17+HISTOFEV25!AD17+HISTOMARS25!AD17+HISTOAVRIL25!AD17+HISTOMAI25!AD17+HISTOJUIN25!AD17+HISTOJUIL25!AD17+HISTOAOUT25!AD17+HISTOSEPT25!AD17+HISTOOCT25!AD17+HISTONOV25!AD17+HISTODEC25!AD17</f>
        <v>7500</v>
      </c>
      <c r="AE17" s="5">
        <f>HISTOJANV25!AE17+HISTOFEV25!AE17+HISTOMARS25!AE17+HISTOAVRIL25!AE17+HISTOMAI25!AE17+HISTOJUIN25!AE17+HISTOJUIL25!AE17+HISTOAOUT25!AE17+HISTOSEPT25!AE17+HISTOOCT25!AE17+HISTONOV25!AE17+HISTODEC25!AE17</f>
        <v>30000</v>
      </c>
      <c r="AF17" s="5"/>
      <c r="AG17" s="5">
        <f>HISTOJANV25!AG17+HISTOFEV25!AG17+HISTOMARS25!AG17+HISTOAVRIL25!AG17+HISTOMAI25!AG17+HISTOJUIN25!AG17+HISTOJUIL25!AG17+HISTOAOUT25!AG17+HISTOSEPT25!AG17+HISTOOCT25!AG17+HISTONOV25!AG17+HISTODEC25!AG17</f>
        <v>0</v>
      </c>
      <c r="AH17" s="5">
        <f>HISTOJANV25!AH17+HISTOFEV25!AH17+HISTOMARS25!AH17+HISTOAVRIL25!AH17+HISTOMAI25!AH17+HISTOJUIN25!AH17+HISTOJUIL25!AH17+HISTOAOUT25!AH17+HISTOSEPT25!AH17+HISTOOCT25!AH17+HISTONOV25!AH17+HISTODEC25!AH17</f>
        <v>0</v>
      </c>
      <c r="AI17" s="5">
        <f>HISTOJANV25!AI17+HISTOFEV25!AI17+HISTOMARS25!AI17+HISTOAVRIL25!AI17+HISTOMAI25!AI17+HISTOJUIN25!AI17+HISTOJUIL25!AI17+HISTOAOUT25!AI17+HISTOSEPT25!AI17+HISTOOCT25!AI17+HISTONOV25!AI17+HISTODEC25!AI17</f>
        <v>50000</v>
      </c>
      <c r="AJ17" s="5">
        <f>HISTOJANV25!AJ17+HISTOFEV25!AJ17+HISTOMARS25!AJ17+HISTOAVRIL25!AJ17+HISTOMAI25!AJ17+HISTOJUIN25!AJ17+HISTOJUIL25!AJ17+HISTOAOUT25!AJ17+HISTOSEPT25!AJ17+HISTOOCT25!AJ17+HISTONOV25!AJ17+HISTODEC25!AJ17</f>
        <v>491125</v>
      </c>
      <c r="AK17" s="5">
        <f>HISTOJANV25!AK17+HISTOFEV25!AK17+HISTOMARS25!AK17+HISTOAVRIL25!AK17+HISTOMAI25!AK17+HISTOJUIN25!AK17+HISTOJUIL25!AK17+HISTOAOUT25!AK17+HISTOSEPT25!AK17+HISTOOCT25!AK17+HISTONOV25!AK17+HISTODEC25!AK17</f>
        <v>532000</v>
      </c>
      <c r="AL17" s="5">
        <f>HISTOJANV25!AL17+HISTOFEV25!AL17+HISTOMARS25!AL17+HISTOAVRIL25!AL17+HISTOMAI25!AL17+HISTOJUIN25!AL17+HISTOJUIL25!AL17+HISTOAOUT25!AL17+HISTOSEPT25!AL17+HISTOOCT25!AL17+HISTONOV25!AL17+HISTODEC25!AL17</f>
        <v>500</v>
      </c>
      <c r="AM17" s="5">
        <f>HISTOJANV25!AM17+HISTOFEV25!AM17+HISTOMARS25!AM17+HISTOAVRIL25!AM17+HISTOMAI25!AM17+HISTOJUIN25!AM17+HISTOJUIL25!AM17+HISTOAOUT25!AM17+HISTOSEPT25!AM17+HISTOOCT25!AM17+HISTONOV25!AM17+HISTODEC25!AM17</f>
        <v>9000</v>
      </c>
      <c r="AN17" s="5">
        <f>HISTOJANV25!AN17+HISTOFEV25!AN17+HISTOMARS25!AN17+HISTOAVRIL25!AN17+HISTOMAI25!AN17+HISTOJUIN25!AN17+HISTOJUIL25!AN17+HISTOAOUT25!AN17+HISTOSEPT25!AN17+HISTOOCT25!AN17+HISTONOV25!AN17+HISTODEC25!AN17</f>
        <v>6000</v>
      </c>
      <c r="AO17" s="5">
        <f>HISTOJANV25!AO17+HISTOFEV25!AO17+HISTOMARS25!AO17+HISTOAVRIL25!AO17+HISTOMAI25!AO17+HISTOJUIN25!AO17+HISTOJUIL25!AO17+HISTOAOUT25!AO17+HISTOSEPT25!AO17+HISTOOCT25!AO17+HISTONOV25!AO17+HISTODEC25!AO17</f>
        <v>0</v>
      </c>
      <c r="AP17" s="5"/>
      <c r="AQ17" s="5">
        <f>HISTOJANV25!AQ17+HISTOFEV25!AQ17+HISTOMARS25!AQ17+HISTOAVRIL25!AQ17+HISTOMAI25!AQ17+HISTOJUIN25!AQ17+HISTOJUIL25!AQ17+HISTOAOUT25!AQ17+HISTOSEPT25!AQ17+HISTOOCT25!AQ17+HISTONOV25!AQ17+HISTODEC25!AQ17</f>
        <v>0</v>
      </c>
      <c r="AR17" s="5">
        <f>HISTOJANV25!AR17+HISTOFEV25!AR17+HISTOMARS25!AR17+HISTOAVRIL25!AR17+HISTOMAI25!AR17+HISTOJUIN25!AR17+HISTOJUIL25!AR17+HISTOAOUT25!AR17+HISTOSEPT25!AR17+HISTOOCT25!AR17+HISTONOV25!AR17+HISTODEC25!AR17</f>
        <v>0</v>
      </c>
      <c r="AS17" s="5">
        <f>HISTOJANV25!AS17+HISTOFEV25!AS17+HISTOMARS25!AS17+HISTOAVRIL25!AS17+HISTOMAI25!AS17+HISTOJUIN25!AS17+HISTOJUIL25!AS17+HISTOAOUT25!AS17+HISTOSEPT25!AS17+HISTOOCT25!AS17+HISTONOV25!AS17+HISTODEC25!AS17</f>
        <v>584500</v>
      </c>
      <c r="AT17" s="5">
        <f>HISTOJANV25!AT17+HISTOFEV25!AT17+HISTOMARS25!AT17+HISTOAVRIL25!AT17+HISTOMAI25!AT17+HISTOJUIN25!AT17+HISTOJUIL25!AT17+HISTOAOUT25!AT17+HISTOSEPT25!AT17+HISTOOCT25!AT17+HISTONOV25!AT17+HISTODEC25!AT17</f>
        <v>0</v>
      </c>
      <c r="AU17" s="5">
        <f>HISTOJANV25!AU17+HISTOFEV25!AU17+HISTOMARS25!AU17+HISTOAVRIL25!AU17+HISTOMAI25!AU17+HISTOJUIN25!AU17+HISTOJUIL25!AU17+HISTOAOUT25!AU17+HISTOSEPT25!AU17+HISTOOCT25!AU17+HISTONOV25!AU17+HISTODEC25!AU17</f>
        <v>0</v>
      </c>
      <c r="AV17" s="5">
        <f>HISTOJANV25!AV17+HISTOFEV25!AV17+HISTOMARS25!AV17+HISTOAVRIL25!AV17+HISTOMAI25!AV17+HISTOJUIN25!AV17+HISTOJUIL25!AV17+HISTOAOUT25!AV17+HISTOSEPT25!AV17+HISTOOCT25!AV17+HISTONOV25!AV17+HISTODEC25!AV17</f>
        <v>0</v>
      </c>
      <c r="AW17" s="5">
        <f>HISTOJANV25!AW17+HISTOFEV25!AW17+HISTOMARS25!AW17+HISTOAVRIL25!AW17+HISTOMAI25!AW17+HISTOJUIN25!AW17+HISTOJUIL25!AW17+HISTOAOUT25!AW17+HISTOSEPT25!AW17+HISTOOCT25!AW17+HISTONOV25!AW17+HISTODEC25!AW17</f>
        <v>345500</v>
      </c>
      <c r="AX17" s="5">
        <f>HISTOJANV25!AX17+HISTOFEV25!AX17+HISTOMARS25!AX17+HISTOAVRIL25!AX17+HISTOMAI25!AX17+HISTOJUIN25!AX17+HISTOJUIL25!AX17+HISTOAOUT25!AX17+HISTOSEPT25!AX17+HISTOOCT25!AX17+HISTONOV25!AX17+HISTODEC25!AX17</f>
        <v>1383625</v>
      </c>
      <c r="AY17" s="5">
        <f>HISTOJANV25!AY17+HISTOFEV25!AY17+HISTOMARS25!AY17+HISTOAVRIL25!AY17+HISTOMAI25!AY17+HISTOJUIN25!AY17+HISTOJUIL25!AY17+HISTOAOUT25!AY17+HISTOSEPT25!AY17+HISTOOCT25!AY17+HISTONOV25!AY17+HISTODEC25!AY17</f>
        <v>1702000</v>
      </c>
      <c r="AZ17" s="5">
        <f>HISTOJANV25!AZ17+HISTOFEV25!AZ17+HISTOMARS25!AZ17+HISTOAVRIL25!AZ17+HISTOMAI25!AZ17+HISTOJUIN25!AZ17+HISTOJUIL25!AZ17+HISTOAOUT25!AZ17+HISTOSEPT25!AZ17+HISTOOCT25!AZ17+HISTONOV25!AZ17+HISTODEC25!AZ17</f>
        <v>5100125</v>
      </c>
      <c r="BA17" s="5">
        <f>HISTOJANV25!BA17+HISTOFEV25!BA17+HISTOMARS25!BA17+HISTOAVRIL25!BA17+HISTOMAI25!BA17+HISTOJUIN25!BA17+HISTOJUIL25!BA17+HISTOAOUT25!BA17+HISTOSEPT25!BA17+HISTOOCT25!BA17+HISTONOV25!BA17+HISTODEC25!BA17</f>
        <v>749000</v>
      </c>
      <c r="BB17" s="5">
        <f>HISTOJANV25!BB17+HISTOFEV25!BB17+HISTOMARS25!BB17+HISTOAVRIL25!BB17+HISTOMAI25!BB17+HISTOJUIN25!BB17+HISTOJUIL25!BB17+HISTOAOUT25!BB17+HISTOSEPT25!BB17+HISTOOCT25!BB17+HISTONOV25!BB17+HISTODEC25!BB17</f>
        <v>0</v>
      </c>
      <c r="BC17" s="5">
        <f>HISTOJANV25!BC17+HISTOFEV25!BC17+HISTOMARS25!BC17+HISTOAVRIL25!BC17+HISTOMAI25!BC17+HISTOJUIN25!BC17+HISTOJUIL25!BC17+HISTOAOUT25!BC17+HISTOSEPT25!BC17+HISTOOCT25!BC17+HISTONOV25!BC17+HISTODEC25!BC17</f>
        <v>0</v>
      </c>
      <c r="BD17" s="5">
        <f>HISTOJANV25!BD17+HISTOFEV25!BD17+HISTOMARS25!BD17+HISTOAVRIL25!BD17+HISTOMAI25!BD17+HISTOJUIN25!BD17+HISTOJUIL25!BD17+HISTOAOUT25!BD17+HISTOSEPT25!BD17+HISTOOCT25!BD17+HISTONOV25!BD17+HISTODEC25!BD17</f>
        <v>4355125</v>
      </c>
      <c r="BE17" s="5"/>
      <c r="BF17" s="5">
        <f>HISTOJANV25!BF17+HISTOFEV25!BF17+HISTOMARS25!BF17+HISTOAVRIL25!BF17+HISTOMAI25!BF17+HISTOJUIN25!BF17+HISTOJUIL25!BF17+HISTOAOUT25!BF17+HISTOSEPT25!BF17+HISTOOCT25!BF17+HISTONOV25!BF17+HISTODEC25!BF17</f>
        <v>31000</v>
      </c>
      <c r="BG17" s="5">
        <f>HISTOJANV25!BG17+HISTOFEV25!BG17+HISTOMARS25!BG17+HISTOAVRIL25!BG17+HISTOMAI25!BG17+HISTOJUIN25!BG17+HISTOJUIL25!BG17+HISTOAOUT25!BG17+HISTOSEPT25!BG17+HISTOOCT25!BG17+HISTONOV25!BG17+HISTODEC25!BG17</f>
        <v>65</v>
      </c>
      <c r="BH17" s="5">
        <f>HISTOJANV25!BH17+HISTOFEV25!BH17+HISTOMARS25!BH17+HISTOAVRIL25!BH17+HISTOMAI25!BH17+HISTOJUIN25!BH17+HISTOJUIL25!BH17+HISTOAOUT25!BH17+HISTOSEPT25!BH17+HISTOOCT25!BH17+HISTONOV25!BH17+HISTODEC25!BH17</f>
        <v>0</v>
      </c>
      <c r="BI17" s="5">
        <f>HISTOJANV25!BI17+HISTOFEV25!BI17+HISTOMARS25!BI17+HISTOAVRIL25!BI17+HISTOMAI25!BI17+HISTOJUIN25!BI17+HISTOJUIL25!BI17+HISTOAOUT25!BI17+HISTOSEPT25!BI17+HISTOOCT25!BI17+HISTONOV25!BI17+HISTODEC25!BI17</f>
        <v>0</v>
      </c>
      <c r="BJ17" s="5">
        <f>HISTOJANV25!BJ17+HISTOFEV25!BJ17+HISTOMARS25!BJ17+HISTOAVRIL25!BJ17+HISTOMAI25!BJ17+HISTOJUIN25!BJ17+HISTOJUIL25!BJ17+HISTOAOUT25!BJ17+HISTOSEPT25!BJ17+HISTOOCT25!BJ17+HISTONOV25!BJ17+HISTODEC25!BJ17</f>
        <v>0</v>
      </c>
      <c r="BK17" s="5">
        <f>HISTOJANV25!BK17+HISTOFEV25!BK17+HISTOMARS25!BK17+HISTOAVRIL25!BK17+HISTOMAI25!BK17+HISTOJUIN25!BK17+HISTOJUIL25!BK17+HISTOAOUT25!BK17+HISTOSEPT25!BK17+HISTOOCT25!BK17+HISTONOV25!BK17+HISTODEC25!BK17</f>
        <v>0</v>
      </c>
      <c r="BL17" s="5">
        <f>HISTOJANV25!BL17+HISTOFEV25!BL17+HISTOMARS25!BL17+HISTOAVRIL25!BL17+HISTOMAI25!BL17+HISTOJUIN25!BL17+HISTOJUIL25!BL17+HISTOAOUT25!BL17+HISTOSEPT25!BL17+HISTOOCT25!BL17+HISTONOV25!BL17+HISTODEC25!BL17</f>
        <v>0</v>
      </c>
      <c r="BM17" s="5">
        <f>HISTOJANV25!BM17+HISTOFEV25!BM17+HISTOMARS25!BM17+HISTOAVRIL25!BM17+HISTOMAI25!BM17+HISTOJUIN25!BM17+HISTOJUIL25!BM17+HISTOAOUT25!BM17+HISTOSEPT25!BM17+HISTOOCT25!BM17+HISTONOV25!BM17+HISTODEC25!BM17</f>
        <v>0</v>
      </c>
      <c r="BN17" s="5">
        <f>HISTOJANV25!BN17+HISTOFEV25!BN17+HISTOMARS25!BN17+HISTOAVRIL25!BN17+HISTOMAI25!BN17+HISTOJUIN25!BN17+HISTOJUIL25!BN17+HISTOAOUT25!BN17+HISTOSEPT25!BN17+HISTOOCT25!BN17+HISTONOV25!BN17+HISTODEC25!BN17</f>
        <v>0</v>
      </c>
      <c r="BO17" s="62" t="s">
        <v>142</v>
      </c>
      <c r="BQ17" s="62">
        <f>SUM(BQ6:BQ16)</f>
        <v>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>HISTOJANV25!C18+HISTOFEV25!C18+HISTOMARS25!C18+HISTOAVRIL25!C18+HISTOMAI25!C18+HISTOJUIN25!C18+HISTOJUIL25!C18+HISTOAOUT25!C18+HISTOSEPT25!C18+HISTOOCT25!C18+HISTONOV25!C18+HISTODEC25!C18</f>
        <v>-1233500</v>
      </c>
      <c r="D18" s="5">
        <f>HISTOJANV25!D18+HISTOFEV25!D18+HISTOMARS25!D18+HISTOAVRIL25!D18+HISTOMAI25!D18+HISTOJUIN25!D18+HISTOJUIL25!D18+HISTOAOUT25!D18+HISTOSEPT25!D18+HISTOOCT25!D18+HISTONOV25!D18+HISTODEC25!D18</f>
        <v>1730000</v>
      </c>
      <c r="E18" s="5">
        <f>HISTOJANV25!E18+HISTOFEV25!E18+HISTOMARS25!E18+HISTOAVRIL25!E18+HISTOMAI25!E18+HISTOJUIN25!E18+HISTOJUIL25!E18+HISTOAOUT25!E18+HISTOSEPT25!E18+HISTOOCT25!E18+HISTONOV25!E18+HISTODEC25!E18</f>
        <v>322000</v>
      </c>
      <c r="F18" s="5">
        <f>HISTOJANV25!F18+HISTOFEV25!F18+HISTOMARS25!F18+HISTOAVRIL25!F18+HISTOMAI25!F18+HISTOJUIN25!F18+HISTOJUIL25!F18+HISTOAOUT25!F18+HISTOSEPT25!F18+HISTOOCT25!F18+HISTONOV25!F18+HISTODEC25!F18</f>
        <v>490000</v>
      </c>
      <c r="G18" s="5">
        <f>HISTOJANV25!G18+HISTOFEV25!G18+HISTOMARS25!G18+HISTOAVRIL25!G18+HISTOMAI25!G18+HISTOJUIN25!G18+HISTOJUIL25!G18+HISTOAOUT25!G18+HISTOSEPT25!G18+HISTOOCT25!G18+HISTONOV25!G18+HISTODEC25!G18</f>
        <v>-3000</v>
      </c>
      <c r="H18" s="5">
        <f>HISTOJANV25!H18+HISTOFEV25!H18+HISTOMARS25!H18+HISTOAVRIL25!H18+HISTOMAI25!H18+HISTOJUIN25!H18+HISTOJUIL25!H18+HISTOAOUT25!H18+HISTOSEPT25!H18+HISTOOCT25!H18+HISTONOV25!H18+HISTODEC25!H18</f>
        <v>3000</v>
      </c>
      <c r="I18" s="5"/>
      <c r="J18" s="5">
        <f>HISTOJANV25!J18+HISTOFEV25!J18+HISTOMARS25!J18+HISTOAVRIL25!J18+HISTOMAI25!J18+HISTOJUIN25!J18+HISTOJUIL25!J18+HISTOAOUT25!J18+HISTOSEPT25!J18+HISTOOCT25!J18+HISTONOV25!J18+HISTODEC25!J18</f>
        <v>12</v>
      </c>
      <c r="K18" s="5">
        <f>HISTOJANV25!K18+HISTOFEV25!K18+HISTOMARS25!K18+HISTOAVRIL25!K18+HISTOMAI25!K18+HISTOJUIN25!K18+HISTOJUIL25!K18+HISTOAOUT25!K18+HISTOSEPT25!K18+HISTOOCT25!K18+HISTONOV25!K18+HISTODEC25!K18</f>
        <v>600000</v>
      </c>
      <c r="L18" s="5">
        <f>HISTOJANV25!L18+HISTOFEV25!L18+HISTOMARS25!L18+HISTOAVRIL25!L18+HISTOMAI25!L18+HISTOJUIN25!L18+HISTOJUIL25!L18+HISTOAOUT25!L18+HISTOSEPT25!L18+HISTOOCT25!L18+HISTONOV25!L18+HISTODEC25!L18</f>
        <v>0</v>
      </c>
      <c r="M18" s="5">
        <f>HISTOJANV25!M18+HISTOFEV25!M18+HISTOMARS25!M18+HISTOAVRIL25!M18+HISTOMAI25!M18+HISTOJUIN25!M18+HISTOJUIL25!M18+HISTOAOUT25!M18+HISTOSEPT25!M18+HISTOOCT25!M18+HISTONOV25!M18+HISTODEC25!M18</f>
        <v>0</v>
      </c>
      <c r="N18" s="5">
        <f>HISTOJANV25!N18+HISTOFEV25!N18+HISTOMARS25!N18+HISTOAVRIL25!N18+HISTOMAI25!N18+HISTOJUIN25!N18+HISTOJUIL25!N18+HISTOAOUT25!N18+HISTOSEPT25!N18+HISTOOCT25!N18+HISTONOV25!N18+HISTODEC25!N18</f>
        <v>12</v>
      </c>
      <c r="O18" s="5">
        <f>HISTOJANV25!O18+HISTOFEV25!O18+HISTOMARS25!O18+HISTOAVRIL25!O18+HISTOMAI25!O18+HISTOJUIN25!O18+HISTOJUIL25!O18+HISTOAOUT25!O18+HISTOSEPT25!O18+HISTOOCT25!O18+HISTONOV25!O18+HISTODEC25!O18</f>
        <v>1200000</v>
      </c>
      <c r="P18" s="5">
        <f>HISTOJANV25!P18+HISTOFEV25!P18+HISTOMARS25!P18+HISTOAVRIL25!P18+HISTOMAI25!P18+HISTOJUIN25!P18+HISTOJUIL25!P18+HISTOAOUT25!P18+HISTOSEPT25!P18+HISTOOCT25!P18+HISTONOV25!P18+HISTODEC25!P18</f>
        <v>104000</v>
      </c>
      <c r="Q18" s="5">
        <f>HISTOJANV25!Q18+HISTOFEV25!Q18+HISTOMARS25!Q18+HISTOAVRIL25!Q18+HISTOMAI25!Q18+HISTOJUIN25!Q18+HISTOJUIL25!Q18+HISTOAOUT25!Q18+HISTOSEPT25!Q18+HISTOOCT25!Q18+HISTONOV25!Q18+HISTODEC25!Q18</f>
        <v>0</v>
      </c>
      <c r="R18" s="5">
        <f>HISTOJANV25!R18+HISTOFEV25!R18+HISTOMARS25!R18+HISTOAVRIL25!R18+HISTOMAI25!R18+HISTOJUIN25!R18+HISTOJUIL25!R18+HISTOAOUT25!R18+HISTOSEPT25!R18+HISTOOCT25!R18+HISTONOV25!R18+HISTODEC25!R18</f>
        <v>525000</v>
      </c>
      <c r="S18" s="5">
        <f>HISTOJANV25!S18+HISTOFEV25!S18+HISTOMARS25!S18+HISTOAVRIL25!S18+HISTOMAI25!S18+HISTOJUIN25!S18+HISTOJUIL25!S18+HISTOAOUT25!S18+HISTOSEPT25!S18+HISTOOCT25!S18+HISTONOV25!S18+HISTODEC25!S18</f>
        <v>1346500</v>
      </c>
      <c r="T18" s="5"/>
      <c r="U18" s="5">
        <f>HISTOJANV25!U18+HISTOFEV25!U18+HISTOMARS25!U18+HISTOAVRIL25!U18+HISTOMAI25!U18+HISTOJUIN25!U18+HISTOJUIL25!U18+HISTOAOUT25!U18+HISTOSEPT25!U18+HISTOOCT25!U18+HISTONOV25!U18+HISTODEC25!U18</f>
        <v>3775500</v>
      </c>
      <c r="V18" s="5">
        <f>HISTOJANV25!V18+HISTOFEV25!V18+HISTOMARS25!V18+HISTOAVRIL25!V18+HISTOMAI25!V18+HISTOJUIN25!V18+HISTOJUIL25!V18+HISTOAOUT25!V18+HISTOSEPT25!V18+HISTOOCT25!V18+HISTONOV25!V18+HISTODEC25!V18</f>
        <v>0</v>
      </c>
      <c r="W18" s="5">
        <f>HISTOJANV25!W18+HISTOFEV25!W18+HISTOMARS25!W18+HISTOAVRIL25!W18+HISTOMAI25!W18+HISTOJUIN25!W18+HISTOJUIL25!W18+HISTOAOUT25!W18+HISTOSEPT25!W18+HISTOOCT25!W18+HISTONOV25!W18+HISTODEC25!W18</f>
        <v>0</v>
      </c>
      <c r="X18" s="5">
        <f>HISTOJANV25!X18+HISTOFEV25!X18+HISTOMARS25!X18+HISTOAVRIL25!X18+HISTOMAI25!X18+HISTOJUIN25!X18+HISTOJUIL25!X18+HISTOAOUT25!X18+HISTOSEPT25!X18+HISTOOCT25!X18+HISTONOV25!X18+HISTODEC25!X18</f>
        <v>0</v>
      </c>
      <c r="Y18" s="5">
        <f>HISTOJANV25!Y18+HISTOFEV25!Y18+HISTOMARS25!Y18+HISTOAVRIL25!Y18+HISTOMAI25!Y18+HISTOJUIN25!Y18+HISTOJUIL25!Y18+HISTOAOUT25!Y18+HISTOSEPT25!Y18+HISTOOCT25!Y18+HISTONOV25!Y18+HISTODEC25!Y18</f>
        <v>1800000</v>
      </c>
      <c r="Z18" s="5">
        <f>HISTOJANV25!Z18+HISTOFEV25!Z18+HISTOMARS25!Z18+HISTOAVRIL25!Z18+HISTOMAI25!Z18+HISTOJUIN25!Z18+HISTOJUIL25!Z18+HISTOAOUT25!Z18+HISTOSEPT25!Z18+HISTOOCT25!Z18+HISTONOV25!Z18+HISTODEC25!Z18</f>
        <v>1500000</v>
      </c>
      <c r="AA18" s="5"/>
      <c r="AB18" s="5">
        <f>HISTOJANV25!AB18+HISTOFEV25!AB18+HISTOMARS25!AB18+HISTOAVRIL25!AB18+HISTOMAI25!AB18+HISTOJUIN25!AB18+HISTOJUIL25!AB18+HISTOAOUT25!AB18+HISTOSEPT25!AB18+HISTOOCT25!AB18+HISTONOV25!AB18+HISTODEC25!AB18</f>
        <v>0</v>
      </c>
      <c r="AC18" s="5">
        <f>HISTOJANV25!AC18+HISTOFEV25!AC18+HISTOMARS25!AC18+HISTOAVRIL25!AC18+HISTOMAI25!AC18+HISTOJUIN25!AC18+HISTOJUIL25!AC18+HISTOAOUT25!AC18+HISTOSEPT25!AC18+HISTOOCT25!AC18+HISTONOV25!AC18+HISTODEC25!AC18</f>
        <v>20000</v>
      </c>
      <c r="AD18" s="5">
        <f>HISTOJANV25!AD18+HISTOFEV25!AD18+HISTOMARS25!AD18+HISTOAVRIL25!AD18+HISTOMAI25!AD18+HISTOJUIN25!AD18+HISTOJUIL25!AD18+HISTOAOUT25!AD18+HISTOSEPT25!AD18+HISTOOCT25!AD18+HISTONOV25!AD18+HISTODEC25!AD18</f>
        <v>0</v>
      </c>
      <c r="AE18" s="5">
        <f>HISTOJANV25!AE18+HISTOFEV25!AE18+HISTOMARS25!AE18+HISTOAVRIL25!AE18+HISTOMAI25!AE18+HISTOJUIN25!AE18+HISTOJUIL25!AE18+HISTOAOUT25!AE18+HISTOSEPT25!AE18+HISTOOCT25!AE18+HISTONOV25!AE18+HISTODEC25!AE18</f>
        <v>115000</v>
      </c>
      <c r="AF18" s="5"/>
      <c r="AG18" s="5">
        <f>HISTOJANV25!AG18+HISTOFEV25!AG18+HISTOMARS25!AG18+HISTOAVRIL25!AG18+HISTOMAI25!AG18+HISTOJUIN25!AG18+HISTOJUIL25!AG18+HISTOAOUT25!AG18+HISTOSEPT25!AG18+HISTOOCT25!AG18+HISTONOV25!AG18+HISTODEC25!AG18</f>
        <v>0</v>
      </c>
      <c r="AH18" s="5">
        <f>HISTOJANV25!AH18+HISTOFEV25!AH18+HISTOMARS25!AH18+HISTOAVRIL25!AH18+HISTOMAI25!AH18+HISTOJUIN25!AH18+HISTOJUIL25!AH18+HISTOAOUT25!AH18+HISTOSEPT25!AH18+HISTOOCT25!AH18+HISTONOV25!AH18+HISTODEC25!AH18</f>
        <v>0</v>
      </c>
      <c r="AI18" s="5">
        <f>HISTOJANV25!AI18+HISTOFEV25!AI18+HISTOMARS25!AI18+HISTOAVRIL25!AI18+HISTOMAI25!AI18+HISTOJUIN25!AI18+HISTOJUIL25!AI18+HISTOAOUT25!AI18+HISTOSEPT25!AI18+HISTOOCT25!AI18+HISTONOV25!AI18+HISTODEC25!AI18</f>
        <v>101000</v>
      </c>
      <c r="AJ18" s="5">
        <f>HISTOJANV25!AJ18+HISTOFEV25!AJ18+HISTOMARS25!AJ18+HISTOAVRIL25!AJ18+HISTOMAI25!AJ18+HISTOJUIN25!AJ18+HISTOJUIL25!AJ18+HISTOAOUT25!AJ18+HISTOSEPT25!AJ18+HISTOOCT25!AJ18+HISTONOV25!AJ18+HISTODEC25!AJ18</f>
        <v>0</v>
      </c>
      <c r="AK18" s="5">
        <f>HISTOJANV25!AK18+HISTOFEV25!AK18+HISTOMARS25!AK18+HISTOAVRIL25!AK18+HISTOMAI25!AK18+HISTOJUIN25!AK18+HISTOJUIL25!AK18+HISTOAOUT25!AK18+HISTOSEPT25!AK18+HISTOOCT25!AK18+HISTONOV25!AK18+HISTODEC25!AK18</f>
        <v>509500</v>
      </c>
      <c r="AL18" s="5">
        <f>HISTOJANV25!AL18+HISTOFEV25!AL18+HISTOMARS25!AL18+HISTOAVRIL25!AL18+HISTOMAI25!AL18+HISTOJUIN25!AL18+HISTOJUIL25!AL18+HISTOAOUT25!AL18+HISTOSEPT25!AL18+HISTOOCT25!AL18+HISTONOV25!AL18+HISTODEC25!AL18</f>
        <v>3000</v>
      </c>
      <c r="AM18" s="5">
        <f>HISTOJANV25!AM18+HISTOFEV25!AM18+HISTOMARS25!AM18+HISTOAVRIL25!AM18+HISTOMAI25!AM18+HISTOJUIN25!AM18+HISTOJUIL25!AM18+HISTOAOUT25!AM18+HISTOSEPT25!AM18+HISTOOCT25!AM18+HISTONOV25!AM18+HISTODEC25!AM18</f>
        <v>0</v>
      </c>
      <c r="AN18" s="5">
        <f>HISTOJANV25!AN18+HISTOFEV25!AN18+HISTOMARS25!AN18+HISTOAVRIL25!AN18+HISTOMAI25!AN18+HISTOJUIN25!AN18+HISTOJUIL25!AN18+HISTOAOUT25!AN18+HISTOSEPT25!AN18+HISTOOCT25!AN18+HISTONOV25!AN18+HISTODEC25!AN18</f>
        <v>11500</v>
      </c>
      <c r="AO18" s="5">
        <f>HISTOJANV25!AO18+HISTOFEV25!AO18+HISTOMARS25!AO18+HISTOAVRIL25!AO18+HISTOMAI25!AO18+HISTOJUIN25!AO18+HISTOJUIL25!AO18+HISTOAOUT25!AO18+HISTOSEPT25!AO18+HISTOOCT25!AO18+HISTONOV25!AO18+HISTODEC25!AO18</f>
        <v>0</v>
      </c>
      <c r="AP18" s="5"/>
      <c r="AQ18" s="5">
        <f>HISTOJANV25!AQ18+HISTOFEV25!AQ18+HISTOMARS25!AQ18+HISTOAVRIL25!AQ18+HISTOMAI25!AQ18+HISTOJUIN25!AQ18+HISTOJUIL25!AQ18+HISTOAOUT25!AQ18+HISTOSEPT25!AQ18+HISTOOCT25!AQ18+HISTONOV25!AQ18+HISTODEC25!AQ18</f>
        <v>0</v>
      </c>
      <c r="AR18" s="5">
        <f>HISTOJANV25!AR18+HISTOFEV25!AR18+HISTOMARS25!AR18+HISTOAVRIL25!AR18+HISTOMAI25!AR18+HISTOJUIN25!AR18+HISTOJUIL25!AR18+HISTOAOUT25!AR18+HISTOSEPT25!AR18+HISTOOCT25!AR18+HISTONOV25!AR18+HISTODEC25!AR18</f>
        <v>0</v>
      </c>
      <c r="AS18" s="5">
        <f>HISTOJANV25!AS18+HISTOFEV25!AS18+HISTOMARS25!AS18+HISTOAVRIL25!AS18+HISTOMAI25!AS18+HISTOJUIN25!AS18+HISTOJUIL25!AS18+HISTOAOUT25!AS18+HISTOSEPT25!AS18+HISTOOCT25!AS18+HISTONOV25!AS18+HISTODEC25!AS18</f>
        <v>297000</v>
      </c>
      <c r="AT18" s="5">
        <f>HISTOJANV25!AT18+HISTOFEV25!AT18+HISTOMARS25!AT18+HISTOAVRIL25!AT18+HISTOMAI25!AT18+HISTOJUIN25!AT18+HISTOJUIL25!AT18+HISTOAOUT25!AT18+HISTOSEPT25!AT18+HISTOOCT25!AT18+HISTONOV25!AT18+HISTODEC25!AT18</f>
        <v>0</v>
      </c>
      <c r="AU18" s="5">
        <f>HISTOJANV25!AU18+HISTOFEV25!AU18+HISTOMARS25!AU18+HISTOAVRIL25!AU18+HISTOMAI25!AU18+HISTOJUIN25!AU18+HISTOJUIL25!AU18+HISTOAOUT25!AU18+HISTOSEPT25!AU18+HISTOOCT25!AU18+HISTONOV25!AU18+HISTODEC25!AU18</f>
        <v>0</v>
      </c>
      <c r="AV18" s="5">
        <f>HISTOJANV25!AV18+HISTOFEV25!AV18+HISTOMARS25!AV18+HISTOAVRIL25!AV18+HISTOMAI25!AV18+HISTOJUIN25!AV18+HISTOJUIL25!AV18+HISTOAOUT25!AV18+HISTOSEPT25!AV18+HISTOOCT25!AV18+HISTONOV25!AV18+HISTODEC25!AV18</f>
        <v>0</v>
      </c>
      <c r="AW18" s="5">
        <f>HISTOJANV25!AW18+HISTOFEV25!AW18+HISTOMARS25!AW18+HISTOAVRIL25!AW18+HISTOMAI25!AW18+HISTOJUIN25!AW18+HISTOJUIL25!AW18+HISTOAOUT25!AW18+HISTOSEPT25!AW18+HISTOOCT25!AW18+HISTONOV25!AW18+HISTODEC25!AW18</f>
        <v>381000</v>
      </c>
      <c r="AX18" s="5">
        <f>HISTOJANV25!AX18+HISTOFEV25!AX18+HISTOMARS25!AX18+HISTOAVRIL25!AX18+HISTOMAI25!AX18+HISTOJUIN25!AX18+HISTOJUIL25!AX18+HISTOAOUT25!AX18+HISTOSEPT25!AX18+HISTOOCT25!AX18+HISTONOV25!AX18+HISTODEC25!AX18</f>
        <v>0</v>
      </c>
      <c r="AY18" s="5">
        <f>HISTOJANV25!AY18+HISTOFEV25!AY18+HISTOMARS25!AY18+HISTOAVRIL25!AY18+HISTOMAI25!AY18+HISTOJUIN25!AY18+HISTOJUIL25!AY18+HISTOAOUT25!AY18+HISTOSEPT25!AY18+HISTOOCT25!AY18+HISTONOV25!AY18+HISTODEC25!AY18</f>
        <v>1594500</v>
      </c>
      <c r="AZ18" s="5">
        <f>HISTOJANV25!AZ18+HISTOFEV25!AZ18+HISTOMARS25!AZ18+HISTOAVRIL25!AZ18+HISTOMAI25!AZ18+HISTOJUIN25!AZ18+HISTOJUIL25!AZ18+HISTOAOUT25!AZ18+HISTOSEPT25!AZ18+HISTOOCT25!AZ18+HISTONOV25!AZ18+HISTODEC25!AZ18</f>
        <v>3495500</v>
      </c>
      <c r="BA18" s="5">
        <f>HISTOJANV25!BA18+HISTOFEV25!BA18+HISTOMARS25!BA18+HISTOAVRIL25!BA18+HISTOMAI25!BA18+HISTOJUIN25!BA18+HISTOJUIL25!BA18+HISTOAOUT25!BA18+HISTOSEPT25!BA18+HISTOOCT25!BA18+HISTONOV25!BA18+HISTODEC25!BA18</f>
        <v>240000</v>
      </c>
      <c r="BB18" s="5">
        <f>HISTOJANV25!BB18+HISTOFEV25!BB18+HISTOMARS25!BB18+HISTOAVRIL25!BB18+HISTOMAI25!BB18+HISTOJUIN25!BB18+HISTOJUIL25!BB18+HISTOAOUT25!BB18+HISTOSEPT25!BB18+HISTOOCT25!BB18+HISTONOV25!BB18+HISTODEC25!BB18</f>
        <v>0</v>
      </c>
      <c r="BC18" s="5">
        <f>HISTOJANV25!BC18+HISTOFEV25!BC18+HISTOMARS25!BC18+HISTOAVRIL25!BC18+HISTOMAI25!BC18+HISTOJUIN25!BC18+HISTOJUIL25!BC18+HISTOAOUT25!BC18+HISTOSEPT25!BC18+HISTOOCT25!BC18+HISTONOV25!BC18+HISTODEC25!BC18</f>
        <v>490000</v>
      </c>
      <c r="BD18" s="5">
        <f>HISTOJANV25!BD18+HISTOFEV25!BD18+HISTOMARS25!BD18+HISTOAVRIL25!BD18+HISTOMAI25!BD18+HISTOJUIN25!BD18+HISTOJUIL25!BD18+HISTOAOUT25!BD18+HISTOSEPT25!BD18+HISTOOCT25!BD18+HISTONOV25!BD18+HISTODEC25!BD18</f>
        <v>2481000</v>
      </c>
      <c r="BE18" s="5"/>
      <c r="BF18" s="5">
        <f>HISTOJANV25!BF18+HISTOFEV25!BF18+HISTOMARS25!BF18+HISTOAVRIL25!BF18+HISTOMAI25!BF18+HISTOJUIN25!BF18+HISTOJUIL25!BF18+HISTOAOUT25!BF18+HISTOSEPT25!BF18+HISTOOCT25!BF18+HISTONOV25!BF18+HISTODEC25!BF18</f>
        <v>80000</v>
      </c>
      <c r="BG18" s="5">
        <f>HISTOJANV25!BG18+HISTOFEV25!BG18+HISTOMARS25!BG18+HISTOAVRIL25!BG18+HISTOMAI25!BG18+HISTOJUIN25!BG18+HISTOJUIL25!BG18+HISTOAOUT25!BG18+HISTOSEPT25!BG18+HISTOOCT25!BG18+HISTONOV25!BG18+HISTODEC25!BG18</f>
        <v>63</v>
      </c>
      <c r="BH18" s="5">
        <f>HISTOJANV25!BH18+HISTOFEV25!BH18+HISTOMARS25!BH18+HISTOAVRIL25!BH18+HISTOMAI25!BH18+HISTOJUIN25!BH18+HISTOJUIL25!BH18+HISTOAOUT25!BH18+HISTOSEPT25!BH18+HISTOOCT25!BH18+HISTONOV25!BH18+HISTODEC25!BH18</f>
        <v>0</v>
      </c>
      <c r="BI18" s="5">
        <f>HISTOJANV25!BI18+HISTOFEV25!BI18+HISTOMARS25!BI18+HISTOAVRIL25!BI18+HISTOMAI25!BI18+HISTOJUIN25!BI18+HISTOJUIL25!BI18+HISTOAOUT25!BI18+HISTOSEPT25!BI18+HISTOOCT25!BI18+HISTONOV25!BI18+HISTODEC25!BI18</f>
        <v>0</v>
      </c>
      <c r="BJ18" s="5">
        <f>HISTOJANV25!BJ18+HISTOFEV25!BJ18+HISTOMARS25!BJ18+HISTOAVRIL25!BJ18+HISTOMAI25!BJ18+HISTOJUIN25!BJ18+HISTOJUIL25!BJ18+HISTOAOUT25!BJ18+HISTOSEPT25!BJ18+HISTOOCT25!BJ18+HISTONOV25!BJ18+HISTODEC25!BJ18</f>
        <v>0</v>
      </c>
      <c r="BK18" s="5">
        <f>HISTOJANV25!BK18+HISTOFEV25!BK18+HISTOMARS25!BK18+HISTOAVRIL25!BK18+HISTOMAI25!BK18+HISTOJUIN25!BK18+HISTOJUIL25!BK18+HISTOAOUT25!BK18+HISTOSEPT25!BK18+HISTOOCT25!BK18+HISTONOV25!BK18+HISTODEC25!BK18</f>
        <v>100000</v>
      </c>
      <c r="BL18" s="5">
        <f>HISTOJANV25!BL18+HISTOFEV25!BL18+HISTOMARS25!BL18+HISTOAVRIL25!BL18+HISTOMAI25!BL18+HISTOJUIN25!BL18+HISTOJUIL25!BL18+HISTOAOUT25!BL18+HISTOSEPT25!BL18+HISTOOCT25!BL18+HISTONOV25!BL18+HISTODEC25!BL18</f>
        <v>0</v>
      </c>
      <c r="BM18" s="5">
        <f>HISTOJANV25!BM18+HISTOFEV25!BM18+HISTOMARS25!BM18+HISTOAVRIL25!BM18+HISTOMAI25!BM18+HISTOJUIN25!BM18+HISTOJUIL25!BM18+HISTOAOUT25!BM18+HISTOSEPT25!BM18+HISTOOCT25!BM18+HISTONOV25!BM18+HISTODEC25!BM18</f>
        <v>0</v>
      </c>
      <c r="BN18" s="5">
        <f>HISTOJANV25!BN18+HISTOFEV25!BN18+HISTOMARS25!BN18+HISTOAVRIL25!BN18+HISTOMAI25!BN18+HISTOJUIN25!BN18+HISTOJUIL25!BN18+HISTOAOUT25!BN18+HISTOSEPT25!BN18+HISTOOCT25!BN18+HISTONOV25!BN18+HISTODEC25!BN18</f>
        <v>0</v>
      </c>
      <c r="BO18" s="62"/>
      <c r="BQ18" s="6"/>
    </row>
    <row r="19" spans="1:69" ht="17.5" x14ac:dyDescent="0.35">
      <c r="A19" s="1" t="s">
        <v>23</v>
      </c>
      <c r="B19" s="1" t="str">
        <f>VLOOKUP(A19,[5]LISTADHERENT!A$5:H$50,3,0)</f>
        <v>KOUATCHO MESSACK</v>
      </c>
      <c r="C19" s="5">
        <f>HISTOJANV25!C19+HISTOFEV25!C19+HISTOMARS25!C19+HISTOAVRIL25!C19+HISTOMAI25!C19+HISTOJUIN25!C19+HISTOJUIL25!C19+HISTOAOUT25!C19+HISTOSEPT25!C19+HISTOOCT25!C19+HISTONOV25!C19+HISTODEC25!C19</f>
        <v>-213000</v>
      </c>
      <c r="D19" s="5">
        <f>HISTOJANV25!D19+HISTOFEV25!D19+HISTOMARS25!D19+HISTOAVRIL25!D19+HISTOMAI25!D19+HISTOJUIN25!D19+HISTOJUIL25!D19+HISTOAOUT25!D19+HISTOSEPT25!D19+HISTOOCT25!D19+HISTONOV25!D19+HISTODEC25!D19</f>
        <v>3449500</v>
      </c>
      <c r="E19" s="5">
        <f>HISTOJANV25!E19+HISTOFEV25!E19+HISTOMARS25!E19+HISTOAVRIL25!E19+HISTOMAI25!E19+HISTOJUIN25!E19+HISTOJUIL25!E19+HISTOAOUT25!E19+HISTOSEPT25!E19+HISTOOCT25!E19+HISTONOV25!E19+HISTODEC25!E19</f>
        <v>1628500</v>
      </c>
      <c r="F19" s="5">
        <f>HISTOJANV25!F19+HISTOFEV25!F19+HISTOMARS25!F19+HISTOAVRIL25!F19+HISTOMAI25!F19+HISTOJUIN25!F19+HISTOJUIL25!F19+HISTOAOUT25!F19+HISTOSEPT25!F19+HISTOOCT25!F19+HISTONOV25!F19+HISTODEC25!F19</f>
        <v>0</v>
      </c>
      <c r="G19" s="5">
        <f>HISTOJANV25!G19+HISTOFEV25!G19+HISTOMARS25!G19+HISTOAVRIL25!G19+HISTOMAI25!G19+HISTOJUIN25!G19+HISTOJUIL25!G19+HISTOAOUT25!G19+HISTOSEPT25!G19+HISTOOCT25!G19+HISTONOV25!G19+HISTODEC25!G19</f>
        <v>105500</v>
      </c>
      <c r="H19" s="5">
        <f>HISTOJANV25!H19+HISTOFEV25!H19+HISTOMARS25!H19+HISTOAVRIL25!H19+HISTOMAI25!H19+HISTOJUIN25!H19+HISTOJUIL25!H19+HISTOAOUT25!H19+HISTOSEPT25!H19+HISTOOCT25!H19+HISTONOV25!H19+HISTODEC25!H19</f>
        <v>3000</v>
      </c>
      <c r="I19" s="5"/>
      <c r="J19" s="5">
        <f>HISTOJANV25!J19+HISTOFEV25!J19+HISTOMARS25!J19+HISTOAVRIL25!J19+HISTOMAI25!J19+HISTOJUIN25!J19+HISTOJUIL25!J19+HISTOAOUT25!J19+HISTOSEPT25!J19+HISTOOCT25!J19+HISTONOV25!J19+HISTODEC25!J19</f>
        <v>12</v>
      </c>
      <c r="K19" s="5">
        <f>HISTOJANV25!K19+HISTOFEV25!K19+HISTOMARS25!K19+HISTOAVRIL25!K19+HISTOMAI25!K19+HISTOJUIN25!K19+HISTOJUIL25!K19+HISTOAOUT25!K19+HISTOSEPT25!K19+HISTOOCT25!K19+HISTONOV25!K19+HISTODEC25!K19</f>
        <v>600000</v>
      </c>
      <c r="L19" s="5">
        <f>HISTOJANV25!L19+HISTOFEV25!L19+HISTOMARS25!L19+HISTOAVRIL25!L19+HISTOMAI25!L19+HISTOJUIN25!L19+HISTOJUIL25!L19+HISTOAOUT25!L19+HISTOSEPT25!L19+HISTOOCT25!L19+HISTONOV25!L19+HISTODEC25!L19</f>
        <v>12</v>
      </c>
      <c r="M19" s="5">
        <f>HISTOJANV25!M19+HISTOFEV25!M19+HISTOMARS25!M19+HISTOAVRIL25!M19+HISTOMAI25!M19+HISTOJUIN25!M19+HISTOJUIL25!M19+HISTOAOUT25!M19+HISTOSEPT25!M19+HISTOOCT25!M19+HISTONOV25!M19+HISTODEC25!M19</f>
        <v>900000</v>
      </c>
      <c r="N19" s="5">
        <f>HISTOJANV25!N19+HISTOFEV25!N19+HISTOMARS25!N19+HISTOAVRIL25!N19+HISTOMAI25!N19+HISTOJUIN25!N19+HISTOJUIL25!N19+HISTOAOUT25!N19+HISTOSEPT25!N19+HISTOOCT25!N19+HISTONOV25!N19+HISTODEC25!N19</f>
        <v>12</v>
      </c>
      <c r="O19" s="5">
        <f>HISTOJANV25!O19+HISTOFEV25!O19+HISTOMARS25!O19+HISTOAVRIL25!O19+HISTOMAI25!O19+HISTOJUIN25!O19+HISTOJUIL25!O19+HISTOAOUT25!O19+HISTOSEPT25!O19+HISTOOCT25!O19+HISTONOV25!O19+HISTODEC25!O19</f>
        <v>1200000</v>
      </c>
      <c r="P19" s="5">
        <f>HISTOJANV25!P19+HISTOFEV25!P19+HISTOMARS25!P19+HISTOAVRIL25!P19+HISTOMAI25!P19+HISTOJUIN25!P19+HISTOJUIL25!P19+HISTOAOUT25!P19+HISTOSEPT25!P19+HISTOOCT25!P19+HISTONOV25!P19+HISTODEC25!P19</f>
        <v>30500</v>
      </c>
      <c r="Q19" s="5">
        <f>HISTOJANV25!Q19+HISTOFEV25!Q19+HISTOMARS25!Q19+HISTOAVRIL25!Q19+HISTOMAI25!Q19+HISTOJUIN25!Q19+HISTOJUIL25!Q19+HISTOAOUT25!Q19+HISTOSEPT25!Q19+HISTOOCT25!Q19+HISTONOV25!Q19+HISTODEC25!Q19</f>
        <v>550500</v>
      </c>
      <c r="R19" s="5">
        <f>HISTOJANV25!R19+HISTOFEV25!R19+HISTOMARS25!R19+HISTOAVRIL25!R19+HISTOMAI25!R19+HISTOJUIN25!R19+HISTOJUIL25!R19+HISTOAOUT25!R19+HISTOSEPT25!R19+HISTOOCT25!R19+HISTONOV25!R19+HISTODEC25!R19</f>
        <v>901500</v>
      </c>
      <c r="S19" s="5">
        <f>HISTOJANV25!S19+HISTOFEV25!S19+HISTOMARS25!S19+HISTOAVRIL25!S19+HISTOMAI25!S19+HISTOJUIN25!S19+HISTOJUIL25!S19+HISTOAOUT25!S19+HISTOSEPT25!S19+HISTOOCT25!S19+HISTONOV25!S19+HISTODEC25!S19</f>
        <v>1000000</v>
      </c>
      <c r="T19" s="5"/>
      <c r="U19" s="5">
        <f>HISTOJANV25!U19+HISTOFEV25!U19+HISTOMARS25!U19+HISTOAVRIL25!U19+HISTOMAI25!U19+HISTOJUIN25!U19+HISTOJUIL25!U19+HISTOAOUT25!U19+HISTOSEPT25!U19+HISTOOCT25!U19+HISTONOV25!U19+HISTODEC25!U19</f>
        <v>5291000</v>
      </c>
      <c r="V19" s="5">
        <f>HISTOJANV25!V19+HISTOFEV25!V19+HISTOMARS25!V19+HISTOAVRIL25!V19+HISTOMAI25!V19+HISTOJUIN25!V19+HISTOJUIL25!V19+HISTOAOUT25!V19+HISTOSEPT25!V19+HISTOOCT25!V19+HISTONOV25!V19+HISTODEC25!V19</f>
        <v>0</v>
      </c>
      <c r="W19" s="5">
        <f>HISTOJANV25!W19+HISTOFEV25!W19+HISTOMARS25!W19+HISTOAVRIL25!W19+HISTOMAI25!W19+HISTOJUIN25!W19+HISTOJUIL25!W19+HISTOAOUT25!W19+HISTOSEPT25!W19+HISTOOCT25!W19+HISTONOV25!W19+HISTODEC25!W19</f>
        <v>0</v>
      </c>
      <c r="X19" s="5">
        <f>HISTOJANV25!X19+HISTOFEV25!X19+HISTOMARS25!X19+HISTOAVRIL25!X19+HISTOMAI25!X19+HISTOJUIN25!X19+HISTOJUIL25!X19+HISTOAOUT25!X19+HISTOSEPT25!X19+HISTOOCT25!X19+HISTONOV25!X19+HISTODEC25!X19</f>
        <v>0</v>
      </c>
      <c r="Y19" s="5">
        <f>HISTOJANV25!Y19+HISTOFEV25!Y19+HISTOMARS25!Y19+HISTOAVRIL25!Y19+HISTOMAI25!Y19+HISTOJUIN25!Y19+HISTOJUIL25!Y19+HISTOAOUT25!Y19+HISTOSEPT25!Y19+HISTOOCT25!Y19+HISTONOV25!Y19+HISTODEC25!Y19</f>
        <v>2700000</v>
      </c>
      <c r="Z19" s="5">
        <f>HISTOJANV25!Z19+HISTOFEV25!Z19+HISTOMARS25!Z19+HISTOAVRIL25!Z19+HISTOMAI25!Z19+HISTOJUIN25!Z19+HISTOJUIL25!Z19+HISTOAOUT25!Z19+HISTOSEPT25!Z19+HISTOOCT25!Z19+HISTONOV25!Z19+HISTODEC25!Z19</f>
        <v>1000000</v>
      </c>
      <c r="AA19" s="5"/>
      <c r="AB19" s="5">
        <f>HISTOJANV25!AB19+HISTOFEV25!AB19+HISTOMARS25!AB19+HISTOAVRIL25!AB19+HISTOMAI25!AB19+HISTOJUIN25!AB19+HISTOJUIL25!AB19+HISTOAOUT25!AB19+HISTOSEPT25!AB19+HISTOOCT25!AB19+HISTONOV25!AB19+HISTODEC25!AB19</f>
        <v>0</v>
      </c>
      <c r="AC19" s="5">
        <f>HISTOJANV25!AC19+HISTOFEV25!AC19+HISTOMARS25!AC19+HISTOAVRIL25!AC19+HISTOMAI25!AC19+HISTOJUIN25!AC19+HISTOJUIL25!AC19+HISTOAOUT25!AC19+HISTOSEPT25!AC19+HISTOOCT25!AC19+HISTONOV25!AC19+HISTODEC25!AC19</f>
        <v>26000</v>
      </c>
      <c r="AD19" s="5">
        <f>HISTOJANV25!AD19+HISTOFEV25!AD19+HISTOMARS25!AD19+HISTOAVRIL25!AD19+HISTOMAI25!AD19+HISTOJUIN25!AD19+HISTOJUIL25!AD19+HISTOAOUT25!AD19+HISTOSEPT25!AD19+HISTOOCT25!AD19+HISTONOV25!AD19+HISTODEC25!AD19</f>
        <v>7500</v>
      </c>
      <c r="AE19" s="5">
        <f>HISTOJANV25!AE19+HISTOFEV25!AE19+HISTOMARS25!AE19+HISTOAVRIL25!AE19+HISTOMAI25!AE19+HISTOJUIN25!AE19+HISTOJUIL25!AE19+HISTOAOUT25!AE19+HISTOSEPT25!AE19+HISTOOCT25!AE19+HISTONOV25!AE19+HISTODEC25!AE19</f>
        <v>105000</v>
      </c>
      <c r="AF19" s="5"/>
      <c r="AG19" s="5">
        <f>HISTOJANV25!AG19+HISTOFEV25!AG19+HISTOMARS25!AG19+HISTOAVRIL25!AG19+HISTOMAI25!AG19+HISTOJUIN25!AG19+HISTOJUIL25!AG19+HISTOAOUT25!AG19+HISTOSEPT25!AG19+HISTOOCT25!AG19+HISTONOV25!AG19+HISTODEC25!AG19</f>
        <v>0</v>
      </c>
      <c r="AH19" s="5">
        <f>HISTOJANV25!AH19+HISTOFEV25!AH19+HISTOMARS25!AH19+HISTOAVRIL25!AH19+HISTOMAI25!AH19+HISTOJUIN25!AH19+HISTOJUIL25!AH19+HISTOAOUT25!AH19+HISTOSEPT25!AH19+HISTOOCT25!AH19+HISTONOV25!AH19+HISTODEC25!AH19</f>
        <v>0</v>
      </c>
      <c r="AI19" s="5">
        <f>HISTOJANV25!AI19+HISTOFEV25!AI19+HISTOMARS25!AI19+HISTOAVRIL25!AI19+HISTOMAI25!AI19+HISTOJUIN25!AI19+HISTOJUIL25!AI19+HISTOAOUT25!AI19+HISTOSEPT25!AI19+HISTOOCT25!AI19+HISTONOV25!AI19+HISTODEC25!AI19</f>
        <v>30000</v>
      </c>
      <c r="AJ19" s="5">
        <f>HISTOJANV25!AJ19+HISTOFEV25!AJ19+HISTOMARS25!AJ19+HISTOAVRIL25!AJ19+HISTOMAI25!AJ19+HISTOJUIN25!AJ19+HISTOJUIL25!AJ19+HISTOAOUT25!AJ19+HISTOSEPT25!AJ19+HISTOOCT25!AJ19+HISTONOV25!AJ19+HISTODEC25!AJ19</f>
        <v>541500</v>
      </c>
      <c r="AK19" s="5">
        <f>HISTOJANV25!AK19+HISTOFEV25!AK19+HISTOMARS25!AK19+HISTOAVRIL25!AK19+HISTOMAI25!AK19+HISTOJUIN25!AK19+HISTOJUIL25!AK19+HISTOAOUT25!AK19+HISTOSEPT25!AK19+HISTOOCT25!AK19+HISTONOV25!AK19+HISTODEC25!AK19</f>
        <v>985000</v>
      </c>
      <c r="AL19" s="5">
        <f>HISTOJANV25!AL19+HISTOFEV25!AL19+HISTOMARS25!AL19+HISTOAVRIL25!AL19+HISTOMAI25!AL19+HISTOJUIN25!AL19+HISTOJUIL25!AL19+HISTOAOUT25!AL19+HISTOSEPT25!AL19+HISTOOCT25!AL19+HISTONOV25!AL19+HISTODEC25!AL19</f>
        <v>500</v>
      </c>
      <c r="AM19" s="5">
        <f>HISTOJANV25!AM19+HISTOFEV25!AM19+HISTOMARS25!AM19+HISTOAVRIL25!AM19+HISTOMAI25!AM19+HISTOJUIN25!AM19+HISTOJUIL25!AM19+HISTOAOUT25!AM19+HISTOSEPT25!AM19+HISTOOCT25!AM19+HISTONOV25!AM19+HISTODEC25!AM19</f>
        <v>9000</v>
      </c>
      <c r="AN19" s="5">
        <f>HISTOJANV25!AN19+HISTOFEV25!AN19+HISTOMARS25!AN19+HISTOAVRIL25!AN19+HISTOMAI25!AN19+HISTOJUIN25!AN19+HISTOJUIL25!AN19+HISTOAOUT25!AN19+HISTOSEPT25!AN19+HISTOOCT25!AN19+HISTONOV25!AN19+HISTODEC25!AN19</f>
        <v>17500</v>
      </c>
      <c r="AO19" s="5">
        <f>HISTOJANV25!AO19+HISTOFEV25!AO19+HISTOMARS25!AO19+HISTOAVRIL25!AO19+HISTOMAI25!AO19+HISTOJUIN25!AO19+HISTOJUIL25!AO19+HISTOAOUT25!AO19+HISTOSEPT25!AO19+HISTOOCT25!AO19+HISTONOV25!AO19+HISTODEC25!AO19</f>
        <v>0</v>
      </c>
      <c r="AP19" s="5"/>
      <c r="AQ19" s="5">
        <f>HISTOJANV25!AQ19+HISTOFEV25!AQ19+HISTOMARS25!AQ19+HISTOAVRIL25!AQ19+HISTOMAI25!AQ19+HISTOJUIN25!AQ19+HISTOJUIL25!AQ19+HISTOAOUT25!AQ19+HISTOSEPT25!AQ19+HISTOOCT25!AQ19+HISTONOV25!AQ19+HISTODEC25!AQ19</f>
        <v>0</v>
      </c>
      <c r="AR19" s="5">
        <f>HISTOJANV25!AR19+HISTOFEV25!AR19+HISTOMARS25!AR19+HISTOAVRIL25!AR19+HISTOMAI25!AR19+HISTOJUIN25!AR19+HISTOJUIL25!AR19+HISTOAOUT25!AR19+HISTOSEPT25!AR19+HISTOOCT25!AR19+HISTONOV25!AR19+HISTODEC25!AR19</f>
        <v>0</v>
      </c>
      <c r="AS19" s="5">
        <f>HISTOJANV25!AS19+HISTOFEV25!AS19+HISTOMARS25!AS19+HISTOAVRIL25!AS19+HISTOMAI25!AS19+HISTOJUIN25!AS19+HISTOJUIL25!AS19+HISTOAOUT25!AS19+HISTOSEPT25!AS19+HISTOOCT25!AS19+HISTONOV25!AS19+HISTODEC25!AS19</f>
        <v>405500</v>
      </c>
      <c r="AT19" s="5">
        <f>HISTOJANV25!AT19+HISTOFEV25!AT19+HISTOMARS25!AT19+HISTOAVRIL25!AT19+HISTOMAI25!AT19+HISTOJUIN25!AT19+HISTOJUIL25!AT19+HISTOAOUT25!AT19+HISTOSEPT25!AT19+HISTOOCT25!AT19+HISTONOV25!AT19+HISTODEC25!AT19</f>
        <v>0</v>
      </c>
      <c r="AU19" s="5">
        <f>HISTOJANV25!AU19+HISTOFEV25!AU19+HISTOMARS25!AU19+HISTOAVRIL25!AU19+HISTOMAI25!AU19+HISTOJUIN25!AU19+HISTOJUIL25!AU19+HISTOAOUT25!AU19+HISTOSEPT25!AU19+HISTOOCT25!AU19+HISTONOV25!AU19+HISTODEC25!AU19</f>
        <v>0</v>
      </c>
      <c r="AV19" s="5">
        <f>HISTOJANV25!AV19+HISTOFEV25!AV19+HISTOMARS25!AV19+HISTOAVRIL25!AV19+HISTOMAI25!AV19+HISTOJUIN25!AV19+HISTOJUIL25!AV19+HISTOAOUT25!AV19+HISTOSEPT25!AV19+HISTOOCT25!AV19+HISTONOV25!AV19+HISTODEC25!AV19</f>
        <v>0</v>
      </c>
      <c r="AW19" s="5">
        <f>HISTOJANV25!AW19+HISTOFEV25!AW19+HISTOMARS25!AW19+HISTOAVRIL25!AW19+HISTOMAI25!AW19+HISTOJUIN25!AW19+HISTOJUIL25!AW19+HISTOAOUT25!AW19+HISTOSEPT25!AW19+HISTOOCT25!AW19+HISTONOV25!AW19+HISTODEC25!AW19</f>
        <v>304000</v>
      </c>
      <c r="AX19" s="5">
        <f>HISTOJANV25!AX19+HISTOFEV25!AX19+HISTOMARS25!AX19+HISTOAVRIL25!AX19+HISTOMAI25!AX19+HISTOJUIN25!AX19+HISTOJUIL25!AX19+HISTOAOUT25!AX19+HISTOSEPT25!AX19+HISTOOCT25!AX19+HISTONOV25!AX19+HISTODEC25!AX19</f>
        <v>1434000</v>
      </c>
      <c r="AY19" s="5">
        <f>HISTOJANV25!AY19+HISTOFEV25!AY19+HISTOMARS25!AY19+HISTOAVRIL25!AY19+HISTOMAI25!AY19+HISTOJUIN25!AY19+HISTOJUIL25!AY19+HISTOAOUT25!AY19+HISTOSEPT25!AY19+HISTOOCT25!AY19+HISTONOV25!AY19+HISTODEC25!AY19</f>
        <v>2080000</v>
      </c>
      <c r="AZ19" s="5">
        <f>HISTOJANV25!AZ19+HISTOFEV25!AZ19+HISTOMARS25!AZ19+HISTOAVRIL25!AZ19+HISTOMAI25!AZ19+HISTOJUIN25!AZ19+HISTOJUIL25!AZ19+HISTOAOUT25!AZ19+HISTOSEPT25!AZ19+HISTOOCT25!AZ19+HISTONOV25!AZ19+HISTODEC25!AZ19</f>
        <v>4698000</v>
      </c>
      <c r="BA19" s="5">
        <f>HISTOJANV25!BA19+HISTOFEV25!BA19+HISTOMARS25!BA19+HISTOAVRIL25!BA19+HISTOMAI25!BA19+HISTOJUIN25!BA19+HISTOJUIL25!BA19+HISTOAOUT25!BA19+HISTOSEPT25!BA19+HISTOOCT25!BA19+HISTONOV25!BA19+HISTODEC25!BA19</f>
        <v>743000</v>
      </c>
      <c r="BB19" s="5">
        <f>HISTOJANV25!BB19+HISTOFEV25!BB19+HISTOMARS25!BB19+HISTOAVRIL25!BB19+HISTOMAI25!BB19+HISTOJUIN25!BB19+HISTOJUIL25!BB19+HISTOAOUT25!BB19+HISTOSEPT25!BB19+HISTOOCT25!BB19+HISTONOV25!BB19+HISTODEC25!BB19</f>
        <v>0</v>
      </c>
      <c r="BC19" s="5">
        <f>HISTOJANV25!BC19+HISTOFEV25!BC19+HISTOMARS25!BC19+HISTOAVRIL25!BC19+HISTOMAI25!BC19+HISTOJUIN25!BC19+HISTOJUIL25!BC19+HISTOAOUT25!BC19+HISTOSEPT25!BC19+HISTOOCT25!BC19+HISTONOV25!BC19+HISTODEC25!BC19</f>
        <v>0</v>
      </c>
      <c r="BD19" s="5">
        <f>HISTOJANV25!BD19+HISTOFEV25!BD19+HISTOMARS25!BD19+HISTOAVRIL25!BD19+HISTOMAI25!BD19+HISTOJUIN25!BD19+HISTOJUIL25!BD19+HISTOAOUT25!BD19+HISTOSEPT25!BD19+HISTOOCT25!BD19+HISTONOV25!BD19+HISTODEC25!BD19</f>
        <v>3854000</v>
      </c>
      <c r="BE19" s="5"/>
      <c r="BF19" s="5">
        <f>HISTOJANV25!BF19+HISTOFEV25!BF19+HISTOMARS25!BF19+HISTOAVRIL25!BF19+HISTOMAI25!BF19+HISTOJUIN25!BF19+HISTOJUIL25!BF19+HISTOAOUT25!BF19+HISTOSEPT25!BF19+HISTOOCT25!BF19+HISTONOV25!BF19+HISTODEC25!BF19</f>
        <v>120000</v>
      </c>
      <c r="BG19" s="5">
        <f>HISTOJANV25!BG19+HISTOFEV25!BG19+HISTOMARS25!BG19+HISTOAVRIL25!BG19+HISTOMAI25!BG19+HISTOJUIN25!BG19+HISTOJUIL25!BG19+HISTOAOUT25!BG19+HISTOSEPT25!BG19+HISTOOCT25!BG19+HISTONOV25!BG19+HISTODEC25!BG19</f>
        <v>78</v>
      </c>
      <c r="BH19" s="5">
        <f>HISTOJANV25!BH19+HISTOFEV25!BH19+HISTOMARS25!BH19+HISTOAVRIL25!BH19+HISTOMAI25!BH19+HISTOJUIN25!BH19+HISTOJUIL25!BH19+HISTOAOUT25!BH19+HISTOSEPT25!BH19+HISTOOCT25!BH19+HISTONOV25!BH19+HISTODEC25!BH19</f>
        <v>0</v>
      </c>
      <c r="BI19" s="5">
        <f>HISTOJANV25!BI19+HISTOFEV25!BI19+HISTOMARS25!BI19+HISTOAVRIL25!BI19+HISTOMAI25!BI19+HISTOJUIN25!BI19+HISTOJUIL25!BI19+HISTOAOUT25!BI19+HISTOSEPT25!BI19+HISTOOCT25!BI19+HISTONOV25!BI19+HISTODEC25!BI19</f>
        <v>0</v>
      </c>
      <c r="BJ19" s="5">
        <f>HISTOJANV25!BJ19+HISTOFEV25!BJ19+HISTOMARS25!BJ19+HISTOAVRIL25!BJ19+HISTOMAI25!BJ19+HISTOJUIN25!BJ19+HISTOJUIL25!BJ19+HISTOAOUT25!BJ19+HISTOSEPT25!BJ19+HISTOOCT25!BJ19+HISTONOV25!BJ19+HISTODEC25!BJ19</f>
        <v>0</v>
      </c>
      <c r="BK19" s="5">
        <f>HISTOJANV25!BK19+HISTOFEV25!BK19+HISTOMARS25!BK19+HISTOAVRIL25!BK19+HISTOMAI25!BK19+HISTOJUIN25!BK19+HISTOJUIL25!BK19+HISTOAOUT25!BK19+HISTOSEPT25!BK19+HISTOOCT25!BK19+HISTONOV25!BK19+HISTODEC25!BK19</f>
        <v>0</v>
      </c>
      <c r="BL19" s="5">
        <f>HISTOJANV25!BL19+HISTOFEV25!BL19+HISTOMARS25!BL19+HISTOAVRIL25!BL19+HISTOMAI25!BL19+HISTOJUIN25!BL19+HISTOJUIL25!BL19+HISTOAOUT25!BL19+HISTOSEPT25!BL19+HISTOOCT25!BL19+HISTONOV25!BL19+HISTODEC25!BL19</f>
        <v>0</v>
      </c>
      <c r="BM19" s="5">
        <f>HISTOJANV25!BM19+HISTOFEV25!BM19+HISTOMARS25!BM19+HISTOAVRIL25!BM19+HISTOMAI25!BM19+HISTOJUIN25!BM19+HISTOJUIL25!BM19+HISTOAOUT25!BM19+HISTOSEPT25!BM19+HISTOOCT25!BM19+HISTONOV25!BM19+HISTODEC25!BM19</f>
        <v>0</v>
      </c>
      <c r="BN19" s="5">
        <f>HISTOJANV25!BN19+HISTOFEV25!BN19+HISTOMARS25!BN19+HISTOAVRIL25!BN19+HISTOMAI25!BN19+HISTOJUIN25!BN19+HISTOJUIL25!BN19+HISTOAOUT25!BN19+HISTOSEPT25!BN19+HISTOOCT25!BN19+HISTONOV25!BN19+HISTODEC25!BN19</f>
        <v>0</v>
      </c>
      <c r="BO19" t="s">
        <v>212</v>
      </c>
      <c r="BP19" t="s">
        <v>211</v>
      </c>
      <c r="BQ19" s="6"/>
    </row>
    <row r="20" spans="1:69" ht="17.5" x14ac:dyDescent="0.35">
      <c r="A20" s="1" t="s">
        <v>24</v>
      </c>
      <c r="B20" s="1" t="str">
        <f>VLOOKUP(A20,[5]LISTADHERENT!A$5:H$50,3,0)</f>
        <v>LOWE JEAN</v>
      </c>
      <c r="C20" s="5"/>
      <c r="D20" s="5"/>
      <c r="E20" s="5"/>
      <c r="F20" s="5"/>
      <c r="G20" s="5">
        <f>HISTOJANV25!G20+HISTOFEV25!G20+HISTOMARS25!G20+HISTOAVRIL25!G20+HISTOMAI25!G20+HISTOJUIN25!G20+HISTOJUIL25!G20+HISTOAOUT25!G20+HISTOSEPT25!G20+HISTOOCT25!G20+HISTONOV25!G20+HISTODEC25!G20</f>
        <v>500000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Q20" s="6"/>
    </row>
    <row r="21" spans="1:69" ht="17.5" x14ac:dyDescent="0.35">
      <c r="A21" s="1" t="s">
        <v>195</v>
      </c>
      <c r="B21" s="1" t="str">
        <f>VLOOKUP(A21,[5]LISTADHERENT!A$5:H$50,3,0)</f>
        <v>MASSEUNGOUE DAGOBERT</v>
      </c>
      <c r="C21" s="5">
        <f>HISTOJANV25!C21+HISTOFEV25!C21+HISTOMARS25!C21+HISTOAVRIL25!C21+HISTOMAI25!C21+HISTOJUIN25!C21+HISTOJUIL25!C21+HISTOAOUT25!C21+HISTOSEPT25!C21+HISTOOCT25!C21+HISTONOV25!C21+HISTODEC25!C21</f>
        <v>-326000</v>
      </c>
      <c r="D21" s="5">
        <f>HISTOJANV25!D21+HISTOFEV25!D21+HISTOMARS25!D21+HISTOAVRIL25!D21+HISTOMAI25!D21+HISTOJUIN25!D21+HISTOJUIL25!D21+HISTOAOUT25!D21+HISTOSEPT25!D21+HISTOOCT25!D21+HISTONOV25!D21+HISTODEC25!D21</f>
        <v>1225000</v>
      </c>
      <c r="E21" s="5">
        <f>HISTOJANV25!E21+HISTOFEV25!E21+HISTOMARS25!E21+HISTOAVRIL25!E21+HISTOMAI25!E21+HISTOJUIN25!E21+HISTOJUIL25!E21+HISTOAOUT25!E21+HISTOSEPT25!E21+HISTOOCT25!E21+HISTONOV25!E21+HISTODEC25!E21</f>
        <v>53000</v>
      </c>
      <c r="F21" s="5">
        <f>HISTOJANV25!F21+HISTOFEV25!F21+HISTOMARS25!F21+HISTOAVRIL25!F21+HISTOMAI25!F21+HISTOJUIN25!F21+HISTOJUIL25!F21+HISTOAOUT25!F21+HISTOSEPT25!F21+HISTOOCT25!F21+HISTONOV25!F21+HISTODEC25!F21</f>
        <v>0</v>
      </c>
      <c r="G21" s="5">
        <f>HISTOJANV25!G21+HISTOFEV25!G21+HISTOMARS25!G21+HISTOAVRIL25!G21+HISTOMAI25!G21+HISTOJUIN25!G21+HISTOJUIL25!G21+HISTOAOUT25!G21+HISTOSEPT25!G21+HISTOOCT25!G21+HISTONOV25!G21+HISTODEC25!G21</f>
        <v>600000</v>
      </c>
      <c r="H21" s="5">
        <f>HISTOJANV25!H21+HISTOFEV25!H21+HISTOMARS25!H21+HISTOAVRIL25!H21+HISTOMAI25!H21+HISTOJUIN25!H21+HISTOJUIL25!H21+HISTOAOUT25!H21+HISTOSEPT25!H21+HISTOOCT25!H21+HISTONOV25!H21+HISTODEC25!H21</f>
        <v>0</v>
      </c>
      <c r="I21" s="5"/>
      <c r="J21" s="5">
        <f>HISTOJANV25!J21+HISTOFEV25!J21+HISTOMARS25!J21+HISTOAVRIL25!J21+HISTOMAI25!J21+HISTOJUIN25!J21+HISTOJUIL25!J21+HISTOAOUT25!J21+HISTOSEPT25!J21+HISTOOCT25!J21+HISTONOV25!J21+HISTODEC25!J21</f>
        <v>12</v>
      </c>
      <c r="K21" s="5">
        <f>HISTOJANV25!K21+HISTOFEV25!K21+HISTOMARS25!K21+HISTOAVRIL25!K21+HISTOMAI25!K21+HISTOJUIN25!K21+HISTOJUIL25!K21+HISTOAOUT25!K21+HISTOSEPT25!K21+HISTOOCT25!K21+HISTONOV25!K21+HISTODEC25!K21</f>
        <v>600000</v>
      </c>
      <c r="L21" s="5">
        <f>HISTOJANV25!L21+HISTOFEV25!L21+HISTOMARS25!L21+HISTOAVRIL25!L21+HISTOMAI25!L21+HISTOJUIN25!L21+HISTOJUIL25!L21+HISTOAOUT25!L21+HISTOSEPT25!L21+HISTOOCT25!L21+HISTONOV25!L21+HISTODEC25!L21</f>
        <v>0</v>
      </c>
      <c r="M21" s="5">
        <f>HISTOJANV25!M21+HISTOFEV25!M21+HISTOMARS25!M21+HISTOAVRIL25!M21+HISTOMAI25!M21+HISTOJUIN25!M21+HISTOJUIL25!M21+HISTOAOUT25!M21+HISTOSEPT25!M21+HISTOOCT25!M21+HISTONOV25!M21+HISTODEC25!M21</f>
        <v>0</v>
      </c>
      <c r="N21" s="5">
        <f>HISTOJANV25!N21+HISTOFEV25!N21+HISTOMARS25!N21+HISTOAVRIL25!N21+HISTOMAI25!N21+HISTOJUIN25!N21+HISTOJUIL25!N21+HISTOAOUT25!N21+HISTOSEPT25!N21+HISTOOCT25!N21+HISTONOV25!N21+HISTODEC25!N21</f>
        <v>0</v>
      </c>
      <c r="O21" s="5">
        <f>HISTOJANV25!O21+HISTOFEV25!O21+HISTOMARS25!O21+HISTOAVRIL25!O21+HISTOMAI25!O21+HISTOJUIN25!O21+HISTOJUIL25!O21+HISTOAOUT25!O21+HISTOSEPT25!O21+HISTOOCT25!O21+HISTONOV25!O21+HISTODEC25!O21</f>
        <v>0</v>
      </c>
      <c r="P21" s="5">
        <f>HISTOJANV25!P21+HISTOFEV25!P21+HISTOMARS25!P21+HISTOAVRIL25!P21+HISTOMAI25!P21+HISTOJUIN25!P21+HISTOJUIL25!P21+HISTOAOUT25!P21+HISTOSEPT25!P21+HISTOOCT25!P21+HISTONOV25!P21+HISTODEC25!P21</f>
        <v>104000</v>
      </c>
      <c r="Q21" s="5">
        <f>HISTOJANV25!Q21+HISTOFEV25!Q21+HISTOMARS25!Q21+HISTOAVRIL25!Q21+HISTOMAI25!Q21+HISTOJUIN25!Q21+HISTOJUIL25!Q21+HISTOAOUT25!Q21+HISTOSEPT25!Q21+HISTOOCT25!Q21+HISTONOV25!Q21+HISTODEC25!Q21</f>
        <v>0</v>
      </c>
      <c r="R21" s="5">
        <f>HISTOJANV25!R21+HISTOFEV25!R21+HISTOMARS25!R21+HISTOAVRIL25!R21+HISTOMAI25!R21+HISTOJUIN25!R21+HISTOJUIL25!R21+HISTOAOUT25!R21+HISTOSEPT25!R21+HISTOOCT25!R21+HISTONOV25!R21+HISTODEC25!R21</f>
        <v>0</v>
      </c>
      <c r="S21" s="5">
        <f>HISTOJANV25!S21+HISTOFEV25!S21+HISTOMARS25!S21+HISTOAVRIL25!S21+HISTOMAI25!S21+HISTOJUIN25!S21+HISTOJUIL25!S21+HISTOAOUT25!S21+HISTOSEPT25!S21+HISTOOCT25!S21+HISTONOV25!S21+HISTODEC25!S21</f>
        <v>300000</v>
      </c>
      <c r="T21" s="5"/>
      <c r="U21" s="5">
        <f>HISTOJANV25!U21+HISTOFEV25!U21+HISTOMARS25!U21+HISTOAVRIL25!U21+HISTOMAI25!U21+HISTOJUIN25!U21+HISTOJUIL25!U21+HISTOAOUT25!U21+HISTOSEPT25!U21+HISTOOCT25!U21+HISTONOV25!U21+HISTODEC25!U21</f>
        <v>1604000</v>
      </c>
      <c r="V21" s="5">
        <f>HISTOJANV25!V21+HISTOFEV25!V21+HISTOMARS25!V21+HISTOAVRIL25!V21+HISTOMAI25!V21+HISTOJUIN25!V21+HISTOJUIL25!V21+HISTOAOUT25!V21+HISTOSEPT25!V21+HISTOOCT25!V21+HISTONOV25!V21+HISTODEC25!V21</f>
        <v>0</v>
      </c>
      <c r="W21" s="5">
        <f>HISTOJANV25!W21+HISTOFEV25!W21+HISTOMARS25!W21+HISTOAVRIL25!W21+HISTOMAI25!W21+HISTOJUIN25!W21+HISTOJUIL25!W21+HISTOAOUT25!W21+HISTOSEPT25!W21+HISTOOCT25!W21+HISTONOV25!W21+HISTODEC25!W21</f>
        <v>0</v>
      </c>
      <c r="X21" s="5">
        <f>HISTOJANV25!X21+HISTOFEV25!X21+HISTOMARS25!X21+HISTOAVRIL25!X21+HISTOMAI25!X21+HISTOJUIN25!X21+HISTOJUIL25!X21+HISTOAOUT25!X21+HISTOSEPT25!X21+HISTOOCT25!X21+HISTONOV25!X21+HISTODEC25!X21</f>
        <v>0</v>
      </c>
      <c r="Y21" s="5">
        <f>HISTOJANV25!Y21+HISTOFEV25!Y21+HISTOMARS25!Y21+HISTOAVRIL25!Y21+HISTOMAI25!Y21+HISTOJUIN25!Y21+HISTOJUIL25!Y21+HISTOAOUT25!Y21+HISTOSEPT25!Y21+HISTOOCT25!Y21+HISTONOV25!Y21+HISTODEC25!Y21</f>
        <v>600000</v>
      </c>
      <c r="Z21" s="5">
        <f>HISTOJANV25!Z21+HISTOFEV25!Z21+HISTOMARS25!Z21+HISTOAVRIL25!Z21+HISTOMAI25!Z21+HISTOJUIN25!Z21+HISTOJUIL25!Z21+HISTOAOUT25!Z21+HISTOSEPT25!Z21+HISTOOCT25!Z21+HISTONOV25!Z21+HISTODEC25!Z21</f>
        <v>300000</v>
      </c>
      <c r="AA21" s="5"/>
      <c r="AB21" s="5">
        <f>HISTOJANV25!AB21+HISTOFEV25!AB21+HISTOMARS25!AB21+HISTOAVRIL25!AB21+HISTOMAI25!AB21+HISTOJUIN25!AB21+HISTOJUIL25!AB21+HISTOAOUT25!AB21+HISTOSEPT25!AB21+HISTOOCT25!AB21+HISTONOV25!AB21+HISTODEC25!AB21</f>
        <v>0</v>
      </c>
      <c r="AC21" s="5">
        <f>HISTOJANV25!AC21+HISTOFEV25!AC21+HISTOMARS25!AC21+HISTOAVRIL25!AC21+HISTOMAI25!AC21+HISTOJUIN25!AC21+HISTOJUIL25!AC21+HISTOAOUT25!AC21+HISTOSEPT25!AC21+HISTOOCT25!AC21+HISTONOV25!AC21+HISTODEC25!AC21</f>
        <v>2500</v>
      </c>
      <c r="AD21" s="5">
        <f>HISTOJANV25!AD21+HISTOFEV25!AD21+HISTOMARS25!AD21+HISTOAVRIL25!AD21+HISTOMAI25!AD21+HISTOJUIN25!AD21+HISTOJUIL25!AD21+HISTOAOUT25!AD21+HISTOSEPT25!AD21+HISTOOCT25!AD21+HISTONOV25!AD21+HISTODEC25!AD21</f>
        <v>0</v>
      </c>
      <c r="AE21" s="5">
        <f>HISTOJANV25!AE21+HISTOFEV25!AE21+HISTOMARS25!AE21+HISTOAVRIL25!AE21+HISTOMAI25!AE21+HISTOJUIN25!AE21+HISTOJUIL25!AE21+HISTOAOUT25!AE21+HISTOSEPT25!AE21+HISTOOCT25!AE21+HISTONOV25!AE21+HISTODEC25!AE21</f>
        <v>0</v>
      </c>
      <c r="AF21" s="5"/>
      <c r="AG21" s="5">
        <f>HISTOJANV25!AG21+HISTOFEV25!AG21+HISTOMARS25!AG21+HISTOAVRIL25!AG21+HISTOMAI25!AG21+HISTOJUIN25!AG21+HISTOJUIL25!AG21+HISTOAOUT25!AG21+HISTOSEPT25!AG21+HISTOOCT25!AG21+HISTONOV25!AG21+HISTODEC25!AG21</f>
        <v>0</v>
      </c>
      <c r="AH21" s="5">
        <f>HISTOJANV25!AH21+HISTOFEV25!AH21+HISTOMARS25!AH21+HISTOAVRIL25!AH21+HISTOMAI25!AH21+HISTOJUIN25!AH21+HISTOJUIL25!AH21+HISTOAOUT25!AH21+HISTOSEPT25!AH21+HISTOOCT25!AH21+HISTONOV25!AH21+HISTODEC25!AH21</f>
        <v>0</v>
      </c>
      <c r="AI21" s="5">
        <f>HISTOJANV25!AI21+HISTOFEV25!AI21+HISTOMARS25!AI21+HISTOAVRIL25!AI21+HISTOMAI25!AI21+HISTOJUIN25!AI21+HISTOJUIL25!AI21+HISTOAOUT25!AI21+HISTOSEPT25!AI21+HISTOOCT25!AI21+HISTONOV25!AI21+HISTODEC25!AI21</f>
        <v>101000</v>
      </c>
      <c r="AJ21" s="5">
        <f>HISTOJANV25!AJ21+HISTOFEV25!AJ21+HISTOMARS25!AJ21+HISTOAVRIL25!AJ21+HISTOMAI25!AJ21+HISTOJUIN25!AJ21+HISTOJUIL25!AJ21+HISTOAOUT25!AJ21+HISTOSEPT25!AJ21+HISTOOCT25!AJ21+HISTONOV25!AJ21+HISTODEC25!AJ21</f>
        <v>0</v>
      </c>
      <c r="AK21" s="5">
        <f>HISTOJANV25!AK21+HISTOFEV25!AK21+HISTOMARS25!AK21+HISTOAVRIL25!AK21+HISTOMAI25!AK21+HISTOJUIN25!AK21+HISTOJUIL25!AK21+HISTOAOUT25!AK21+HISTOSEPT25!AK21+HISTOOCT25!AK21+HISTONOV25!AK21+HISTODEC25!AK21</f>
        <v>0</v>
      </c>
      <c r="AL21" s="5">
        <f>HISTOJANV25!AL21+HISTOFEV25!AL21+HISTOMARS25!AL21+HISTOAVRIL25!AL21+HISTOMAI25!AL21+HISTOJUIN25!AL21+HISTOJUIL25!AL21+HISTOAOUT25!AL21+HISTOSEPT25!AL21+HISTOOCT25!AL21+HISTONOV25!AL21+HISTODEC25!AL21</f>
        <v>3000</v>
      </c>
      <c r="AM21" s="5">
        <f>HISTOJANV25!AM21+HISTOFEV25!AM21+HISTOMARS25!AM21+HISTOAVRIL25!AM21+HISTOMAI25!AM21+HISTOJUIN25!AM21+HISTOJUIL25!AM21+HISTOAOUT25!AM21+HISTOSEPT25!AM21+HISTOOCT25!AM21+HISTONOV25!AM21+HISTODEC25!AM21</f>
        <v>0</v>
      </c>
      <c r="AN21" s="5">
        <f>HISTOJANV25!AN21+HISTOFEV25!AN21+HISTOMARS25!AN21+HISTOAVRIL25!AN21+HISTOMAI25!AN21+HISTOJUIN25!AN21+HISTOJUIL25!AN21+HISTOAOUT25!AN21+HISTOSEPT25!AN21+HISTOOCT25!AN21+HISTONOV25!AN21+HISTODEC25!AN21</f>
        <v>0</v>
      </c>
      <c r="AO21" s="5">
        <f>HISTOJANV25!AO21+HISTOFEV25!AO21+HISTOMARS25!AO21+HISTOAVRIL25!AO21+HISTOMAI25!AO21+HISTOJUIN25!AO21+HISTOJUIL25!AO21+HISTOAOUT25!AO21+HISTOSEPT25!AO21+HISTOOCT25!AO21+HISTONOV25!AO21+HISTODEC25!AO21</f>
        <v>0</v>
      </c>
      <c r="AP21" s="5"/>
      <c r="AQ21" s="5">
        <f>HISTOJANV25!AQ21+HISTOFEV25!AQ21+HISTOMARS25!AQ21+HISTOAVRIL25!AQ21+HISTOMAI25!AQ21+HISTOJUIN25!AQ21+HISTOJUIL25!AQ21+HISTOAOUT25!AQ21+HISTOSEPT25!AQ21+HISTOOCT25!AQ21+HISTONOV25!AQ21+HISTODEC25!AQ21</f>
        <v>0</v>
      </c>
      <c r="AR21" s="5">
        <f>HISTOJANV25!AR21+HISTOFEV25!AR21+HISTOMARS25!AR21+HISTOAVRIL25!AR21+HISTOMAI25!AR21+HISTOJUIN25!AR21+HISTOJUIL25!AR21+HISTOAOUT25!AR21+HISTOSEPT25!AR21+HISTOOCT25!AR21+HISTONOV25!AR21+HISTODEC25!AR21</f>
        <v>0</v>
      </c>
      <c r="AS21" s="5">
        <f>HISTOJANV25!AS21+HISTOFEV25!AS21+HISTOMARS25!AS21+HISTOAVRIL25!AS21+HISTOMAI25!AS21+HISTOJUIN25!AS21+HISTOJUIL25!AS21+HISTOAOUT25!AS21+HISTOSEPT25!AS21+HISTOOCT25!AS21+HISTONOV25!AS21+HISTODEC25!AS21</f>
        <v>900000</v>
      </c>
      <c r="AT21" s="5">
        <f>HISTOJANV25!AT21+HISTOFEV25!AT21+HISTOMARS25!AT21+HISTOAVRIL25!AT21+HISTOMAI25!AT21+HISTOJUIN25!AT21+HISTOJUIL25!AT21+HISTOAOUT25!AT21+HISTOSEPT25!AT21+HISTOOCT25!AT21+HISTONOV25!AT21+HISTODEC25!AT21</f>
        <v>0</v>
      </c>
      <c r="AU21" s="5">
        <f>HISTOJANV25!AU21+HISTOFEV25!AU21+HISTOMARS25!AU21+HISTOAVRIL25!AU21+HISTOMAI25!AU21+HISTOJUIN25!AU21+HISTOJUIL25!AU21+HISTOAOUT25!AU21+HISTOSEPT25!AU21+HISTOOCT25!AU21+HISTONOV25!AU21+HISTODEC25!AU21</f>
        <v>0</v>
      </c>
      <c r="AV21" s="5">
        <f>HISTOJANV25!AV21+HISTOFEV25!AV21+HISTOMARS25!AV21+HISTOAVRIL25!AV21+HISTOMAI25!AV21+HISTOJUIN25!AV21+HISTOJUIL25!AV21+HISTOAOUT25!AV21+HISTOSEPT25!AV21+HISTOOCT25!AV21+HISTONOV25!AV21+HISTODEC25!AV21</f>
        <v>0</v>
      </c>
      <c r="AW21" s="5">
        <f>HISTOJANV25!AW21+HISTOFEV25!AW21+HISTOMARS25!AW21+HISTOAVRIL25!AW21+HISTOMAI25!AW21+HISTOJUIN25!AW21+HISTOJUIL25!AW21+HISTOAOUT25!AW21+HISTOSEPT25!AW21+HISTOOCT25!AW21+HISTONOV25!AW21+HISTODEC25!AW21</f>
        <v>398500</v>
      </c>
      <c r="AX21" s="5">
        <f>HISTOJANV25!AX21+HISTOFEV25!AX21+HISTOMARS25!AX21+HISTOAVRIL25!AX21+HISTOMAI25!AX21+HISTOJUIN25!AX21+HISTOJUIL25!AX21+HISTOAOUT25!AX21+HISTOSEPT25!AX21+HISTOOCT25!AX21+HISTONOV25!AX21+HISTODEC25!AX21</f>
        <v>0</v>
      </c>
      <c r="AY21" s="5">
        <f>HISTOJANV25!AY21+HISTOFEV25!AY21+HISTOMARS25!AY21+HISTOAVRIL25!AY21+HISTOMAI25!AY21+HISTOJUIN25!AY21+HISTOJUIL25!AY21+HISTOAOUT25!AY21+HISTOSEPT25!AY21+HISTOOCT25!AY21+HISTONOV25!AY21+HISTODEC25!AY21</f>
        <v>0</v>
      </c>
      <c r="AZ21" s="5">
        <f>HISTOJANV25!AZ21+HISTOFEV25!AZ21+HISTOMARS25!AZ21+HISTOAVRIL25!AZ21+HISTOMAI25!AZ21+HISTOJUIN25!AZ21+HISTOJUIL25!AZ21+HISTOAOUT25!AZ21+HISTOSEPT25!AZ21+HISTOOCT25!AZ21+HISTONOV25!AZ21+HISTODEC25!AZ21</f>
        <v>689500</v>
      </c>
      <c r="BA21" s="5">
        <f>HISTOJANV25!BA21+HISTOFEV25!BA21+HISTOMARS25!BA21+HISTOAVRIL25!BA21+HISTOMAI25!BA21+HISTOJUIN25!BA21+HISTOJUIL25!BA21+HISTOAOUT25!BA21+HISTOSEPT25!BA21+HISTOOCT25!BA21+HISTONOV25!BA21+HISTODEC25!BA21</f>
        <v>65000</v>
      </c>
      <c r="BB21" s="5">
        <f>HISTOJANV25!BB21+HISTOFEV25!BB21+HISTOMARS25!BB21+HISTOAVRIL25!BB21+HISTOMAI25!BB21+HISTOJUIN25!BB21+HISTOJUIL25!BB21+HISTOAOUT25!BB21+HISTOSEPT25!BB21+HISTOOCT25!BB21+HISTONOV25!BB21+HISTODEC25!BB21</f>
        <v>0</v>
      </c>
      <c r="BC21" s="5">
        <f>HISTOJANV25!BC21+HISTOFEV25!BC21+HISTOMARS25!BC21+HISTOAVRIL25!BC21+HISTOMAI25!BC21+HISTOJUIN25!BC21+HISTOJUIL25!BC21+HISTOAOUT25!BC21+HISTOSEPT25!BC21+HISTOOCT25!BC21+HISTONOV25!BC21+HISTODEC25!BC21</f>
        <v>0</v>
      </c>
      <c r="BD21" s="5">
        <f>HISTOJANV25!BD21+HISTOFEV25!BD21+HISTOMARS25!BD21+HISTOAVRIL25!BD21+HISTOMAI25!BD21+HISTOJUIN25!BD21+HISTOJUIL25!BD21+HISTOAOUT25!BD21+HISTOSEPT25!BD21+HISTOOCT25!BD21+HISTONOV25!BD21+HISTODEC25!BD21</f>
        <v>573500</v>
      </c>
      <c r="BE21" s="5"/>
      <c r="BF21" s="5">
        <f>HISTOJANV25!BF21+HISTOFEV25!BF21+HISTOMARS25!BF21+HISTOAVRIL25!BF21+HISTOMAI25!BF21+HISTOJUIN25!BF21+HISTOJUIL25!BF21+HISTOAOUT25!BF21+HISTOSEPT25!BF21+HISTOOCT25!BF21+HISTONOV25!BF21+HISTODEC25!BF21</f>
        <v>9000</v>
      </c>
      <c r="BG21" s="5">
        <f>HISTOJANV25!BG21+HISTOFEV25!BG21+HISTOMARS25!BG21+HISTOAVRIL25!BG21+HISTOMAI25!BG21+HISTOJUIN25!BG21+HISTOJUIL25!BG21+HISTOAOUT25!BG21+HISTOSEPT25!BG21+HISTOOCT25!BG21+HISTONOV25!BG21+HISTODEC25!BG21</f>
        <v>62</v>
      </c>
      <c r="BH21" s="5">
        <f>HISTOJANV25!BH21+HISTOFEV25!BH21+HISTOMARS25!BH21+HISTOAVRIL25!BH21+HISTOMAI25!BH21+HISTOJUIN25!BH21+HISTOJUIL25!BH21+HISTOAOUT25!BH21+HISTOSEPT25!BH21+HISTOOCT25!BH21+HISTONOV25!BH21+HISTODEC25!BH21</f>
        <v>0</v>
      </c>
      <c r="BI21" s="5">
        <f>HISTOJANV25!BI21+HISTOFEV25!BI21+HISTOMARS25!BI21+HISTOAVRIL25!BI21+HISTOMAI25!BI21+HISTOJUIN25!BI21+HISTOJUIL25!BI21+HISTOAOUT25!BI21+HISTOSEPT25!BI21+HISTOOCT25!BI21+HISTONOV25!BI21+HISTODEC25!BI21</f>
        <v>0</v>
      </c>
      <c r="BJ21" s="5">
        <f>HISTOJANV25!BJ21+HISTOFEV25!BJ21+HISTOMARS25!BJ21+HISTOAVRIL25!BJ21+HISTOMAI25!BJ21+HISTOJUIN25!BJ21+HISTOJUIL25!BJ21+HISTOAOUT25!BJ21+HISTOSEPT25!BJ21+HISTOOCT25!BJ21+HISTONOV25!BJ21+HISTODEC25!BJ21</f>
        <v>0</v>
      </c>
      <c r="BK21" s="5">
        <f>HISTOJANV25!BK21+HISTOFEV25!BK21+HISTOMARS25!BK21+HISTOAVRIL25!BK21+HISTOMAI25!BK21+HISTOJUIN25!BK21+HISTOJUIL25!BK21+HISTOAOUT25!BK21+HISTOSEPT25!BK21+HISTOOCT25!BK21+HISTONOV25!BK21+HISTODEC25!BK21</f>
        <v>0</v>
      </c>
      <c r="BL21" s="5">
        <f>HISTOJANV25!BL21+HISTOFEV25!BL21+HISTOMARS25!BL21+HISTOAVRIL25!BL21+HISTOMAI25!BL21+HISTOJUIN25!BL21+HISTOJUIL25!BL21+HISTOAOUT25!BL21+HISTOSEPT25!BL21+HISTOOCT25!BL21+HISTONOV25!BL21+HISTODEC25!BL21</f>
        <v>0</v>
      </c>
      <c r="BM21" s="5">
        <f>HISTOJANV25!BM21+HISTOFEV25!BM21+HISTOMARS25!BM21+HISTOAVRIL25!BM21+HISTOMAI25!BM21+HISTOJUIN25!BM21+HISTOJUIL25!BM21+HISTOAOUT25!BM21+HISTOSEPT25!BM21+HISTOOCT25!BM21+HISTONOV25!BM21+HISTODEC25!BM21</f>
        <v>0</v>
      </c>
      <c r="BN21" s="5">
        <f>HISTOJANV25!BN21+HISTOFEV25!BN21+HISTOMARS25!BN21+HISTOAVRIL25!BN21+HISTOMAI25!BN21+HISTOJUIN25!BN21+HISTOJUIL25!BN21+HISTOAOUT25!BN21+HISTOSEPT25!BN21+HISTOOCT25!BN21+HISTONOV25!BN21+HISTODEC25!BN21</f>
        <v>0</v>
      </c>
      <c r="BO21" t="s">
        <v>183</v>
      </c>
      <c r="BQ21" s="6"/>
    </row>
    <row r="22" spans="1:69" ht="17.5" x14ac:dyDescent="0.35">
      <c r="A22" s="1" t="s">
        <v>25</v>
      </c>
      <c r="B22" s="1" t="str">
        <f>VLOOKUP(A22,[5]LISTADHERENT!A$5:H$50,3,0)</f>
        <v>MBOGNING TUGMA GUY</v>
      </c>
      <c r="C22" s="5">
        <f>HISTOJANV25!C22+HISTOFEV25!C22+HISTOMARS25!C22+HISTOAVRIL25!C22+HISTOMAI25!C22+HISTOJUIN25!C22+HISTOJUIL25!C22+HISTOAOUT25!C22+HISTOSEPT25!C22+HISTOOCT25!C22+HISTONOV25!C22+HISTODEC25!C22</f>
        <v>-3208000</v>
      </c>
      <c r="D22" s="5">
        <f>HISTOJANV25!D22+HISTOFEV25!D22+HISTOMARS25!D22+HISTOAVRIL25!D22+HISTOMAI25!D22+HISTOJUIN25!D22+HISTOJUIL25!D22+HISTOAOUT25!D22+HISTOSEPT25!D22+HISTOOCT25!D22+HISTONOV25!D22+HISTODEC25!D22</f>
        <v>5152400</v>
      </c>
      <c r="E22" s="5">
        <f>HISTOJANV25!E22+HISTOFEV25!E22+HISTOMARS25!E22+HISTOAVRIL25!E22+HISTOMAI25!E22+HISTOJUIN25!E22+HISTOJUIL25!E22+HISTOAOUT25!E22+HISTOSEPT25!E22+HISTOOCT25!E22+HISTONOV25!E22+HISTODEC25!E22</f>
        <v>2341000</v>
      </c>
      <c r="F22" s="5">
        <f>HISTOJANV25!F22+HISTOFEV25!F22+HISTOMARS25!F22+HISTOAVRIL25!F22+HISTOMAI25!F22+HISTOJUIN25!F22+HISTOJUIL25!F22+HISTOAOUT25!F22+HISTOSEPT25!F22+HISTOOCT25!F22+HISTONOV25!F22+HISTODEC25!F22</f>
        <v>0</v>
      </c>
      <c r="G22" s="5">
        <f>HISTOJANV25!G22+HISTOFEV25!G22+HISTOMARS25!G22+HISTOAVRIL25!G22+HISTOMAI25!G22+HISTOJUIN25!G22+HISTOJUIL25!G22+HISTOAOUT25!G22+HISTOSEPT25!G22+HISTOOCT25!G22+HISTONOV25!G22+HISTODEC25!G22</f>
        <v>4900</v>
      </c>
      <c r="H22" s="5">
        <f>HISTOJANV25!H22+HISTOFEV25!H22+HISTOMARS25!H22+HISTOAVRIL25!H22+HISTOMAI25!H22+HISTOJUIN25!H22+HISTOJUIL25!H22+HISTOAOUT25!H22+HISTOSEPT25!H22+HISTOOCT25!H22+HISTONOV25!H22+HISTODEC25!H22</f>
        <v>6000</v>
      </c>
      <c r="I22" s="5"/>
      <c r="J22" s="5">
        <f>HISTOJANV25!J22+HISTOFEV25!J22+HISTOMARS25!J22+HISTOAVRIL25!J22+HISTOMAI25!J22+HISTOJUIN25!J22+HISTOJUIL25!J22+HISTOAOUT25!J22+HISTOSEPT25!J22+HISTOOCT25!J22+HISTONOV25!J22+HISTODEC25!J22</f>
        <v>12</v>
      </c>
      <c r="K22" s="5">
        <f>HISTOJANV25!K22+HISTOFEV25!K22+HISTOMARS25!K22+HISTOAVRIL25!K22+HISTOMAI25!K22+HISTOJUIN25!K22+HISTOJUIL25!K22+HISTOAOUT25!K22+HISTOSEPT25!K22+HISTOOCT25!K22+HISTONOV25!K22+HISTODEC25!K22</f>
        <v>600000</v>
      </c>
      <c r="L22" s="5">
        <f>HISTOJANV25!L22+HISTOFEV25!L22+HISTOMARS25!L22+HISTOAVRIL25!L22+HISTOMAI25!L22+HISTOJUIN25!L22+HISTOJUIL25!L22+HISTOAOUT25!L22+HISTOSEPT25!L22+HISTOOCT25!L22+HISTONOV25!L22+HISTODEC25!L22</f>
        <v>12</v>
      </c>
      <c r="M22" s="5">
        <f>HISTOJANV25!M22+HISTOFEV25!M22+HISTOMARS25!M22+HISTOAVRIL25!M22+HISTOMAI25!M22+HISTOJUIN25!M22+HISTOJUIL25!M22+HISTOAOUT25!M22+HISTOSEPT25!M22+HISTOOCT25!M22+HISTONOV25!M22+HISTODEC25!M22</f>
        <v>900000</v>
      </c>
      <c r="N22" s="5">
        <f>HISTOJANV25!N22+HISTOFEV25!N22+HISTOMARS25!N22+HISTOAVRIL25!N22+HISTOMAI25!N22+HISTOJUIN25!N22+HISTOJUIL25!N22+HISTOAOUT25!N22+HISTOSEPT25!N22+HISTOOCT25!N22+HISTONOV25!N22+HISTODEC25!N22</f>
        <v>24</v>
      </c>
      <c r="O22" s="5">
        <f>HISTOJANV25!O22+HISTOFEV25!O22+HISTOMARS25!O22+HISTOAVRIL25!O22+HISTOMAI25!O22+HISTOJUIN25!O22+HISTOJUIL25!O22+HISTOAOUT25!O22+HISTOSEPT25!O22+HISTOOCT25!O22+HISTONOV25!O22+HISTODEC25!O22</f>
        <v>2400000</v>
      </c>
      <c r="P22" s="5">
        <f>HISTOJANV25!P22+HISTOFEV25!P22+HISTOMARS25!P22+HISTOAVRIL25!P22+HISTOMAI25!P22+HISTOJUIN25!P22+HISTOJUIL25!P22+HISTOAOUT25!P22+HISTOSEPT25!P22+HISTOOCT25!P22+HISTONOV25!P22+HISTODEC25!P22</f>
        <v>51000</v>
      </c>
      <c r="Q22" s="5">
        <f>HISTOJANV25!Q22+HISTOFEV25!Q22+HISTOMARS25!Q22+HISTOAVRIL25!Q22+HISTOMAI25!Q22+HISTOJUIN25!Q22+HISTOJUIL25!Q22+HISTOAOUT25!Q22+HISTOSEPT25!Q22+HISTOOCT25!Q22+HISTONOV25!Q22+HISTODEC25!Q22</f>
        <v>1167500</v>
      </c>
      <c r="R22" s="5">
        <f>HISTOJANV25!R22+HISTOFEV25!R22+HISTOMARS25!R22+HISTOAVRIL25!R22+HISTOMAI25!R22+HISTOJUIN25!R22+HISTOJUIL25!R22+HISTOAOUT25!R22+HISTOSEPT25!R22+HISTOOCT25!R22+HISTONOV25!R22+HISTODEC25!R22</f>
        <v>1572000</v>
      </c>
      <c r="S22" s="5">
        <f>HISTOJANV25!S22+HISTOFEV25!S22+HISTOMARS25!S22+HISTOAVRIL25!S22+HISTOMAI25!S22+HISTOJUIN25!S22+HISTOJUIL25!S22+HISTOAOUT25!S22+HISTOSEPT25!S22+HISTOOCT25!S22+HISTONOV25!S22+HISTODEC25!S22</f>
        <v>4000000</v>
      </c>
      <c r="T22" s="5"/>
      <c r="U22" s="5">
        <f>HISTOJANV25!U22+HISTOFEV25!U22+HISTOMARS25!U22+HISTOAVRIL25!U22+HISTOMAI25!U22+HISTOJUIN25!U22+HISTOJUIL25!U22+HISTOAOUT25!U22+HISTOSEPT25!U22+HISTOOCT25!U22+HISTONOV25!U22+HISTODEC25!U22</f>
        <v>10701400</v>
      </c>
      <c r="V22" s="5">
        <f>HISTOJANV25!V22+HISTOFEV25!V22+HISTOMARS25!V22+HISTOAVRIL25!V22+HISTOMAI25!V22+HISTOJUIN25!V22+HISTOJUIL25!V22+HISTOAOUT25!V22+HISTOSEPT25!V22+HISTOOCT25!V22+HISTONOV25!V22+HISTODEC25!V22</f>
        <v>0</v>
      </c>
      <c r="W22" s="5">
        <f>HISTOJANV25!W22+HISTOFEV25!W22+HISTOMARS25!W22+HISTOAVRIL25!W22+HISTOMAI25!W22+HISTOJUIN25!W22+HISTOJUIL25!W22+HISTOAOUT25!W22+HISTOSEPT25!W22+HISTOOCT25!W22+HISTONOV25!W22+HISTODEC25!W22</f>
        <v>0</v>
      </c>
      <c r="X22" s="5">
        <f>HISTOJANV25!X22+HISTOFEV25!X22+HISTOMARS25!X22+HISTOAVRIL25!X22+HISTOMAI25!X22+HISTOJUIN25!X22+HISTOJUIL25!X22+HISTOAOUT25!X22+HISTOSEPT25!X22+HISTOOCT25!X22+HISTONOV25!X22+HISTODEC25!X22</f>
        <v>0</v>
      </c>
      <c r="Y22" s="5">
        <f>HISTOJANV25!Y22+HISTOFEV25!Y22+HISTOMARS25!Y22+HISTOAVRIL25!Y22+HISTOMAI25!Y22+HISTOJUIN25!Y22+HISTOJUIL25!Y22+HISTOAOUT25!Y22+HISTOSEPT25!Y22+HISTOOCT25!Y22+HISTONOV25!Y22+HISTODEC25!Y22</f>
        <v>3900000</v>
      </c>
      <c r="Z22" s="5">
        <f>HISTOJANV25!Z22+HISTOFEV25!Z22+HISTOMARS25!Z22+HISTOAVRIL25!Z22+HISTOMAI25!Z22+HISTOJUIN25!Z22+HISTOJUIL25!Z22+HISTOAOUT25!Z22+HISTOSEPT25!Z22+HISTOOCT25!Z22+HISTONOV25!Z22+HISTODEC25!Z22</f>
        <v>4000000</v>
      </c>
      <c r="AA22" s="5"/>
      <c r="AB22" s="5">
        <f>HISTOJANV25!AB22+HISTOFEV25!AB22+HISTOMARS25!AB22+HISTOAVRIL25!AB22+HISTOMAI25!AB22+HISTOJUIN25!AB22+HISTOJUIL25!AB22+HISTOAOUT25!AB22+HISTOSEPT25!AB22+HISTOOCT25!AB22+HISTONOV25!AB22+HISTODEC25!AB22</f>
        <v>0</v>
      </c>
      <c r="AC22" s="5">
        <f>HISTOJANV25!AC22+HISTOFEV25!AC22+HISTOMARS25!AC22+HISTOAVRIL25!AC22+HISTOMAI25!AC22+HISTOJUIN25!AC22+HISTOJUIL25!AC22+HISTOAOUT25!AC22+HISTOSEPT25!AC22+HISTOOCT25!AC22+HISTONOV25!AC22+HISTODEC25!AC22</f>
        <v>7500</v>
      </c>
      <c r="AD22" s="5">
        <f>HISTOJANV25!AD22+HISTOFEV25!AD22+HISTOMARS25!AD22+HISTOAVRIL25!AD22+HISTOMAI25!AD22+HISTOJUIN25!AD22+HISTOJUIL25!AD22+HISTOAOUT25!AD22+HISTOSEPT25!AD22+HISTOOCT25!AD22+HISTONOV25!AD22+HISTODEC25!AD22</f>
        <v>45000</v>
      </c>
      <c r="AE22" s="5">
        <f>HISTOJANV25!AE22+HISTOFEV25!AE22+HISTOMARS25!AE22+HISTOAVRIL25!AE22+HISTOMAI25!AE22+HISTOJUIN25!AE22+HISTOJUIL25!AE22+HISTOAOUT25!AE22+HISTOSEPT25!AE22+HISTOOCT25!AE22+HISTONOV25!AE22+HISTODEC25!AE22</f>
        <v>145000</v>
      </c>
      <c r="AF22" s="5"/>
      <c r="AG22" s="5">
        <f>HISTOJANV25!AG22+HISTOFEV25!AG22+HISTOMARS25!AG22+HISTOAVRIL25!AG22+HISTOMAI25!AG22+HISTOJUIN25!AG22+HISTOJUIL25!AG22+HISTOAOUT25!AG22+HISTOSEPT25!AG22+HISTOOCT25!AG22+HISTONOV25!AG22+HISTODEC25!AG22</f>
        <v>0</v>
      </c>
      <c r="AH22" s="5">
        <f>HISTOJANV25!AH22+HISTOFEV25!AH22+HISTOMARS25!AH22+HISTOAVRIL25!AH22+HISTOMAI25!AH22+HISTOJUIN25!AH22+HISTOJUIL25!AH22+HISTOAOUT25!AH22+HISTOSEPT25!AH22+HISTOOCT25!AH22+HISTONOV25!AH22+HISTODEC25!AH22</f>
        <v>0</v>
      </c>
      <c r="AI22" s="5">
        <f>HISTOJANV25!AI22+HISTOFEV25!AI22+HISTOMARS25!AI22+HISTOAVRIL25!AI22+HISTOMAI25!AI22+HISTOJUIN25!AI22+HISTOJUIL25!AI22+HISTOAOUT25!AI22+HISTOSEPT25!AI22+HISTOOCT25!AI22+HISTONOV25!AI22+HISTODEC25!AI22</f>
        <v>50000</v>
      </c>
      <c r="AJ22" s="5">
        <f>HISTOJANV25!AJ22+HISTOFEV25!AJ22+HISTOMARS25!AJ22+HISTOAVRIL25!AJ22+HISTOMAI25!AJ22+HISTOJUIN25!AJ22+HISTOJUIL25!AJ22+HISTOAOUT25!AJ22+HISTOSEPT25!AJ22+HISTOOCT25!AJ22+HISTONOV25!AJ22+HISTODEC25!AJ22</f>
        <v>1150000</v>
      </c>
      <c r="AK22" s="5">
        <f>HISTOJANV25!AK22+HISTOFEV25!AK22+HISTOMARS25!AK22+HISTOAVRIL25!AK22+HISTOMAI25!AK22+HISTOJUIN25!AK22+HISTOJUIL25!AK22+HISTOAOUT25!AK22+HISTOSEPT25!AK22+HISTOOCT25!AK22+HISTONOV25!AK22+HISTODEC25!AK22</f>
        <v>1544000</v>
      </c>
      <c r="AL22" s="5">
        <f>HISTOJANV25!AL22+HISTOFEV25!AL22+HISTOMARS25!AL22+HISTOAVRIL25!AL22+HISTOMAI25!AL22+HISTOJUIN25!AL22+HISTOJUIL25!AL22+HISTOAOUT25!AL22+HISTOSEPT25!AL22+HISTOOCT25!AL22+HISTONOV25!AL22+HISTODEC25!AL22</f>
        <v>1000</v>
      </c>
      <c r="AM22" s="5">
        <f>HISTOJANV25!AM22+HISTOFEV25!AM22+HISTOMARS25!AM22+HISTOAVRIL25!AM22+HISTOMAI25!AM22+HISTOJUIN25!AM22+HISTOJUIL25!AM22+HISTOAOUT25!AM22+HISTOSEPT25!AM22+HISTOOCT25!AM22+HISTONOV25!AM22+HISTODEC25!AM22</f>
        <v>17500</v>
      </c>
      <c r="AN22" s="5">
        <f>HISTOJANV25!AN22+HISTOFEV25!AN22+HISTOMARS25!AN22+HISTOAVRIL25!AN22+HISTOMAI25!AN22+HISTOJUIN25!AN22+HISTOJUIL25!AN22+HISTOAOUT25!AN22+HISTOSEPT25!AN22+HISTOOCT25!AN22+HISTONOV25!AN22+HISTODEC25!AN22</f>
        <v>25500</v>
      </c>
      <c r="AO22" s="5">
        <f>HISTOJANV25!AO22+HISTOFEV25!AO22+HISTOMARS25!AO22+HISTOAVRIL25!AO22+HISTOMAI25!AO22+HISTOJUIN25!AO22+HISTOJUIL25!AO22+HISTOAOUT25!AO22+HISTOSEPT25!AO22+HISTOOCT25!AO22+HISTONOV25!AO22+HISTODEC25!AO22</f>
        <v>0</v>
      </c>
      <c r="AP22" s="5"/>
      <c r="AQ22" s="5">
        <f>HISTOJANV25!AQ22+HISTOFEV25!AQ22+HISTOMARS25!AQ22+HISTOAVRIL25!AQ22+HISTOMAI25!AQ22+HISTOJUIN25!AQ22+HISTOJUIL25!AQ22+HISTOAOUT25!AQ22+HISTOSEPT25!AQ22+HISTOOCT25!AQ22+HISTONOV25!AQ22+HISTODEC25!AQ22</f>
        <v>0</v>
      </c>
      <c r="AR22" s="5">
        <f>HISTOJANV25!AR22+HISTOFEV25!AR22+HISTOMARS25!AR22+HISTOAVRIL25!AR22+HISTOMAI25!AR22+HISTOJUIN25!AR22+HISTOJUIL25!AR22+HISTOAOUT25!AR22+HISTOSEPT25!AR22+HISTOOCT25!AR22+HISTONOV25!AR22+HISTODEC25!AR22</f>
        <v>0</v>
      </c>
      <c r="AS22" s="5">
        <f>HISTOJANV25!AS22+HISTOFEV25!AS22+HISTOMARS25!AS22+HISTOAVRIL25!AS22+HISTOMAI25!AS22+HISTOJUIN25!AS22+HISTOJUIL25!AS22+HISTOAOUT25!AS22+HISTOSEPT25!AS22+HISTOOCT25!AS22+HISTONOV25!AS22+HISTODEC25!AS22</f>
        <v>304900</v>
      </c>
      <c r="AT22" s="5">
        <f>HISTOJANV25!AT22+HISTOFEV25!AT22+HISTOMARS25!AT22+HISTOAVRIL25!AT22+HISTOMAI25!AT22+HISTOJUIN25!AT22+HISTOJUIL25!AT22+HISTOAOUT25!AT22+HISTOSEPT25!AT22+HISTOOCT25!AT22+HISTONOV25!AT22+HISTODEC25!AT22</f>
        <v>0</v>
      </c>
      <c r="AU22" s="5">
        <f>HISTOJANV25!AU22+HISTOFEV25!AU22+HISTOMARS25!AU22+HISTOAVRIL25!AU22+HISTOMAI25!AU22+HISTOJUIN25!AU22+HISTOJUIL25!AU22+HISTOAOUT25!AU22+HISTOSEPT25!AU22+HISTOOCT25!AU22+HISTONOV25!AU22+HISTODEC25!AU22</f>
        <v>0</v>
      </c>
      <c r="AV22" s="5">
        <f>HISTOJANV25!AV22+HISTOFEV25!AV22+HISTOMARS25!AV22+HISTOAVRIL25!AV22+HISTOMAI25!AV22+HISTOJUIN25!AV22+HISTOJUIL25!AV22+HISTOAOUT25!AV22+HISTOSEPT25!AV22+HISTOOCT25!AV22+HISTONOV25!AV22+HISTODEC25!AV22</f>
        <v>0</v>
      </c>
      <c r="AW22" s="5">
        <f>HISTOJANV25!AW22+HISTOFEV25!AW22+HISTOMARS25!AW22+HISTOAVRIL25!AW22+HISTOMAI25!AW22+HISTOJUIN25!AW22+HISTOJUIL25!AW22+HISTOAOUT25!AW22+HISTOSEPT25!AW22+HISTOOCT25!AW22+HISTONOV25!AW22+HISTODEC25!AW22</f>
        <v>342500</v>
      </c>
      <c r="AX22" s="5">
        <f>HISTOJANV25!AX22+HISTOFEV25!AX22+HISTOMARS25!AX22+HISTOAVRIL25!AX22+HISTOMAI25!AX22+HISTOJUIN25!AX22+HISTOJUIL25!AX22+HISTOAOUT25!AX22+HISTOSEPT25!AX22+HISTOOCT25!AX22+HISTONOV25!AX22+HISTODEC25!AX22</f>
        <v>2005000</v>
      </c>
      <c r="AY22" s="5">
        <f>HISTOJANV25!AY22+HISTOFEV25!AY22+HISTOMARS25!AY22+HISTOAVRIL25!AY22+HISTOMAI25!AY22+HISTOJUIN25!AY22+HISTOJUIL25!AY22+HISTOAOUT25!AY22+HISTOSEPT25!AY22+HISTOOCT25!AY22+HISTONOV25!AY22+HISTODEC25!AY22</f>
        <v>3799000</v>
      </c>
      <c r="AZ22" s="5">
        <f>HISTOJANV25!AZ22+HISTOFEV25!AZ22+HISTOMARS25!AZ22+HISTOAVRIL25!AZ22+HISTOMAI25!AZ22+HISTOJUIN25!AZ22+HISTOJUIL25!AZ22+HISTOAOUT25!AZ22+HISTOSEPT25!AZ22+HISTOOCT25!AZ22+HISTONOV25!AZ22+HISTODEC25!AZ22</f>
        <v>9936500</v>
      </c>
      <c r="BA22" s="5">
        <f>HISTOJANV25!BA22+HISTOFEV25!BA22+HISTOMARS25!BA22+HISTOAVRIL25!BA22+HISTOMAI25!BA22+HISTOJUIN25!BA22+HISTOJUIL25!BA22+HISTOAOUT25!BA22+HISTOSEPT25!BA22+HISTOOCT25!BA22+HISTONOV25!BA22+HISTODEC25!BA22</f>
        <v>1951000</v>
      </c>
      <c r="BB22" s="5">
        <f>HISTOJANV25!BB22+HISTOFEV25!BB22+HISTOMARS25!BB22+HISTOAVRIL25!BB22+HISTOMAI25!BB22+HISTOJUIN25!BB22+HISTOJUIL25!BB22+HISTOAOUT25!BB22+HISTOSEPT25!BB22+HISTOOCT25!BB22+HISTONOV25!BB22+HISTODEC25!BB22</f>
        <v>0</v>
      </c>
      <c r="BC22" s="5">
        <f>HISTOJANV25!BC22+HISTOFEV25!BC22+HISTOMARS25!BC22+HISTOAVRIL25!BC22+HISTOMAI25!BC22+HISTOJUIN25!BC22+HISTOJUIL25!BC22+HISTOAOUT25!BC22+HISTOSEPT25!BC22+HISTOOCT25!BC22+HISTONOV25!BC22+HISTODEC25!BC22</f>
        <v>0</v>
      </c>
      <c r="BD22" s="5">
        <f>HISTOJANV25!BD22+HISTOFEV25!BD22+HISTOMARS25!BD22+HISTOAVRIL25!BD22+HISTOMAI25!BD22+HISTOJUIN25!BD22+HISTOJUIL25!BD22+HISTOAOUT25!BD22+HISTOSEPT25!BD22+HISTOOCT25!BD22+HISTONOV25!BD22+HISTODEC25!BD22</f>
        <v>5923000</v>
      </c>
      <c r="BE22" s="5"/>
      <c r="BF22" s="5">
        <f>HISTOJANV25!BF22+HISTOFEV25!BF22+HISTOMARS25!BF22+HISTOAVRIL25!BF22+HISTOMAI25!BF22+HISTOJUIN25!BF22+HISTOJUIL25!BF22+HISTOAOUT25!BF22+HISTOSEPT25!BF22+HISTOOCT25!BF22+HISTONOV25!BF22+HISTODEC25!BF22</f>
        <v>210000</v>
      </c>
      <c r="BG22" s="5">
        <f>HISTOJANV25!BG22+HISTOFEV25!BG22+HISTOMARS25!BG22+HISTOAVRIL25!BG22+HISTOMAI25!BG22+HISTOJUIN25!BG22+HISTOJUIL25!BG22+HISTOAOUT25!BG22+HISTOSEPT25!BG22+HISTOOCT25!BG22+HISTONOV25!BG22+HISTODEC25!BG22</f>
        <v>70</v>
      </c>
      <c r="BH22" s="5">
        <f>HISTOJANV25!BH22+HISTOFEV25!BH22+HISTOMARS25!BH22+HISTOAVRIL25!BH22+HISTOMAI25!BH22+HISTOJUIN25!BH22+HISTOJUIL25!BH22+HISTOAOUT25!BH22+HISTOSEPT25!BH22+HISTOOCT25!BH22+HISTONOV25!BH22+HISTODEC25!BH22</f>
        <v>0</v>
      </c>
      <c r="BI22" s="5">
        <f>HISTOJANV25!BI22+HISTOFEV25!BI22+HISTOMARS25!BI22+HISTOAVRIL25!BI22+HISTOMAI25!BI22+HISTOJUIN25!BI22+HISTOJUIL25!BI22+HISTOAOUT25!BI22+HISTOSEPT25!BI22+HISTOOCT25!BI22+HISTONOV25!BI22+HISTODEC25!BI22</f>
        <v>0</v>
      </c>
      <c r="BJ22" s="5">
        <f>HISTOJANV25!BJ22+HISTOFEV25!BJ22+HISTOMARS25!BJ22+HISTOAVRIL25!BJ22+HISTOMAI25!BJ22+HISTOJUIN25!BJ22+HISTOJUIL25!BJ22+HISTOAOUT25!BJ22+HISTOSEPT25!BJ22+HISTOOCT25!BJ22+HISTONOV25!BJ22+HISTODEC25!BJ22</f>
        <v>0</v>
      </c>
      <c r="BK22" s="5">
        <f>HISTOJANV25!BK22+HISTOFEV25!BK22+HISTOMARS25!BK22+HISTOAVRIL25!BK22+HISTOMAI25!BK22+HISTOJUIN25!BK22+HISTOJUIL25!BK22+HISTOAOUT25!BK22+HISTOSEPT25!BK22+HISTOOCT25!BK22+HISTONOV25!BK22+HISTODEC25!BK22</f>
        <v>0</v>
      </c>
      <c r="BL22" s="5">
        <f>HISTOJANV25!BL22+HISTOFEV25!BL22+HISTOMARS25!BL22+HISTOAVRIL25!BL22+HISTOMAI25!BL22+HISTOJUIN25!BL22+HISTOJUIL25!BL22+HISTOAOUT25!BL22+HISTOSEPT25!BL22+HISTOOCT25!BL22+HISTONOV25!BL22+HISTODEC25!BL22</f>
        <v>0</v>
      </c>
      <c r="BM22" s="5">
        <f>HISTOJANV25!BM22+HISTOFEV25!BM22+HISTOMARS25!BM22+HISTOAVRIL25!BM22+HISTOMAI25!BM22+HISTOJUIN25!BM22+HISTOJUIL25!BM22+HISTOAOUT25!BM22+HISTOSEPT25!BM22+HISTOOCT25!BM22+HISTONOV25!BM22+HISTODEC25!BM22</f>
        <v>0</v>
      </c>
      <c r="BN22" s="5">
        <f>HISTOJANV25!BN22+HISTOFEV25!BN22+HISTOMARS25!BN22+HISTOAVRIL25!BN22+HISTOMAI25!BN22+HISTOJUIN25!BN22+HISTOJUIL25!BN22+HISTOAOUT25!BN22+HISTOSEPT25!BN22+HISTOOCT25!BN22+HISTONOV25!BN22+HISTODEC25!BN22</f>
        <v>0</v>
      </c>
      <c r="BQ22" s="6"/>
    </row>
    <row r="23" spans="1:69" ht="17.5" x14ac:dyDescent="0.35">
      <c r="A23" s="1" t="s">
        <v>26</v>
      </c>
      <c r="B23" s="1" t="str">
        <f>VLOOKUP(A23,[5]LISTADHERENT!A$5:H$50,3,0)</f>
        <v>NANGUEN MARTIN</v>
      </c>
      <c r="C23" s="5">
        <f>HISTOJANV25!C23+HISTOFEV25!C23+HISTOMARS25!C23+HISTOAVRIL25!C23+HISTOMAI25!C23+HISTOJUIN25!C23+HISTOJUIL25!C23+HISTOAOUT25!C23+HISTOSEPT25!C23+HISTOOCT25!C23+HISTONOV25!C23+HISTODEC25!C23</f>
        <v>150000</v>
      </c>
      <c r="D23" s="5">
        <f>HISTOJANV25!D23+HISTOFEV25!D23+HISTOMARS25!D23+HISTOAVRIL25!D23+HISTOMAI25!D23+HISTOJUIN25!D23+HISTOJUIL25!D23+HISTOAOUT25!D23+HISTOSEPT25!D23+HISTOOCT25!D23+HISTONOV25!D23+HISTODEC25!D23</f>
        <v>500000</v>
      </c>
      <c r="E23" s="5">
        <f>HISTOJANV25!E23+HISTOFEV25!E23+HISTOMARS25!E23+HISTOAVRIL25!E23+HISTOMAI25!E23+HISTOJUIN25!E23+HISTOJUIL25!E23+HISTOAOUT25!E23+HISTOSEPT25!E23+HISTOOCT25!E23+HISTONOV25!E23+HISTODEC25!E23</f>
        <v>253000</v>
      </c>
      <c r="F23" s="5">
        <f>HISTOJANV25!F23+HISTOFEV25!F23+HISTOMARS25!F23+HISTOAVRIL25!F23+HISTOMAI25!F23+HISTOJUIN25!F23+HISTOJUIL25!F23+HISTOAOUT25!F23+HISTOSEPT25!F23+HISTOOCT25!F23+HISTONOV25!F23+HISTODEC25!F23</f>
        <v>0</v>
      </c>
      <c r="G23" s="5">
        <f>HISTOJANV25!G23+HISTOFEV25!G23+HISTOMARS25!G23+HISTOAVRIL25!G23+HISTOMAI25!G23+HISTOJUIN25!G23+HISTOJUIL25!G23+HISTOAOUT25!G23+HISTOSEPT25!G23+HISTOOCT25!G23+HISTONOV25!G23+HISTODEC25!G23</f>
        <v>0</v>
      </c>
      <c r="H23" s="5">
        <f>HISTOJANV25!H23+HISTOFEV25!H23+HISTOMARS25!H23+HISTOAVRIL25!H23+HISTOMAI25!H23+HISTOJUIN25!H23+HISTOJUIL25!H23+HISTOAOUT25!H23+HISTOSEPT25!H23+HISTOOCT25!H23+HISTONOV25!H23+HISTODEC25!H23</f>
        <v>3000</v>
      </c>
      <c r="I23" s="5"/>
      <c r="J23" s="5">
        <f>HISTOJANV25!J23+HISTOFEV25!J23+HISTOMARS25!J23+HISTOAVRIL25!J23+HISTOMAI25!J23+HISTOJUIN25!J23+HISTOJUIL25!J23+HISTOAOUT25!J23+HISTOSEPT25!J23+HISTOOCT25!J23+HISTONOV25!J23+HISTODEC25!J23</f>
        <v>12</v>
      </c>
      <c r="K23" s="5">
        <f>HISTOJANV25!K23+HISTOFEV25!K23+HISTOMARS25!K23+HISTOAVRIL25!K23+HISTOMAI25!K23+HISTOJUIN25!K23+HISTOJUIL25!K23+HISTOAOUT25!K23+HISTOSEPT25!K23+HISTOOCT25!K23+HISTONOV25!K23+HISTODEC25!K23</f>
        <v>600000</v>
      </c>
      <c r="L23" s="5">
        <f>HISTOJANV25!L23+HISTOFEV25!L23+HISTOMARS25!L23+HISTOAVRIL25!L23+HISTOMAI25!L23+HISTOJUIN25!L23+HISTOJUIL25!L23+HISTOAOUT25!L23+HISTOSEPT25!L23+HISTOOCT25!L23+HISTONOV25!L23+HISTODEC25!L23</f>
        <v>0</v>
      </c>
      <c r="M23" s="5">
        <f>HISTOJANV25!M23+HISTOFEV25!M23+HISTOMARS25!M23+HISTOAVRIL25!M23+HISTOMAI25!M23+HISTOJUIN25!M23+HISTOJUIL25!M23+HISTOAOUT25!M23+HISTOSEPT25!M23+HISTOOCT25!M23+HISTONOV25!M23+HISTODEC25!M23</f>
        <v>0</v>
      </c>
      <c r="N23" s="5">
        <f>HISTOJANV25!N23+HISTOFEV25!N23+HISTOMARS25!N23+HISTOAVRIL25!N23+HISTOMAI25!N23+HISTOJUIN25!N23+HISTOJUIL25!N23+HISTOAOUT25!N23+HISTOSEPT25!N23+HISTOOCT25!N23+HISTONOV25!N23+HISTODEC25!N23</f>
        <v>0</v>
      </c>
      <c r="O23" s="5">
        <f>HISTOJANV25!O23+HISTOFEV25!O23+HISTOMARS25!O23+HISTOAVRIL25!O23+HISTOMAI25!O23+HISTOJUIN25!O23+HISTOJUIL25!O23+HISTOAOUT25!O23+HISTOSEPT25!O23+HISTOOCT25!O23+HISTONOV25!O23+HISTODEC25!O23</f>
        <v>0</v>
      </c>
      <c r="P23" s="5">
        <f>HISTOJANV25!P23+HISTOFEV25!P23+HISTOMARS25!P23+HISTOAVRIL25!P23+HISTOMAI25!P23+HISTOJUIN25!P23+HISTOJUIL25!P23+HISTOAOUT25!P23+HISTOSEPT25!P23+HISTOOCT25!P23+HISTONOV25!P23+HISTODEC25!P23</f>
        <v>0</v>
      </c>
      <c r="Q23" s="5">
        <f>HISTOJANV25!Q23+HISTOFEV25!Q23+HISTOMARS25!Q23+HISTOAVRIL25!Q23+HISTOMAI25!Q23+HISTOJUIN25!Q23+HISTOJUIL25!Q23+HISTOAOUT25!Q23+HISTOSEPT25!Q23+HISTOOCT25!Q23+HISTONOV25!Q23+HISTODEC25!Q23</f>
        <v>0</v>
      </c>
      <c r="R23" s="5">
        <f>HISTOJANV25!R23+HISTOFEV25!R23+HISTOMARS25!R23+HISTOAVRIL25!R23+HISTOMAI25!R23+HISTOJUIN25!R23+HISTOJUIL25!R23+HISTOAOUT25!R23+HISTOSEPT25!R23+HISTOOCT25!R23+HISTONOV25!R23+HISTODEC25!R23</f>
        <v>0</v>
      </c>
      <c r="S23" s="5">
        <f>HISTOJANV25!S23+HISTOFEV25!S23+HISTOMARS25!S23+HISTOAVRIL25!S23+HISTOMAI25!S23+HISTOJUIN25!S23+HISTOJUIL25!S23+HISTOAOUT25!S23+HISTOSEPT25!S23+HISTOOCT25!S23+HISTONOV25!S23+HISTODEC25!S23</f>
        <v>0</v>
      </c>
      <c r="T23" s="5"/>
      <c r="U23" s="5">
        <f>HISTOJANV25!U23+HISTOFEV25!U23+HISTOMARS25!U23+HISTOAVRIL25!U23+HISTOMAI25!U23+HISTOJUIN25!U23+HISTOJUIL25!U23+HISTOAOUT25!U23+HISTOSEPT25!U23+HISTOOCT25!U23+HISTONOV25!U23+HISTODEC25!U23</f>
        <v>603000</v>
      </c>
      <c r="V23" s="5">
        <f>HISTOJANV25!V23+HISTOFEV25!V23+HISTOMARS25!V23+HISTOAVRIL25!V23+HISTOMAI25!V23+HISTOJUIN25!V23+HISTOJUIL25!V23+HISTOAOUT25!V23+HISTOSEPT25!V23+HISTOOCT25!V23+HISTONOV25!V23+HISTODEC25!V23</f>
        <v>0</v>
      </c>
      <c r="W23" s="5">
        <f>HISTOJANV25!W23+HISTOFEV25!W23+HISTOMARS25!W23+HISTOAVRIL25!W23+HISTOMAI25!W23+HISTOJUIN25!W23+HISTOJUIL25!W23+HISTOAOUT25!W23+HISTOSEPT25!W23+HISTOOCT25!W23+HISTONOV25!W23+HISTODEC25!W23</f>
        <v>0</v>
      </c>
      <c r="X23" s="5">
        <f>HISTOJANV25!X23+HISTOFEV25!X23+HISTOMARS25!X23+HISTOAVRIL25!X23+HISTOMAI25!X23+HISTOJUIN25!X23+HISTOJUIL25!X23+HISTOAOUT25!X23+HISTOSEPT25!X23+HISTOOCT25!X23+HISTONOV25!X23+HISTODEC25!X23</f>
        <v>0</v>
      </c>
      <c r="Y23" s="5">
        <f>HISTOJANV25!Y23+HISTOFEV25!Y23+HISTOMARS25!Y23+HISTOAVRIL25!Y23+HISTOMAI25!Y23+HISTOJUIN25!Y23+HISTOJUIL25!Y23+HISTOAOUT25!Y23+HISTOSEPT25!Y23+HISTOOCT25!Y23+HISTONOV25!Y23+HISTODEC25!Y23</f>
        <v>600000</v>
      </c>
      <c r="Z23" s="5">
        <f>HISTOJANV25!Z23+HISTOFEV25!Z23+HISTOMARS25!Z23+HISTOAVRIL25!Z23+HISTOMAI25!Z23+HISTOJUIN25!Z23+HISTOJUIL25!Z23+HISTOAOUT25!Z23+HISTOSEPT25!Z23+HISTOOCT25!Z23+HISTONOV25!Z23+HISTODEC25!Z23</f>
        <v>0</v>
      </c>
      <c r="AA23" s="5"/>
      <c r="AB23" s="5">
        <f>HISTOJANV25!AB23+HISTOFEV25!AB23+HISTOMARS25!AB23+HISTOAVRIL25!AB23+HISTOMAI25!AB23+HISTOJUIN25!AB23+HISTOJUIL25!AB23+HISTOAOUT25!AB23+HISTOSEPT25!AB23+HISTOOCT25!AB23+HISTONOV25!AB23+HISTODEC25!AB23</f>
        <v>0</v>
      </c>
      <c r="AC23" s="5">
        <f>HISTOJANV25!AC23+HISTOFEV25!AC23+HISTOMARS25!AC23+HISTOAVRIL25!AC23+HISTOMAI25!AC23+HISTOJUIN25!AC23+HISTOJUIL25!AC23+HISTOAOUT25!AC23+HISTOSEPT25!AC23+HISTOOCT25!AC23+HISTONOV25!AC23+HISTODEC25!AC23</f>
        <v>10000</v>
      </c>
      <c r="AD23" s="5">
        <f>HISTOJANV25!AD23+HISTOFEV25!AD23+HISTOMARS25!AD23+HISTOAVRIL25!AD23+HISTOMAI25!AD23+HISTOJUIN25!AD23+HISTOJUIL25!AD23+HISTOAOUT25!AD23+HISTOSEPT25!AD23+HISTOOCT25!AD23+HISTONOV25!AD23+HISTODEC25!AD23</f>
        <v>0</v>
      </c>
      <c r="AE23" s="5">
        <f>HISTOJANV25!AE23+HISTOFEV25!AE23+HISTOMARS25!AE23+HISTOAVRIL25!AE23+HISTOMAI25!AE23+HISTOJUIN25!AE23+HISTOJUIL25!AE23+HISTOAOUT25!AE23+HISTOSEPT25!AE23+HISTOOCT25!AE23+HISTONOV25!AE23+HISTODEC25!AE23</f>
        <v>0</v>
      </c>
      <c r="AF23" s="5"/>
      <c r="AG23" s="5">
        <f>HISTOJANV25!AG23+HISTOFEV25!AG23+HISTOMARS25!AG23+HISTOAVRIL25!AG23+HISTOMAI25!AG23+HISTOJUIN25!AG23+HISTOJUIL25!AG23+HISTOAOUT25!AG23+HISTOSEPT25!AG23+HISTOOCT25!AG23+HISTONOV25!AG23+HISTODEC25!AG23</f>
        <v>0</v>
      </c>
      <c r="AH23" s="5">
        <f>HISTOJANV25!AH23+HISTOFEV25!AH23+HISTOMARS25!AH23+HISTOAVRIL25!AH23+HISTOMAI25!AH23+HISTOJUIN25!AH23+HISTOJUIL25!AH23+HISTOAOUT25!AH23+HISTOSEPT25!AH23+HISTOOCT25!AH23+HISTONOV25!AH23+HISTODEC25!AH23</f>
        <v>0</v>
      </c>
      <c r="AI23" s="5">
        <f>HISTOJANV25!AI23+HISTOFEV25!AI23+HISTOMARS25!AI23+HISTOAVRIL25!AI23+HISTOMAI25!AI23+HISTOJUIN25!AI23+HISTOJUIL25!AI23+HISTOAOUT25!AI23+HISTOSEPT25!AI23+HISTOOCT25!AI23+HISTONOV25!AI23+HISTODEC25!AI23</f>
        <v>0</v>
      </c>
      <c r="AJ23" s="5">
        <f>HISTOJANV25!AJ23+HISTOFEV25!AJ23+HISTOMARS25!AJ23+HISTOAVRIL25!AJ23+HISTOMAI25!AJ23+HISTOJUIN25!AJ23+HISTOJUIL25!AJ23+HISTOAOUT25!AJ23+HISTOSEPT25!AJ23+HISTOOCT25!AJ23+HISTONOV25!AJ23+HISTODEC25!AJ23</f>
        <v>0</v>
      </c>
      <c r="AK23" s="5">
        <f>HISTOJANV25!AK23+HISTOFEV25!AK23+HISTOMARS25!AK23+HISTOAVRIL25!AK23+HISTOMAI25!AK23+HISTOJUIN25!AK23+HISTOJUIL25!AK23+HISTOAOUT25!AK23+HISTOSEPT25!AK23+HISTOOCT25!AK23+HISTONOV25!AK23+HISTODEC25!AK23</f>
        <v>0</v>
      </c>
      <c r="AL23" s="5">
        <f>HISTOJANV25!AL23+HISTOFEV25!AL23+HISTOMARS25!AL23+HISTOAVRIL25!AL23+HISTOMAI25!AL23+HISTOJUIN25!AL23+HISTOJUIL25!AL23+HISTOAOUT25!AL23+HISTOSEPT25!AL23+HISTOOCT25!AL23+HISTONOV25!AL23+HISTODEC25!AL23</f>
        <v>0</v>
      </c>
      <c r="AM23" s="5">
        <f>HISTOJANV25!AM23+HISTOFEV25!AM23+HISTOMARS25!AM23+HISTOAVRIL25!AM23+HISTOMAI25!AM23+HISTOJUIN25!AM23+HISTOJUIL25!AM23+HISTOAOUT25!AM23+HISTOSEPT25!AM23+HISTOOCT25!AM23+HISTONOV25!AM23+HISTODEC25!AM23</f>
        <v>0</v>
      </c>
      <c r="AN23" s="5">
        <f>HISTOJANV25!AN23+HISTOFEV25!AN23+HISTOMARS25!AN23+HISTOAVRIL25!AN23+HISTOMAI25!AN23+HISTOJUIN25!AN23+HISTOJUIL25!AN23+HISTOAOUT25!AN23+HISTOSEPT25!AN23+HISTOOCT25!AN23+HISTONOV25!AN23+HISTODEC25!AN23</f>
        <v>0</v>
      </c>
      <c r="AO23" s="5">
        <f>HISTOJANV25!AO23+HISTOFEV25!AO23+HISTOMARS25!AO23+HISTOAVRIL25!AO23+HISTOMAI25!AO23+HISTOJUIN25!AO23+HISTOJUIL25!AO23+HISTOAOUT25!AO23+HISTOSEPT25!AO23+HISTOOCT25!AO23+HISTONOV25!AO23+HISTODEC25!AO23</f>
        <v>0</v>
      </c>
      <c r="AP23" s="5"/>
      <c r="AQ23" s="5">
        <f>HISTOJANV25!AQ23+HISTOFEV25!AQ23+HISTOMARS25!AQ23+HISTOAVRIL25!AQ23+HISTOMAI25!AQ23+HISTOJUIN25!AQ23+HISTOJUIL25!AQ23+HISTOAOUT25!AQ23+HISTOSEPT25!AQ23+HISTOOCT25!AQ23+HISTONOV25!AQ23+HISTODEC25!AQ23</f>
        <v>0</v>
      </c>
      <c r="AR23" s="5">
        <f>HISTOJANV25!AR23+HISTOFEV25!AR23+HISTOMARS25!AR23+HISTOAVRIL25!AR23+HISTOMAI25!AR23+HISTOJUIN25!AR23+HISTOJUIL25!AR23+HISTOAOUT25!AR23+HISTOSEPT25!AR23+HISTOOCT25!AR23+HISTONOV25!AR23+HISTODEC25!AR23</f>
        <v>0</v>
      </c>
      <c r="AS23" s="5">
        <f>HISTOJANV25!AS23+HISTOFEV25!AS23+HISTOMARS25!AS23+HISTOAVRIL25!AS23+HISTOMAI25!AS23+HISTOJUIN25!AS23+HISTOJUIL25!AS23+HISTOAOUT25!AS23+HISTOSEPT25!AS23+HISTOOCT25!AS23+HISTONOV25!AS23+HISTODEC25!AS23</f>
        <v>300000</v>
      </c>
      <c r="AT23" s="5">
        <f>HISTOJANV25!AT23+HISTOFEV25!AT23+HISTOMARS25!AT23+HISTOAVRIL25!AT23+HISTOMAI25!AT23+HISTOJUIN25!AT23+HISTOJUIL25!AT23+HISTOAOUT25!AT23+HISTOSEPT25!AT23+HISTOOCT25!AT23+HISTONOV25!AT23+HISTODEC25!AT23</f>
        <v>0</v>
      </c>
      <c r="AU23" s="5">
        <f>HISTOJANV25!AU23+HISTOFEV25!AU23+HISTOMARS25!AU23+HISTOAVRIL25!AU23+HISTOMAI25!AU23+HISTOJUIN25!AU23+HISTOJUIL25!AU23+HISTOAOUT25!AU23+HISTOSEPT25!AU23+HISTOOCT25!AU23+HISTONOV25!AU23+HISTODEC25!AU23</f>
        <v>0</v>
      </c>
      <c r="AV23" s="5">
        <f>HISTOJANV25!AV23+HISTOFEV25!AV23+HISTOMARS25!AV23+HISTOAVRIL25!AV23+HISTOMAI25!AV23+HISTOJUIN25!AV23+HISTOJUIL25!AV23+HISTOAOUT25!AV23+HISTOSEPT25!AV23+HISTOOCT25!AV23+HISTONOV25!AV23+HISTODEC25!AV23</f>
        <v>0</v>
      </c>
      <c r="AW23" s="5">
        <f>HISTOJANV25!AW23+HISTOFEV25!AW23+HISTOMARS25!AW23+HISTOAVRIL25!AW23+HISTOMAI25!AW23+HISTOJUIN25!AW23+HISTOJUIL25!AW23+HISTOAOUT25!AW23+HISTOSEPT25!AW23+HISTOOCT25!AW23+HISTONOV25!AW23+HISTODEC25!AW23</f>
        <v>290000</v>
      </c>
      <c r="AX23" s="5">
        <f>HISTOJANV25!AX23+HISTOFEV25!AX23+HISTOMARS25!AX23+HISTOAVRIL25!AX23+HISTOMAI25!AX23+HISTOJUIN25!AX23+HISTOJUIL25!AX23+HISTOAOUT25!AX23+HISTOSEPT25!AX23+HISTOOCT25!AX23+HISTONOV25!AX23+HISTODEC25!AX23</f>
        <v>0</v>
      </c>
      <c r="AY23" s="5">
        <f>HISTOJANV25!AY23+HISTOFEV25!AY23+HISTOMARS25!AY23+HISTOAVRIL25!AY23+HISTOMAI25!AY23+HISTOJUIN25!AY23+HISTOJUIL25!AY23+HISTOAOUT25!AY23+HISTOSEPT25!AY23+HISTOOCT25!AY23+HISTONOV25!AY23+HISTODEC25!AY23</f>
        <v>0</v>
      </c>
      <c r="AZ23" s="5">
        <f>HISTOJANV25!AZ23+HISTOFEV25!AZ23+HISTOMARS25!AZ23+HISTOAVRIL25!AZ23+HISTOMAI25!AZ23+HISTOJUIN25!AZ23+HISTOJUIL25!AZ23+HISTOAOUT25!AZ23+HISTOSEPT25!AZ23+HISTOOCT25!AZ23+HISTONOV25!AZ23+HISTODEC25!AZ23</f>
        <v>390000</v>
      </c>
      <c r="BA23" s="5">
        <f>HISTOJANV25!BA23+HISTOFEV25!BA23+HISTOMARS25!BA23+HISTOAVRIL25!BA23+HISTOMAI25!BA23+HISTOJUIN25!BA23+HISTOJUIL25!BA23+HISTOAOUT25!BA23+HISTOSEPT25!BA23+HISTOOCT25!BA23+HISTONOV25!BA23+HISTODEC25!BA23</f>
        <v>0</v>
      </c>
      <c r="BB23" s="5">
        <f>HISTOJANV25!BB23+HISTOFEV25!BB23+HISTOMARS25!BB23+HISTOAVRIL25!BB23+HISTOMAI25!BB23+HISTOJUIN25!BB23+HISTOJUIL25!BB23+HISTOAOUT25!BB23+HISTOSEPT25!BB23+HISTOOCT25!BB23+HISTONOV25!BB23+HISTODEC25!BB23</f>
        <v>0</v>
      </c>
      <c r="BC23" s="5">
        <f>HISTOJANV25!BC23+HISTOFEV25!BC23+HISTOMARS25!BC23+HISTOAVRIL25!BC23+HISTOMAI25!BC23+HISTOJUIN25!BC23+HISTOJUIL25!BC23+HISTOAOUT25!BC23+HISTOSEPT25!BC23+HISTOOCT25!BC23+HISTONOV25!BC23+HISTODEC25!BC23</f>
        <v>0</v>
      </c>
      <c r="BD23" s="5">
        <f>HISTOJANV25!BD23+HISTOFEV25!BD23+HISTOMARS25!BD23+HISTOAVRIL25!BD23+HISTOMAI25!BD23+HISTOJUIN25!BD23+HISTOJUIL25!BD23+HISTOAOUT25!BD23+HISTOSEPT25!BD23+HISTOOCT25!BD23+HISTONOV25!BD23+HISTODEC25!BD23</f>
        <v>390000</v>
      </c>
      <c r="BE23" s="5"/>
      <c r="BF23" s="5">
        <f>HISTOJANV25!BF23+HISTOFEV25!BF23+HISTOMARS25!BF23+HISTOAVRIL25!BF23+HISTOMAI25!BF23+HISTOJUIN25!BF23+HISTOJUIL25!BF23+HISTOAOUT25!BF23+HISTOSEPT25!BF23+HISTOOCT25!BF23+HISTONOV25!BF23+HISTODEC25!BF23</f>
        <v>0</v>
      </c>
      <c r="BG23" s="5">
        <f>HISTOJANV25!BG23+HISTOFEV25!BG23+HISTOMARS25!BG23+HISTOAVRIL25!BG23+HISTOMAI25!BG23+HISTOJUIN25!BG23+HISTOJUIL25!BG23+HISTOAOUT25!BG23+HISTOSEPT25!BG23+HISTOOCT25!BG23+HISTONOV25!BG23+HISTODEC25!BG23</f>
        <v>67</v>
      </c>
      <c r="BH23" s="5">
        <f>HISTOJANV25!BH23+HISTOFEV25!BH23+HISTOMARS25!BH23+HISTOAVRIL25!BH23+HISTOMAI25!BH23+HISTOJUIN25!BH23+HISTOJUIL25!BH23+HISTOAOUT25!BH23+HISTOSEPT25!BH23+HISTOOCT25!BH23+HISTONOV25!BH23+HISTODEC25!BH23</f>
        <v>0</v>
      </c>
      <c r="BI23" s="5">
        <f>HISTOJANV25!BI23+HISTOFEV25!BI23+HISTOMARS25!BI23+HISTOAVRIL25!BI23+HISTOMAI25!BI23+HISTOJUIN25!BI23+HISTOJUIL25!BI23+HISTOAOUT25!BI23+HISTOSEPT25!BI23+HISTOOCT25!BI23+HISTONOV25!BI23+HISTODEC25!BI23</f>
        <v>0</v>
      </c>
      <c r="BJ23" s="5">
        <f>HISTOJANV25!BJ23+HISTOFEV25!BJ23+HISTOMARS25!BJ23+HISTOAVRIL25!BJ23+HISTOMAI25!BJ23+HISTOJUIN25!BJ23+HISTOJUIL25!BJ23+HISTOAOUT25!BJ23+HISTOSEPT25!BJ23+HISTOOCT25!BJ23+HISTONOV25!BJ23+HISTODEC25!BJ23</f>
        <v>0</v>
      </c>
      <c r="BK23" s="5">
        <f>HISTOJANV25!BK23+HISTOFEV25!BK23+HISTOMARS25!BK23+HISTOAVRIL25!BK23+HISTOMAI25!BK23+HISTOJUIN25!BK23+HISTOJUIL25!BK23+HISTOAOUT25!BK23+HISTOSEPT25!BK23+HISTOOCT25!BK23+HISTONOV25!BK23+HISTODEC25!BK23</f>
        <v>100000</v>
      </c>
      <c r="BL23" s="5">
        <f>HISTOJANV25!BL23+HISTOFEV25!BL23+HISTOMARS25!BL23+HISTOAVRIL25!BL23+HISTOMAI25!BL23+HISTOJUIN25!BL23+HISTOJUIL25!BL23+HISTOAOUT25!BL23+HISTOSEPT25!BL23+HISTOOCT25!BL23+HISTONOV25!BL23+HISTODEC25!BL23</f>
        <v>0</v>
      </c>
      <c r="BM23" s="5">
        <f>HISTOJANV25!BM23+HISTOFEV25!BM23+HISTOMARS25!BM23+HISTOAVRIL25!BM23+HISTOMAI25!BM23+HISTOJUIN25!BM23+HISTOJUIL25!BM23+HISTOAOUT25!BM23+HISTOSEPT25!BM23+HISTOOCT25!BM23+HISTONOV25!BM23+HISTODEC25!BM23</f>
        <v>0</v>
      </c>
      <c r="BN23" s="5">
        <f>HISTOJANV25!BN23+HISTOFEV25!BN23+HISTOMARS25!BN23+HISTOAVRIL25!BN23+HISTOMAI25!BN23+HISTOJUIN25!BN23+HISTOJUIL25!BN23+HISTOAOUT25!BN23+HISTOSEPT25!BN23+HISTOOCT25!BN23+HISTONOV25!BN23+HISTODEC25!BN23</f>
        <v>0</v>
      </c>
      <c r="BQ23" s="6"/>
    </row>
    <row r="24" spans="1:69" ht="18.5" x14ac:dyDescent="0.45">
      <c r="A24" s="1" t="s">
        <v>27</v>
      </c>
      <c r="B24" s="1" t="str">
        <f>VLOOKUP(A24,[5]LISTADHERENT!A$5:H$50,3,0)</f>
        <v>NANKAM APPOLINAIRE</v>
      </c>
      <c r="C24" s="5">
        <f>HISTOJANV25!C24+HISTOFEV25!C24+HISTOMARS25!C24+HISTOAVRIL25!C24+HISTOMAI25!C24+HISTOJUIN25!C24+HISTOJUIL25!C24+HISTOAOUT25!C24+HISTOSEPT25!C24+HISTOOCT25!C24+HISTONOV25!C24+HISTODEC25!C24</f>
        <v>26000</v>
      </c>
      <c r="D24" s="5">
        <f>HISTOJANV25!D24+HISTOFEV25!D24+HISTOMARS25!D24+HISTOAVRIL25!D24+HISTOMAI25!D24+HISTOJUIN25!D24+HISTOJUIL25!D24+HISTOAOUT25!D24+HISTOSEPT25!D24+HISTOOCT25!D24+HISTONOV25!D24+HISTODEC25!D24</f>
        <v>1500000</v>
      </c>
      <c r="E24" s="5">
        <f>HISTOJANV25!E24+HISTOFEV25!E24+HISTOMARS25!E24+HISTOAVRIL25!E24+HISTOMAI25!E24+HISTOJUIN25!E24+HISTOJUIL25!E24+HISTOAOUT25!E24+HISTOSEPT25!E24+HISTOOCT25!E24+HISTONOV25!E24+HISTODEC25!E24</f>
        <v>26000</v>
      </c>
      <c r="F24" s="5">
        <f>HISTOJANV25!F24+HISTOFEV25!F24+HISTOMARS25!F24+HISTOAVRIL25!F24+HISTOMAI25!F24+HISTOJUIN25!F24+HISTOJUIL25!F24+HISTOAOUT25!F24+HISTOSEPT25!F24+HISTOOCT25!F24+HISTONOV25!F24+HISTODEC25!F24</f>
        <v>1792500</v>
      </c>
      <c r="G24" s="5">
        <f>HISTOJANV25!G24+HISTOFEV25!G24+HISTOMARS25!G24+HISTOAVRIL25!G24+HISTOMAI25!G24+HISTOJUIN25!G24+HISTOJUIL25!G24+HISTOAOUT25!G24+HISTOSEPT25!G24+HISTOOCT25!G24+HISTONOV25!G24+HISTODEC25!G24</f>
        <v>892500</v>
      </c>
      <c r="H24" s="5">
        <f>HISTOJANV25!H24+HISTOFEV25!H24+HISTOMARS25!H24+HISTOAVRIL25!H24+HISTOMAI25!H24+HISTOJUIN25!H24+HISTOJUIL25!H24+HISTOAOUT25!H24+HISTOSEPT25!H24+HISTOOCT25!H24+HISTONOV25!H24+HISTODEC25!H24</f>
        <v>0</v>
      </c>
      <c r="I24" s="5"/>
      <c r="J24" s="5">
        <f>HISTOJANV25!J24+HISTOFEV25!J24+HISTOMARS25!J24+HISTOAVRIL25!J24+HISTOMAI25!J24+HISTOJUIN25!J24+HISTOJUIL25!J24+HISTOAOUT25!J24+HISTOSEPT25!J24+HISTOOCT25!J24+HISTONOV25!J24+HISTODEC25!J24</f>
        <v>12</v>
      </c>
      <c r="K24" s="5">
        <f>HISTOJANV25!K24+HISTOFEV25!K24+HISTOMARS25!K24+HISTOAVRIL25!K24+HISTOMAI25!K24+HISTOJUIN25!K24+HISTOJUIL25!K24+HISTOAOUT25!K24+HISTOSEPT25!K24+HISTOOCT25!K24+HISTONOV25!K24+HISTODEC25!K24</f>
        <v>600000</v>
      </c>
      <c r="L24" s="5">
        <f>HISTOJANV25!L24+HISTOFEV25!L24+HISTOMARS25!L24+HISTOAVRIL25!L24+HISTOMAI25!L24+HISTOJUIN25!L24+HISTOJUIL25!L24+HISTOAOUT25!L24+HISTOSEPT25!L24+HISTOOCT25!L24+HISTONOV25!L24+HISTODEC25!L24</f>
        <v>12</v>
      </c>
      <c r="M24" s="5">
        <f>HISTOJANV25!M24+HISTOFEV25!M24+HISTOMARS25!M24+HISTOAVRIL25!M24+HISTOMAI25!M24+HISTOJUIN25!M24+HISTOJUIL25!M24+HISTOAOUT25!M24+HISTOSEPT25!M24+HISTOOCT25!M24+HISTONOV25!M24+HISTODEC25!M24</f>
        <v>900000</v>
      </c>
      <c r="N24" s="5">
        <f>HISTOJANV25!N24+HISTOFEV25!N24+HISTOMARS25!N24+HISTOAVRIL25!N24+HISTOMAI25!N24+HISTOJUIN25!N24+HISTOJUIL25!N24+HISTOAOUT25!N24+HISTOSEPT25!N24+HISTOOCT25!N24+HISTONOV25!N24+HISTODEC25!N24</f>
        <v>0</v>
      </c>
      <c r="O24" s="5">
        <f>HISTOJANV25!O24+HISTOFEV25!O24+HISTOMARS25!O24+HISTOAVRIL25!O24+HISTOMAI25!O24+HISTOJUIN25!O24+HISTOJUIL25!O24+HISTOAOUT25!O24+HISTOSEPT25!O24+HISTOOCT25!O24+HISTONOV25!O24+HISTODEC25!O24</f>
        <v>0</v>
      </c>
      <c r="P24" s="5">
        <f>HISTOJANV25!P24+HISTOFEV25!P24+HISTOMARS25!P24+HISTOAVRIL25!P24+HISTOMAI25!P24+HISTOJUIN25!P24+HISTOJUIL25!P24+HISTOAOUT25!P24+HISTOSEPT25!P24+HISTOOCT25!P24+HISTONOV25!P24+HISTODEC25!P24</f>
        <v>0</v>
      </c>
      <c r="Q24" s="5">
        <f>HISTOJANV25!Q24+HISTOFEV25!Q24+HISTOMARS25!Q24+HISTOAVRIL25!Q24+HISTOMAI25!Q24+HISTOJUIN25!Q24+HISTOJUIL25!Q24+HISTOAOUT25!Q24+HISTOSEPT25!Q24+HISTOOCT25!Q24+HISTONOV25!Q24+HISTODEC25!Q24</f>
        <v>0</v>
      </c>
      <c r="R24" s="5">
        <f>HISTOJANV25!R24+HISTOFEV25!R24+HISTOMARS25!R24+HISTOAVRIL25!R24+HISTOMAI25!R24+HISTOJUIN25!R24+HISTOJUIL25!R24+HISTOAOUT25!R24+HISTOSEPT25!R24+HISTOOCT25!R24+HISTONOV25!R24+HISTODEC25!R24</f>
        <v>0</v>
      </c>
      <c r="S24" s="5">
        <f>HISTOJANV25!S24+HISTOFEV25!S24+HISTOMARS25!S24+HISTOAVRIL25!S24+HISTOMAI25!S24+HISTOJUIN25!S24+HISTOJUIL25!S24+HISTOAOUT25!S24+HISTOSEPT25!S24+HISTOOCT25!S24+HISTONOV25!S24+HISTODEC25!S24</f>
        <v>900000</v>
      </c>
      <c r="T24" s="5"/>
      <c r="U24" s="5">
        <f>HISTOJANV25!U24+HISTOFEV25!U24+HISTOMARS25!U24+HISTOAVRIL25!U24+HISTOMAI25!U24+HISTOJUIN25!U24+HISTOJUIL25!U24+HISTOAOUT25!U24+HISTOSEPT25!U24+HISTOOCT25!U24+HISTONOV25!U24+HISTODEC25!U24</f>
        <v>3292500</v>
      </c>
      <c r="V24" s="5">
        <f>HISTOJANV25!V24+HISTOFEV25!V24+HISTOMARS25!V24+HISTOAVRIL25!V24+HISTOMAI25!V24+HISTOJUIN25!V24+HISTOJUIL25!V24+HISTOAOUT25!V24+HISTOSEPT25!V24+HISTOOCT25!V24+HISTONOV25!V24+HISTODEC25!V24</f>
        <v>0</v>
      </c>
      <c r="W24" s="5">
        <f>HISTOJANV25!W24+HISTOFEV25!W24+HISTOMARS25!W24+HISTOAVRIL25!W24+HISTOMAI25!W24+HISTOJUIN25!W24+HISTOJUIL25!W24+HISTOAOUT25!W24+HISTOSEPT25!W24+HISTOOCT25!W24+HISTONOV25!W24+HISTODEC25!W24</f>
        <v>0</v>
      </c>
      <c r="X24" s="5">
        <f>HISTOJANV25!X24+HISTOFEV25!X24+HISTOMARS25!X24+HISTOAVRIL25!X24+HISTOMAI25!X24+HISTOJUIN25!X24+HISTOJUIL25!X24+HISTOAOUT25!X24+HISTOSEPT25!X24+HISTOOCT25!X24+HISTONOV25!X24+HISTODEC25!X24</f>
        <v>0</v>
      </c>
      <c r="Y24" s="5">
        <f>HISTOJANV25!Y24+HISTOFEV25!Y24+HISTOMARS25!Y24+HISTOAVRIL25!Y24+HISTOMAI25!Y24+HISTOJUIN25!Y24+HISTOJUIL25!Y24+HISTOAOUT25!Y24+HISTOSEPT25!Y24+HISTOOCT25!Y24+HISTONOV25!Y24+HISTODEC25!Y24</f>
        <v>1500000</v>
      </c>
      <c r="Z24" s="5">
        <f>HISTOJANV25!Z24+HISTOFEV25!Z24+HISTOMARS25!Z24+HISTOAVRIL25!Z24+HISTOMAI25!Z24+HISTOJUIN25!Z24+HISTOJUIL25!Z24+HISTOAOUT25!Z24+HISTOSEPT25!Z24+HISTOOCT25!Z24+HISTONOV25!Z24+HISTODEC25!Z24</f>
        <v>900000</v>
      </c>
      <c r="AA24" s="5"/>
      <c r="AB24" s="5">
        <f>HISTOJANV25!AB24+HISTOFEV25!AB24+HISTOMARS25!AB24+HISTOAVRIL25!AB24+HISTOMAI25!AB24+HISTOJUIN25!AB24+HISTOJUIL25!AB24+HISTOAOUT25!AB24+HISTOSEPT25!AB24+HISTOOCT25!AB24+HISTONOV25!AB24+HISTODEC25!AB24</f>
        <v>0</v>
      </c>
      <c r="AC24" s="5">
        <f>HISTOJANV25!AC24+HISTOFEV25!AC24+HISTOMARS25!AC24+HISTOAVRIL25!AC24+HISTOMAI25!AC24+HISTOJUIN25!AC24+HISTOJUIL25!AC24+HISTOAOUT25!AC24+HISTOSEPT25!AC24+HISTOOCT25!AC24+HISTONOV25!AC24+HISTODEC25!AC24</f>
        <v>2500</v>
      </c>
      <c r="AD24" s="5">
        <f>HISTOJANV25!AD24+HISTOFEV25!AD24+HISTOMARS25!AD24+HISTOAVRIL25!AD24+HISTOMAI25!AD24+HISTOJUIN25!AD24+HISTOJUIL25!AD24+HISTOAOUT25!AD24+HISTOSEPT25!AD24+HISTOOCT25!AD24+HISTONOV25!AD24+HISTODEC25!AD24</f>
        <v>7500</v>
      </c>
      <c r="AE24" s="5">
        <f>HISTOJANV25!AE24+HISTOFEV25!AE24+HISTOMARS25!AE24+HISTOAVRIL25!AE24+HISTOMAI25!AE24+HISTOJUIN25!AE24+HISTOJUIL25!AE24+HISTOAOUT25!AE24+HISTOSEPT25!AE24+HISTOOCT25!AE24+HISTONOV25!AE24+HISTODEC25!AE24</f>
        <v>0</v>
      </c>
      <c r="AF24" s="5"/>
      <c r="AG24" s="5">
        <f>HISTOJANV25!AG24+HISTOFEV25!AG24+HISTOMARS25!AG24+HISTOAVRIL25!AG24+HISTOMAI25!AG24+HISTOJUIN25!AG24+HISTOJUIL25!AG24+HISTOAOUT25!AG24+HISTOSEPT25!AG24+HISTOOCT25!AG24+HISTONOV25!AG24+HISTODEC25!AG24</f>
        <v>0</v>
      </c>
      <c r="AH24" s="5">
        <f>HISTOJANV25!AH24+HISTOFEV25!AH24+HISTOMARS25!AH24+HISTOAVRIL25!AH24+HISTOMAI25!AH24+HISTOJUIN25!AH24+HISTOJUIL25!AH24+HISTOAOUT25!AH24+HISTOSEPT25!AH24+HISTOOCT25!AH24+HISTONOV25!AH24+HISTODEC25!AH24</f>
        <v>0</v>
      </c>
      <c r="AI24" s="5">
        <f>HISTOJANV25!AI24+HISTOFEV25!AI24+HISTOMARS25!AI24+HISTOAVRIL25!AI24+HISTOMAI25!AI24+HISTOJUIN25!AI24+HISTOJUIL25!AI24+HISTOAOUT25!AI24+HISTOSEPT25!AI24+HISTOOCT25!AI24+HISTONOV25!AI24+HISTODEC25!AI24</f>
        <v>0</v>
      </c>
      <c r="AJ24" s="5">
        <f>HISTOJANV25!AJ24+HISTOFEV25!AJ24+HISTOMARS25!AJ24+HISTOAVRIL25!AJ24+HISTOMAI25!AJ24+HISTOJUIN25!AJ24+HISTOJUIL25!AJ24+HISTOAOUT25!AJ24+HISTOSEPT25!AJ24+HISTOOCT25!AJ24+HISTONOV25!AJ24+HISTODEC25!AJ24</f>
        <v>0</v>
      </c>
      <c r="AK24" s="5">
        <f>HISTOJANV25!AK24+HISTOFEV25!AK24+HISTOMARS25!AK24+HISTOAVRIL25!AK24+HISTOMAI25!AK24+HISTOJUIN25!AK24+HISTOJUIL25!AK24+HISTOAOUT25!AK24+HISTOSEPT25!AK24+HISTOOCT25!AK24+HISTONOV25!AK24+HISTODEC25!AK24</f>
        <v>0</v>
      </c>
      <c r="AL24" s="5">
        <f>HISTOJANV25!AL24+HISTOFEV25!AL24+HISTOMARS25!AL24+HISTOAVRIL25!AL24+HISTOMAI25!AL24+HISTOJUIN25!AL24+HISTOJUIL25!AL24+HISTOAOUT25!AL24+HISTOSEPT25!AL24+HISTOOCT25!AL24+HISTONOV25!AL24+HISTODEC25!AL24</f>
        <v>0</v>
      </c>
      <c r="AM24" s="5">
        <f>HISTOJANV25!AM24+HISTOFEV25!AM24+HISTOMARS25!AM24+HISTOAVRIL25!AM24+HISTOMAI25!AM24+HISTOJUIN25!AM24+HISTOJUIL25!AM24+HISTOAOUT25!AM24+HISTOSEPT25!AM24+HISTOOCT25!AM24+HISTONOV25!AM24+HISTODEC25!AM24</f>
        <v>0</v>
      </c>
      <c r="AN24" s="5">
        <f>HISTOJANV25!AN24+HISTOFEV25!AN24+HISTOMARS25!AN24+HISTOAVRIL25!AN24+HISTOMAI25!AN24+HISTOJUIN25!AN24+HISTOJUIL25!AN24+HISTOAOUT25!AN24+HISTOSEPT25!AN24+HISTOOCT25!AN24+HISTONOV25!AN24+HISTODEC25!AN24</f>
        <v>0</v>
      </c>
      <c r="AO24" s="5">
        <f>HISTOJANV25!AO24+HISTOFEV25!AO24+HISTOMARS25!AO24+HISTOAVRIL25!AO24+HISTOMAI25!AO24+HISTOJUIN25!AO24+HISTOJUIL25!AO24+HISTOAOUT25!AO24+HISTOSEPT25!AO24+HISTOOCT25!AO24+HISTONOV25!AO24+HISTODEC25!AO24</f>
        <v>0</v>
      </c>
      <c r="AP24" s="5"/>
      <c r="AQ24" s="5">
        <f>HISTOJANV25!AQ24+HISTOFEV25!AQ24+HISTOMARS25!AQ24+HISTOAVRIL25!AQ24+HISTOMAI25!AQ24+HISTOJUIN25!AQ24+HISTOJUIL25!AQ24+HISTOAOUT25!AQ24+HISTOSEPT25!AQ24+HISTOOCT25!AQ24+HISTONOV25!AQ24+HISTODEC25!AQ24</f>
        <v>0</v>
      </c>
      <c r="AR24" s="5">
        <f>HISTOJANV25!AR24+HISTOFEV25!AR24+HISTOMARS25!AR24+HISTOAVRIL25!AR24+HISTOMAI25!AR24+HISTOJUIN25!AR24+HISTOJUIL25!AR24+HISTOAOUT25!AR24+HISTOSEPT25!AR24+HISTOOCT25!AR24+HISTONOV25!AR24+HISTODEC25!AR24</f>
        <v>0</v>
      </c>
      <c r="AS24" s="5">
        <f>HISTOJANV25!AS24+HISTOFEV25!AS24+HISTOMARS25!AS24+HISTOAVRIL25!AS24+HISTOMAI25!AS24+HISTOJUIN25!AS24+HISTOJUIL25!AS24+HISTOAOUT25!AS24+HISTOSEPT25!AS24+HISTOOCT25!AS24+HISTONOV25!AS24+HISTODEC25!AS24</f>
        <v>1192500</v>
      </c>
      <c r="AT24" s="5">
        <f>HISTOJANV25!AT24+HISTOFEV25!AT24+HISTOMARS25!AT24+HISTOAVRIL25!AT24+HISTOMAI25!AT24+HISTOJUIN25!AT24+HISTOJUIL25!AT24+HISTOAOUT25!AT24+HISTOSEPT25!AT24+HISTOOCT25!AT24+HISTONOV25!AT24+HISTODEC25!AT24</f>
        <v>0</v>
      </c>
      <c r="AU24" s="5">
        <f>HISTOJANV25!AU24+HISTOFEV25!AU24+HISTOMARS25!AU24+HISTOAVRIL25!AU24+HISTOMAI25!AU24+HISTOJUIN25!AU24+HISTOJUIL25!AU24+HISTOAOUT25!AU24+HISTOSEPT25!AU24+HISTOOCT25!AU24+HISTONOV25!AU24+HISTODEC25!AU24</f>
        <v>0</v>
      </c>
      <c r="AV24" s="5">
        <f>HISTOJANV25!AV24+HISTOFEV25!AV24+HISTOMARS25!AV24+HISTOAVRIL25!AV24+HISTOMAI25!AV24+HISTOJUIN25!AV24+HISTOJUIL25!AV24+HISTOAOUT25!AV24+HISTOSEPT25!AV24+HISTOOCT25!AV24+HISTONOV25!AV24+HISTODEC25!AV24</f>
        <v>1200000</v>
      </c>
      <c r="AW24" s="5">
        <f>HISTOJANV25!AW24+HISTOFEV25!AW24+HISTOMARS25!AW24+HISTOAVRIL25!AW24+HISTOMAI25!AW24+HISTOJUIN25!AW24+HISTOJUIL25!AW24+HISTOAOUT25!AW24+HISTOSEPT25!AW24+HISTOOCT25!AW24+HISTONOV25!AW24+HISTODEC25!AW24</f>
        <v>297500</v>
      </c>
      <c r="AX24" s="5">
        <f>HISTOJANV25!AX24+HISTOFEV25!AX24+HISTOMARS25!AX24+HISTOAVRIL25!AX24+HISTOMAI25!AX24+HISTOJUIN25!AX24+HISTOJUIL25!AX24+HISTOAOUT25!AX24+HISTOSEPT25!AX24+HISTOOCT25!AX24+HISTONOV25!AX24+HISTODEC25!AX24</f>
        <v>892500</v>
      </c>
      <c r="AY24" s="5">
        <f>HISTOJANV25!AY24+HISTOFEV25!AY24+HISTOMARS25!AY24+HISTOAVRIL25!AY24+HISTOMAI25!AY24+HISTOJUIN25!AY24+HISTOJUIL25!AY24+HISTOAOUT25!AY24+HISTOSEPT25!AY24+HISTOOCT25!AY24+HISTONOV25!AY24+HISTODEC25!AY24</f>
        <v>0</v>
      </c>
      <c r="AZ24" s="5">
        <f>HISTOJANV25!AZ24+HISTOFEV25!AZ24+HISTOMARS25!AZ24+HISTOAVRIL25!AZ24+HISTOMAI25!AZ24+HISTOJUIN25!AZ24+HISTOJUIL25!AZ24+HISTOAOUT25!AZ24+HISTOSEPT25!AZ24+HISTOOCT25!AZ24+HISTONOV25!AZ24+HISTODEC25!AZ24</f>
        <v>3042000</v>
      </c>
      <c r="BA24" s="5">
        <f>HISTOJANV25!BA24+HISTOFEV25!BA24+HISTOMARS25!BA24+HISTOAVRIL25!BA24+HISTOMAI25!BA24+HISTOJUIN25!BA24+HISTOJUIL25!BA24+HISTOAOUT25!BA24+HISTOSEPT25!BA24+HISTOOCT25!BA24+HISTONOV25!BA24+HISTODEC25!BA24</f>
        <v>329500</v>
      </c>
      <c r="BB24" s="5">
        <f>HISTOJANV25!BB24+HISTOFEV25!BB24+HISTOMARS25!BB24+HISTOAVRIL25!BB24+HISTOMAI25!BB24+HISTOJUIN25!BB24+HISTOJUIL25!BB24+HISTOAOUT25!BB24+HISTOSEPT25!BB24+HISTOOCT25!BB24+HISTONOV25!BB24+HISTODEC25!BB24</f>
        <v>0</v>
      </c>
      <c r="BC24" s="5">
        <f>HISTOJANV25!BC24+HISTOFEV25!BC24+HISTOMARS25!BC24+HISTOAVRIL25!BC24+HISTOMAI25!BC24+HISTOJUIN25!BC24+HISTOJUIL25!BC24+HISTOAOUT25!BC24+HISTOSEPT25!BC24+HISTOOCT25!BC24+HISTONOV25!BC24+HISTODEC25!BC24</f>
        <v>1792500</v>
      </c>
      <c r="BD24" s="5">
        <f>HISTOJANV25!BD24+HISTOFEV25!BD24+HISTOMARS25!BD24+HISTOAVRIL25!BD24+HISTOMAI25!BD24+HISTOJUIN25!BD24+HISTOJUIL25!BD24+HISTOAOUT25!BD24+HISTOSEPT25!BD24+HISTOOCT25!BD24+HISTONOV25!BD24+HISTODEC25!BD24</f>
        <v>1812500</v>
      </c>
      <c r="BE24" s="5"/>
      <c r="BF24" s="5">
        <f>HISTOJANV25!BF24+HISTOFEV25!BF24+HISTOMARS25!BF24+HISTOAVRIL25!BF24+HISTOMAI25!BF24+HISTOJUIN25!BF24+HISTOJUIL25!BF24+HISTOAOUT25!BF24+HISTOSEPT25!BF24+HISTOOCT25!BF24+HISTONOV25!BF24+HISTODEC25!BF24</f>
        <v>108000</v>
      </c>
      <c r="BG24" s="5">
        <f>HISTOJANV25!BG24+HISTOFEV25!BG24+HISTOMARS25!BG24+HISTOAVRIL25!BG24+HISTOMAI25!BG24+HISTOJUIN25!BG24+HISTOJUIL25!BG24+HISTOAOUT25!BG24+HISTOSEPT25!BG24+HISTOOCT25!BG24+HISTONOV25!BG24+HISTODEC25!BG24</f>
        <v>78</v>
      </c>
      <c r="BH24" s="5">
        <f>HISTOJANV25!BH24+HISTOFEV25!BH24+HISTOMARS25!BH24+HISTOAVRIL25!BH24+HISTOMAI25!BH24+HISTOJUIN25!BH24+HISTOJUIL25!BH24+HISTOAOUT25!BH24+HISTOSEPT25!BH24+HISTOOCT25!BH24+HISTONOV25!BH24+HISTODEC25!BH24</f>
        <v>0</v>
      </c>
      <c r="BI24" s="5">
        <f>HISTOJANV25!BI24+HISTOFEV25!BI24+HISTOMARS25!BI24+HISTOAVRIL25!BI24+HISTOMAI25!BI24+HISTOJUIN25!BI24+HISTOJUIL25!BI24+HISTOAOUT25!BI24+HISTOSEPT25!BI24+HISTOOCT25!BI24+HISTONOV25!BI24+HISTODEC25!BI24</f>
        <v>0</v>
      </c>
      <c r="BJ24" s="5">
        <f>HISTOJANV25!BJ24+HISTOFEV25!BJ24+HISTOMARS25!BJ24+HISTOAVRIL25!BJ24+HISTOMAI25!BJ24+HISTOJUIN25!BJ24+HISTOJUIL25!BJ24+HISTOAOUT25!BJ24+HISTOSEPT25!BJ24+HISTOOCT25!BJ24+HISTONOV25!BJ24+HISTODEC25!BJ24</f>
        <v>0</v>
      </c>
      <c r="BK24" s="5">
        <f>HISTOJANV25!BK24+HISTOFEV25!BK24+HISTOMARS25!BK24+HISTOAVRIL25!BK24+HISTOMAI25!BK24+HISTOJUIN25!BK24+HISTOJUIL25!BK24+HISTOAOUT25!BK24+HISTOSEPT25!BK24+HISTOOCT25!BK24+HISTONOV25!BK24+HISTODEC25!BK24</f>
        <v>0</v>
      </c>
      <c r="BL24" s="5">
        <f>HISTOJANV25!BL24+HISTOFEV25!BL24+HISTOMARS25!BL24+HISTOAVRIL25!BL24+HISTOMAI25!BL24+HISTOJUIN25!BL24+HISTOJUIL25!BL24+HISTOAOUT25!BL24+HISTOSEPT25!BL24+HISTOOCT25!BL24+HISTONOV25!BL24+HISTODEC25!BL24</f>
        <v>0</v>
      </c>
      <c r="BM24" s="5">
        <f>HISTOJANV25!BM24+HISTOFEV25!BM24+HISTOMARS25!BM24+HISTOAVRIL25!BM24+HISTOMAI25!BM24+HISTOJUIN25!BM24+HISTOJUIL25!BM24+HISTOAOUT25!BM24+HISTOSEPT25!BM24+HISTOOCT25!BM24+HISTONOV25!BM24+HISTODEC25!BM24</f>
        <v>0</v>
      </c>
      <c r="BN24" s="5">
        <f>HISTOJANV25!BN24+HISTOFEV25!BN24+HISTOMARS25!BN24+HISTOAVRIL25!BN24+HISTOMAI25!BN24+HISTOJUIN25!BN24+HISTOJUIL25!BN24+HISTOAOUT25!BN24+HISTOSEPT25!BN24+HISTOOCT25!BN24+HISTONOV25!BN24+HISTODEC25!BN24</f>
        <v>0</v>
      </c>
      <c r="BO24" s="62" t="s">
        <v>142</v>
      </c>
      <c r="BQ24" s="62">
        <f>SUM(BQ19:BQ23)</f>
        <v>0</v>
      </c>
    </row>
    <row r="25" spans="1:69" ht="17.5" x14ac:dyDescent="0.35">
      <c r="A25" s="1" t="s">
        <v>28</v>
      </c>
      <c r="B25" s="1" t="str">
        <f>VLOOKUP(A25,[5]LISTADHERENT!A$5:H$50,3,0)</f>
        <v>NDJOMO ETIENNE</v>
      </c>
      <c r="C25" s="5">
        <f>HISTOJANV25!C25+HISTOFEV25!C25+HISTOMARS25!C25+HISTOAVRIL25!C25+HISTOMAI25!C25+HISTOJUIN25!C25+HISTOJUIL25!C25+HISTOAOUT25!C25+HISTOSEPT25!C25+HISTOOCT25!C25+HISTONOV25!C25+HISTODEC25!C25</f>
        <v>-785500</v>
      </c>
      <c r="D25" s="5">
        <f>HISTOJANV25!D25+HISTOFEV25!D25+HISTOMARS25!D25+HISTOAVRIL25!D25+HISTOMAI25!D25+HISTOJUIN25!D25+HISTOJUIL25!D25+HISTOAOUT25!D25+HISTOSEPT25!D25+HISTOOCT25!D25+HISTONOV25!D25+HISTODEC25!D25</f>
        <v>4468000</v>
      </c>
      <c r="E25" s="5">
        <f>HISTOJANV25!E25+HISTOFEV25!E25+HISTOMARS25!E25+HISTOAVRIL25!E25+HISTOMAI25!E25+HISTOJUIN25!E25+HISTOJUIL25!E25+HISTOAOUT25!E25+HISTOSEPT25!E25+HISTOOCT25!E25+HISTONOV25!E25+HISTODEC25!E25</f>
        <v>508000</v>
      </c>
      <c r="F25" s="5">
        <f>HISTOJANV25!F25+HISTOFEV25!F25+HISTOMARS25!F25+HISTOAVRIL25!F25+HISTOMAI25!F25+HISTOJUIN25!F25+HISTOJUIL25!F25+HISTOAOUT25!F25+HISTOSEPT25!F25+HISTOOCT25!F25+HISTONOV25!F25+HISTODEC25!F25</f>
        <v>0</v>
      </c>
      <c r="G25" s="5">
        <f>HISTOJANV25!G25+HISTOFEV25!G25+HISTOMARS25!G25+HISTOAVRIL25!G25+HISTOMAI25!G25+HISTOJUIN25!G25+HISTOJUIL25!G25+HISTOAOUT25!G25+HISTOSEPT25!G25+HISTOOCT25!G25+HISTONOV25!G25+HISTODEC25!G25</f>
        <v>120000</v>
      </c>
      <c r="H25" s="5">
        <f>HISTOJANV25!H25+HISTOFEV25!H25+HISTOMARS25!H25+HISTOAVRIL25!H25+HISTOMAI25!H25+HISTOJUIN25!H25+HISTOJUIL25!H25+HISTOAOUT25!H25+HISTOSEPT25!H25+HISTOOCT25!H25+HISTONOV25!H25+HISTODEC25!H25</f>
        <v>0</v>
      </c>
      <c r="I25" s="5"/>
      <c r="J25" s="5">
        <f>HISTOJANV25!J25+HISTOFEV25!J25+HISTOMARS25!J25+HISTOAVRIL25!J25+HISTOMAI25!J25+HISTOJUIN25!J25+HISTOJUIL25!J25+HISTOAOUT25!J25+HISTOSEPT25!J25+HISTOOCT25!J25+HISTONOV25!J25+HISTODEC25!J25</f>
        <v>12</v>
      </c>
      <c r="K25" s="5">
        <f>HISTOJANV25!K25+HISTOFEV25!K25+HISTOMARS25!K25+HISTOAVRIL25!K25+HISTOMAI25!K25+HISTOJUIN25!K25+HISTOJUIL25!K25+HISTOAOUT25!K25+HISTOSEPT25!K25+HISTOOCT25!K25+HISTONOV25!K25+HISTODEC25!K25</f>
        <v>600000</v>
      </c>
      <c r="L25" s="5">
        <f>HISTOJANV25!L25+HISTOFEV25!L25+HISTOMARS25!L25+HISTOAVRIL25!L25+HISTOMAI25!L25+HISTOJUIN25!L25+HISTOJUIL25!L25+HISTOAOUT25!L25+HISTOSEPT25!L25+HISTOOCT25!L25+HISTONOV25!L25+HISTODEC25!L25</f>
        <v>0</v>
      </c>
      <c r="M25" s="5">
        <f>HISTOJANV25!M25+HISTOFEV25!M25+HISTOMARS25!M25+HISTOAVRIL25!M25+HISTOMAI25!M25+HISTOJUIN25!M25+HISTOJUIL25!M25+HISTOAOUT25!M25+HISTOSEPT25!M25+HISTOOCT25!M25+HISTONOV25!M25+HISTODEC25!M25</f>
        <v>0</v>
      </c>
      <c r="N25" s="5">
        <f>HISTOJANV25!N25+HISTOFEV25!N25+HISTOMARS25!N25+HISTOAVRIL25!N25+HISTOMAI25!N25+HISTOJUIN25!N25+HISTOJUIL25!N25+HISTOAOUT25!N25+HISTOSEPT25!N25+HISTOOCT25!N25+HISTONOV25!N25+HISTODEC25!N25</f>
        <v>24</v>
      </c>
      <c r="O25" s="5">
        <f>HISTOJANV25!O25+HISTOFEV25!O25+HISTOMARS25!O25+HISTOAVRIL25!O25+HISTOMAI25!O25+HISTOJUIN25!O25+HISTOJUIL25!O25+HISTOAOUT25!O25+HISTOSEPT25!O25+HISTOOCT25!O25+HISTONOV25!O25+HISTODEC25!O25</f>
        <v>2400000</v>
      </c>
      <c r="P25" s="5">
        <f>HISTOJANV25!P25+HISTOFEV25!P25+HISTOMARS25!P25+HISTOAVRIL25!P25+HISTOMAI25!P25+HISTOJUIN25!P25+HISTOJUIL25!P25+HISTOAOUT25!P25+HISTOSEPT25!P25+HISTOOCT25!P25+HISTONOV25!P25+HISTODEC25!P25</f>
        <v>0</v>
      </c>
      <c r="Q25" s="5">
        <f>HISTOJANV25!Q25+HISTOFEV25!Q25+HISTOMARS25!Q25+HISTOAVRIL25!Q25+HISTOMAI25!Q25+HISTOJUIN25!Q25+HISTOJUIL25!Q25+HISTOAOUT25!Q25+HISTOSEPT25!Q25+HISTOOCT25!Q25+HISTONOV25!Q25+HISTODEC25!Q25</f>
        <v>0</v>
      </c>
      <c r="R25" s="5">
        <f>HISTOJANV25!R25+HISTOFEV25!R25+HISTOMARS25!R25+HISTOAVRIL25!R25+HISTOMAI25!R25+HISTOJUIN25!R25+HISTOJUIL25!R25+HISTOAOUT25!R25+HISTOSEPT25!R25+HISTOOCT25!R25+HISTONOV25!R25+HISTODEC25!R25</f>
        <v>1626500</v>
      </c>
      <c r="S25" s="5">
        <f>HISTOJANV25!S25+HISTOFEV25!S25+HISTOMARS25!S25+HISTOAVRIL25!S25+HISTOMAI25!S25+HISTOJUIN25!S25+HISTOJUIL25!S25+HISTOAOUT25!S25+HISTOSEPT25!S25+HISTOOCT25!S25+HISTONOV25!S25+HISTODEC25!S25</f>
        <v>1000000</v>
      </c>
      <c r="T25" s="5"/>
      <c r="U25" s="5">
        <f>HISTOJANV25!U25+HISTOFEV25!U25+HISTOMARS25!U25+HISTOAVRIL25!U25+HISTOMAI25!U25+HISTOJUIN25!U25+HISTOJUIL25!U25+HISTOAOUT25!U25+HISTOSEPT25!U25+HISTOOCT25!U25+HISTONOV25!U25+HISTODEC25!U25</f>
        <v>5746500</v>
      </c>
      <c r="V25" s="5">
        <f>HISTOJANV25!V25+HISTOFEV25!V25+HISTOMARS25!V25+HISTOAVRIL25!V25+HISTOMAI25!V25+HISTOJUIN25!V25+HISTOJUIL25!V25+HISTOAOUT25!V25+HISTOSEPT25!V25+HISTOOCT25!V25+HISTONOV25!V25+HISTODEC25!V25</f>
        <v>0</v>
      </c>
      <c r="W25" s="5">
        <f>HISTOJANV25!W25+HISTOFEV25!W25+HISTOMARS25!W25+HISTOAVRIL25!W25+HISTOMAI25!W25+HISTOJUIN25!W25+HISTOJUIL25!W25+HISTOAOUT25!W25+HISTOSEPT25!W25+HISTOOCT25!W25+HISTONOV25!W25+HISTODEC25!W25</f>
        <v>0</v>
      </c>
      <c r="X25" s="5">
        <f>HISTOJANV25!X25+HISTOFEV25!X25+HISTOMARS25!X25+HISTOAVRIL25!X25+HISTOMAI25!X25+HISTOJUIN25!X25+HISTOJUIL25!X25+HISTOAOUT25!X25+HISTOSEPT25!X25+HISTOOCT25!X25+HISTONOV25!X25+HISTODEC25!X25</f>
        <v>0</v>
      </c>
      <c r="Y25" s="5">
        <f>HISTOJANV25!Y25+HISTOFEV25!Y25+HISTOMARS25!Y25+HISTOAVRIL25!Y25+HISTOMAI25!Y25+HISTOJUIN25!Y25+HISTOJUIL25!Y25+HISTOAOUT25!Y25+HISTOSEPT25!Y25+HISTOOCT25!Y25+HISTONOV25!Y25+HISTODEC25!Y25</f>
        <v>3000000</v>
      </c>
      <c r="Z25" s="5">
        <f>HISTOJANV25!Z25+HISTOFEV25!Z25+HISTOMARS25!Z25+HISTOAVRIL25!Z25+HISTOMAI25!Z25+HISTOJUIN25!Z25+HISTOJUIL25!Z25+HISTOAOUT25!Z25+HISTOSEPT25!Z25+HISTOOCT25!Z25+HISTONOV25!Z25+HISTODEC25!Z25</f>
        <v>1000000</v>
      </c>
      <c r="AA25" s="5"/>
      <c r="AB25" s="5">
        <f>HISTOJANV25!AB25+HISTOFEV25!AB25+HISTOMARS25!AB25+HISTOAVRIL25!AB25+HISTOMAI25!AB25+HISTOJUIN25!AB25+HISTOJUIL25!AB25+HISTOAOUT25!AB25+HISTOSEPT25!AB25+HISTOOCT25!AB25+HISTONOV25!AB25+HISTODEC25!AB25</f>
        <v>0</v>
      </c>
      <c r="AC25" s="5">
        <f>HISTOJANV25!AC25+HISTOFEV25!AC25+HISTOMARS25!AC25+HISTOAVRIL25!AC25+HISTOMAI25!AC25+HISTOJUIN25!AC25+HISTOJUIL25!AC25+HISTOAOUT25!AC25+HISTOSEPT25!AC25+HISTOOCT25!AC25+HISTONOV25!AC25+HISTODEC25!AC25</f>
        <v>2500</v>
      </c>
      <c r="AD25" s="5">
        <f>HISTOJANV25!AD25+HISTOFEV25!AD25+HISTOMARS25!AD25+HISTOAVRIL25!AD25+HISTOMAI25!AD25+HISTOJUIN25!AD25+HISTOJUIL25!AD25+HISTOAOUT25!AD25+HISTOSEPT25!AD25+HISTOOCT25!AD25+HISTONOV25!AD25+HISTODEC25!AD25</f>
        <v>0</v>
      </c>
      <c r="AE25" s="5">
        <f>HISTOJANV25!AE25+HISTOFEV25!AE25+HISTOMARS25!AE25+HISTOAVRIL25!AE25+HISTOMAI25!AE25+HISTOJUIN25!AE25+HISTOJUIL25!AE25+HISTOAOUT25!AE25+HISTOSEPT25!AE25+HISTOOCT25!AE25+HISTONOV25!AE25+HISTODEC25!AE25</f>
        <v>20000</v>
      </c>
      <c r="AF25" s="5"/>
      <c r="AG25" s="5">
        <f>HISTOJANV25!AG25+HISTOFEV25!AG25+HISTOMARS25!AG25+HISTOAVRIL25!AG25+HISTOMAI25!AG25+HISTOJUIN25!AG25+HISTOJUIL25!AG25+HISTOAOUT25!AG25+HISTOSEPT25!AG25+HISTOOCT25!AG25+HISTONOV25!AG25+HISTODEC25!AG25</f>
        <v>0</v>
      </c>
      <c r="AH25" s="5">
        <f>HISTOJANV25!AH25+HISTOFEV25!AH25+HISTOMARS25!AH25+HISTOAVRIL25!AH25+HISTOMAI25!AH25+HISTOJUIN25!AH25+HISTOJUIL25!AH25+HISTOAOUT25!AH25+HISTOSEPT25!AH25+HISTOOCT25!AH25+HISTONOV25!AH25+HISTODEC25!AH25</f>
        <v>0</v>
      </c>
      <c r="AI25" s="5">
        <f>HISTOJANV25!AI25+HISTOFEV25!AI25+HISTOMARS25!AI25+HISTOAVRIL25!AI25+HISTOMAI25!AI25+HISTOJUIN25!AI25+HISTOJUIL25!AI25+HISTOAOUT25!AI25+HISTOSEPT25!AI25+HISTOOCT25!AI25+HISTONOV25!AI25+HISTODEC25!AI25</f>
        <v>0</v>
      </c>
      <c r="AJ25" s="5">
        <f>HISTOJANV25!AJ25+HISTOFEV25!AJ25+HISTOMARS25!AJ25+HISTOAVRIL25!AJ25+HISTOMAI25!AJ25+HISTOJUIN25!AJ25+HISTOJUIL25!AJ25+HISTOAOUT25!AJ25+HISTOSEPT25!AJ25+HISTOOCT25!AJ25+HISTONOV25!AJ25+HISTODEC25!AJ25</f>
        <v>0</v>
      </c>
      <c r="AK25" s="5">
        <f>HISTOJANV25!AK25+HISTOFEV25!AK25+HISTOMARS25!AK25+HISTOAVRIL25!AK25+HISTOMAI25!AK25+HISTOJUIN25!AK25+HISTOJUIL25!AK25+HISTOAOUT25!AK25+HISTOSEPT25!AK25+HISTOOCT25!AK25+HISTONOV25!AK25+HISTODEC25!AK25</f>
        <v>1593000</v>
      </c>
      <c r="AL25" s="5">
        <f>HISTOJANV25!AL25+HISTOFEV25!AL25+HISTOMARS25!AL25+HISTOAVRIL25!AL25+HISTOMAI25!AL25+HISTOJUIN25!AL25+HISTOJUIL25!AL25+HISTOAOUT25!AL25+HISTOSEPT25!AL25+HISTOOCT25!AL25+HISTONOV25!AL25+HISTODEC25!AL25</f>
        <v>0</v>
      </c>
      <c r="AM25" s="5">
        <f>HISTOJANV25!AM25+HISTOFEV25!AM25+HISTOMARS25!AM25+HISTOAVRIL25!AM25+HISTOMAI25!AM25+HISTOJUIN25!AM25+HISTOJUIL25!AM25+HISTOAOUT25!AM25+HISTOSEPT25!AM25+HISTOOCT25!AM25+HISTONOV25!AM25+HISTODEC25!AM25</f>
        <v>0</v>
      </c>
      <c r="AN25" s="5">
        <f>HISTOJANV25!AN25+HISTOFEV25!AN25+HISTOMARS25!AN25+HISTOAVRIL25!AN25+HISTOMAI25!AN25+HISTOJUIN25!AN25+HISTOJUIL25!AN25+HISTOAOUT25!AN25+HISTOSEPT25!AN25+HISTOOCT25!AN25+HISTONOV25!AN25+HISTODEC25!AN25</f>
        <v>29500</v>
      </c>
      <c r="AO25" s="5">
        <f>HISTOJANV25!AO25+HISTOFEV25!AO25+HISTOMARS25!AO25+HISTOAVRIL25!AO25+HISTOMAI25!AO25+HISTOJUIN25!AO25+HISTOJUIL25!AO25+HISTOAOUT25!AO25+HISTOSEPT25!AO25+HISTOOCT25!AO25+HISTONOV25!AO25+HISTODEC25!AO25</f>
        <v>0</v>
      </c>
      <c r="AP25" s="5"/>
      <c r="AQ25" s="5">
        <f>HISTOJANV25!AQ25+HISTOFEV25!AQ25+HISTOMARS25!AQ25+HISTOAVRIL25!AQ25+HISTOMAI25!AQ25+HISTOJUIN25!AQ25+HISTOJUIL25!AQ25+HISTOAOUT25!AQ25+HISTOSEPT25!AQ25+HISTOOCT25!AQ25+HISTONOV25!AQ25+HISTODEC25!AQ25</f>
        <v>0</v>
      </c>
      <c r="AR25" s="5">
        <f>HISTOJANV25!AR25+HISTOFEV25!AR25+HISTOMARS25!AR25+HISTOAVRIL25!AR25+HISTOMAI25!AR25+HISTOJUIN25!AR25+HISTOJUIL25!AR25+HISTOAOUT25!AR25+HISTOSEPT25!AR25+HISTOOCT25!AR25+HISTONOV25!AR25+HISTODEC25!AR25</f>
        <v>0</v>
      </c>
      <c r="AS25" s="5">
        <f>HISTOJANV25!AS25+HISTOFEV25!AS25+HISTOMARS25!AS25+HISTOAVRIL25!AS25+HISTOMAI25!AS25+HISTOJUIN25!AS25+HISTOJUIL25!AS25+HISTOAOUT25!AS25+HISTOSEPT25!AS25+HISTOOCT25!AS25+HISTONOV25!AS25+HISTODEC25!AS25</f>
        <v>420000</v>
      </c>
      <c r="AT25" s="5">
        <f>HISTOJANV25!AT25+HISTOFEV25!AT25+HISTOMARS25!AT25+HISTOAVRIL25!AT25+HISTOMAI25!AT25+HISTOJUIN25!AT25+HISTOJUIL25!AT25+HISTOAOUT25!AT25+HISTOSEPT25!AT25+HISTOOCT25!AT25+HISTONOV25!AT25+HISTODEC25!AT25</f>
        <v>0</v>
      </c>
      <c r="AU25" s="5">
        <f>HISTOJANV25!AU25+HISTOFEV25!AU25+HISTOMARS25!AU25+HISTOAVRIL25!AU25+HISTOMAI25!AU25+HISTOJUIN25!AU25+HISTOJUIL25!AU25+HISTOAOUT25!AU25+HISTOSEPT25!AU25+HISTOOCT25!AU25+HISTONOV25!AU25+HISTODEC25!AU25</f>
        <v>0</v>
      </c>
      <c r="AV25" s="5">
        <f>HISTOJANV25!AV25+HISTOFEV25!AV25+HISTOMARS25!AV25+HISTOAVRIL25!AV25+HISTOMAI25!AV25+HISTOJUIN25!AV25+HISTOJUIL25!AV25+HISTOAOUT25!AV25+HISTOSEPT25!AV25+HISTOOCT25!AV25+HISTONOV25!AV25+HISTODEC25!AV25</f>
        <v>0</v>
      </c>
      <c r="AW25" s="5">
        <f>HISTOJANV25!AW25+HISTOFEV25!AW25+HISTOMARS25!AW25+HISTOAVRIL25!AW25+HISTOMAI25!AW25+HISTOJUIN25!AW25+HISTOJUIL25!AW25+HISTOAOUT25!AW25+HISTOSEPT25!AW25+HISTOOCT25!AW25+HISTONOV25!AW25+HISTODEC25!AW25</f>
        <v>297500</v>
      </c>
      <c r="AX25" s="5">
        <f>HISTOJANV25!AX25+HISTOFEV25!AX25+HISTOMARS25!AX25+HISTOAVRIL25!AX25+HISTOMAI25!AX25+HISTOJUIN25!AX25+HISTOJUIL25!AX25+HISTOAOUT25!AX25+HISTOSEPT25!AX25+HISTOOCT25!AX25+HISTONOV25!AX25+HISTODEC25!AX25</f>
        <v>0</v>
      </c>
      <c r="AY25" s="5">
        <f>HISTOJANV25!AY25+HISTOFEV25!AY25+HISTOMARS25!AY25+HISTOAVRIL25!AY25+HISTOMAI25!AY25+HISTOJUIN25!AY25+HISTOJUIL25!AY25+HISTOAOUT25!AY25+HISTOSEPT25!AY25+HISTOOCT25!AY25+HISTONOV25!AY25+HISTODEC25!AY25</f>
        <v>3973000</v>
      </c>
      <c r="AZ25" s="5">
        <f>HISTOJANV25!AZ25+HISTOFEV25!AZ25+HISTOMARS25!AZ25+HISTOAVRIL25!AZ25+HISTOMAI25!AZ25+HISTOJUIN25!AZ25+HISTOJUIL25!AZ25+HISTOAOUT25!AZ25+HISTOSEPT25!AZ25+HISTOOCT25!AZ25+HISTONOV25!AZ25+HISTODEC25!AZ25</f>
        <v>5240500</v>
      </c>
      <c r="BA25" s="5">
        <f>HISTOJANV25!BA25+HISTOFEV25!BA25+HISTOMARS25!BA25+HISTOAVRIL25!BA25+HISTOMAI25!BA25+HISTOJUIN25!BA25+HISTOJUIL25!BA25+HISTOAOUT25!BA25+HISTOSEPT25!BA25+HISTOOCT25!BA25+HISTONOV25!BA25+HISTODEC25!BA25</f>
        <v>476500</v>
      </c>
      <c r="BB25" s="5">
        <f>HISTOJANV25!BB25+HISTOFEV25!BB25+HISTOMARS25!BB25+HISTOAVRIL25!BB25+HISTOMAI25!BB25+HISTOJUIN25!BB25+HISTOJUIL25!BB25+HISTOAOUT25!BB25+HISTOSEPT25!BB25+HISTOOCT25!BB25+HISTONOV25!BB25+HISTODEC25!BB25</f>
        <v>0</v>
      </c>
      <c r="BC25" s="5">
        <f>HISTOJANV25!BC25+HISTOFEV25!BC25+HISTOMARS25!BC25+HISTOAVRIL25!BC25+HISTOMAI25!BC25+HISTOJUIN25!BC25+HISTOJUIL25!BC25+HISTOAOUT25!BC25+HISTOSEPT25!BC25+HISTOOCT25!BC25+HISTONOV25!BC25+HISTODEC25!BC25</f>
        <v>0</v>
      </c>
      <c r="BD25" s="5">
        <f>HISTOJANV25!BD25+HISTOFEV25!BD25+HISTOMARS25!BD25+HISTOAVRIL25!BD25+HISTOMAI25!BD25+HISTOJUIN25!BD25+HISTOJUIL25!BD25+HISTOAOUT25!BD25+HISTOSEPT25!BD25+HISTOOCT25!BD25+HISTONOV25!BD25+HISTODEC25!BD25</f>
        <v>4691000</v>
      </c>
      <c r="BE25" s="5"/>
      <c r="BF25" s="5">
        <f>HISTOJANV25!BF25+HISTOFEV25!BF25+HISTOMARS25!BF25+HISTOAVRIL25!BF25+HISTOMAI25!BF25+HISTOJUIN25!BF25+HISTOJUIL25!BF25+HISTOAOUT25!BF25+HISTOSEPT25!BF25+HISTOOCT25!BF25+HISTONOV25!BF25+HISTODEC25!BF25</f>
        <v>60000</v>
      </c>
      <c r="BG25" s="5">
        <f>HISTOJANV25!BG25+HISTOFEV25!BG25+HISTOMARS25!BG25+HISTOAVRIL25!BG25+HISTOMAI25!BG25+HISTOJUIN25!BG25+HISTOJUIL25!BG25+HISTOAOUT25!BG25+HISTOSEPT25!BG25+HISTOOCT25!BG25+HISTONOV25!BG25+HISTODEC25!BG25</f>
        <v>73</v>
      </c>
      <c r="BH25" s="5">
        <f>HISTOJANV25!BH25+HISTOFEV25!BH25+HISTOMARS25!BH25+HISTOAVRIL25!BH25+HISTOMAI25!BH25+HISTOJUIN25!BH25+HISTOJUIL25!BH25+HISTOAOUT25!BH25+HISTOSEPT25!BH25+HISTOOCT25!BH25+HISTONOV25!BH25+HISTODEC25!BH25</f>
        <v>0</v>
      </c>
      <c r="BI25" s="5">
        <f>HISTOJANV25!BI25+HISTOFEV25!BI25+HISTOMARS25!BI25+HISTOAVRIL25!BI25+HISTOMAI25!BI25+HISTOJUIN25!BI25+HISTOJUIL25!BI25+HISTOAOUT25!BI25+HISTOSEPT25!BI25+HISTOOCT25!BI25+HISTONOV25!BI25+HISTODEC25!BI25</f>
        <v>0</v>
      </c>
      <c r="BJ25" s="5">
        <f>HISTOJANV25!BJ25+HISTOFEV25!BJ25+HISTOMARS25!BJ25+HISTOAVRIL25!BJ25+HISTOMAI25!BJ25+HISTOJUIN25!BJ25+HISTOJUIL25!BJ25+HISTOAOUT25!BJ25+HISTOSEPT25!BJ25+HISTOOCT25!BJ25+HISTONOV25!BJ25+HISTODEC25!BJ25</f>
        <v>0</v>
      </c>
      <c r="BK25" s="5">
        <f>HISTOJANV25!BK25+HISTOFEV25!BK25+HISTOMARS25!BK25+HISTOAVRIL25!BK25+HISTOMAI25!BK25+HISTOJUIN25!BK25+HISTOJUIL25!BK25+HISTOAOUT25!BK25+HISTOSEPT25!BK25+HISTOOCT25!BK25+HISTONOV25!BK25+HISTODEC25!BK25</f>
        <v>0</v>
      </c>
      <c r="BL25" s="5">
        <f>HISTOJANV25!BL25+HISTOFEV25!BL25+HISTOMARS25!BL25+HISTOAVRIL25!BL25+HISTOMAI25!BL25+HISTOJUIN25!BL25+HISTOJUIL25!BL25+HISTOAOUT25!BL25+HISTOSEPT25!BL25+HISTOOCT25!BL25+HISTONOV25!BL25+HISTODEC25!BL25</f>
        <v>0</v>
      </c>
      <c r="BM25" s="5">
        <f>HISTOJANV25!BM25+HISTOFEV25!BM25+HISTOMARS25!BM25+HISTOAVRIL25!BM25+HISTOMAI25!BM25+HISTOJUIN25!BM25+HISTOJUIL25!BM25+HISTOAOUT25!BM25+HISTOSEPT25!BM25+HISTOOCT25!BM25+HISTONOV25!BM25+HISTODEC25!BM25</f>
        <v>0</v>
      </c>
      <c r="BN25" s="5">
        <f>HISTOJANV25!BN25+HISTOFEV25!BN25+HISTOMARS25!BN25+HISTOAVRIL25!BN25+HISTOMAI25!BN25+HISTOJUIN25!BN25+HISTOJUIL25!BN25+HISTOAOUT25!BN25+HISTOSEPT25!BN25+HISTOOCT25!BN25+HISTONOV25!BN25+HISTODEC25!BN25</f>
        <v>0</v>
      </c>
    </row>
    <row r="26" spans="1:69" ht="17.5" x14ac:dyDescent="0.35">
      <c r="A26" s="1" t="s">
        <v>29</v>
      </c>
      <c r="B26" s="1" t="str">
        <f>VLOOKUP(A26,[5]LISTADHERENT!A$5:H$50,3,0)</f>
        <v>NGONDIEP CLAUDE</v>
      </c>
      <c r="C26" s="5">
        <f>HISTOJANV25!C26+HISTOFEV25!C26+HISTOMARS25!C26+HISTOAVRIL25!C26+HISTOMAI25!C26+HISTOJUIN25!C26+HISTOJUIL25!C26+HISTOAOUT25!C26+HISTOSEPT25!C26+HISTOOCT25!C26+HISTONOV25!C26+HISTODEC25!C26</f>
        <v>-378750</v>
      </c>
      <c r="D26" s="5">
        <f>HISTOJANV25!D26+HISTOFEV25!D26+HISTOMARS25!D26+HISTOAVRIL25!D26+HISTOMAI25!D26+HISTOJUIN25!D26+HISTOJUIL25!D26+HISTOAOUT25!D26+HISTOSEPT25!D26+HISTOOCT25!D26+HISTONOV25!D26+HISTODEC25!D26</f>
        <v>4127500</v>
      </c>
      <c r="E26" s="5">
        <f>HISTOJANV25!E26+HISTOFEV25!E26+HISTOMARS25!E26+HISTOAVRIL25!E26+HISTOMAI25!E26+HISTOJUIN25!E26+HISTOJUIL25!E26+HISTOAOUT25!E26+HISTOSEPT25!E26+HISTOOCT25!E26+HISTONOV25!E26+HISTODEC25!E26</f>
        <v>761125</v>
      </c>
      <c r="F26" s="5">
        <f>HISTOJANV25!F26+HISTOFEV25!F26+HISTOMARS25!F26+HISTOAVRIL25!F26+HISTOMAI25!F26+HISTOJUIN25!F26+HISTOJUIL25!F26+HISTOAOUT25!F26+HISTOSEPT25!F26+HISTOOCT25!F26+HISTONOV25!F26+HISTODEC25!F26</f>
        <v>0</v>
      </c>
      <c r="G26" s="5">
        <f>HISTOJANV25!G26+HISTOFEV25!G26+HISTOMARS25!G26+HISTOAVRIL25!G26+HISTOMAI25!G26+HISTOJUIN25!G26+HISTOJUIL25!G26+HISTOAOUT25!G26+HISTOSEPT25!G26+HISTOOCT25!G26+HISTONOV25!G26+HISTODEC25!G26</f>
        <v>179000</v>
      </c>
      <c r="H26" s="5">
        <f>HISTOJANV25!H26+HISTOFEV25!H26+HISTOMARS25!H26+HISTOAVRIL25!H26+HISTOMAI25!H26+HISTOJUIN25!H26+HISTOJUIL25!H26+HISTOAOUT25!H26+HISTOSEPT25!H26+HISTOOCT25!H26+HISTONOV25!H26+HISTODEC25!H26</f>
        <v>3000</v>
      </c>
      <c r="I26" s="5"/>
      <c r="J26" s="5">
        <f>HISTOJANV25!J26+HISTOFEV25!J26+HISTOMARS25!J26+HISTOAVRIL25!J26+HISTOMAI25!J26+HISTOJUIN25!J26+HISTOJUIL25!J26+HISTOAOUT25!J26+HISTOSEPT25!J26+HISTOOCT25!J26+HISTONOV25!J26+HISTODEC25!J26</f>
        <v>12</v>
      </c>
      <c r="K26" s="5">
        <f>HISTOJANV25!K26+HISTOFEV25!K26+HISTOMARS25!K26+HISTOAVRIL25!K26+HISTOMAI25!K26+HISTOJUIN25!K26+HISTOJUIL25!K26+HISTOAOUT25!K26+HISTOSEPT25!K26+HISTOOCT25!K26+HISTONOV25!K26+HISTODEC25!K26</f>
        <v>600000</v>
      </c>
      <c r="L26" s="5">
        <f>HISTOJANV25!L26+HISTOFEV25!L26+HISTOMARS25!L26+HISTOAVRIL25!L26+HISTOMAI25!L26+HISTOJUIN25!L26+HISTOJUIL25!L26+HISTOAOUT25!L26+HISTOSEPT25!L26+HISTOOCT25!L26+HISTONOV25!L26+HISTODEC25!L26</f>
        <v>12</v>
      </c>
      <c r="M26" s="5">
        <f>HISTOJANV25!M26+HISTOFEV25!M26+HISTOMARS25!M26+HISTOAVRIL25!M26+HISTOMAI25!M26+HISTOJUIN25!M26+HISTOJUIL25!M26+HISTOAOUT25!M26+HISTOSEPT25!M26+HISTOOCT25!M26+HISTONOV25!M26+HISTODEC25!M26</f>
        <v>900000</v>
      </c>
      <c r="N26" s="5">
        <f>HISTOJANV25!N26+HISTOFEV25!N26+HISTOMARS25!N26+HISTOAVRIL25!N26+HISTOMAI25!N26+HISTOJUIN25!N26+HISTOJUIL25!N26+HISTOAOUT25!N26+HISTOSEPT25!N26+HISTOOCT25!N26+HISTONOV25!N26+HISTODEC25!N26</f>
        <v>12</v>
      </c>
      <c r="O26" s="5">
        <f>HISTOJANV25!O26+HISTOFEV25!O26+HISTOMARS25!O26+HISTOAVRIL25!O26+HISTOMAI25!O26+HISTOJUIN25!O26+HISTOJUIL25!O26+HISTOAOUT25!O26+HISTOSEPT25!O26+HISTOOCT25!O26+HISTONOV25!O26+HISTODEC25!O26</f>
        <v>1200000</v>
      </c>
      <c r="P26" s="5">
        <f>HISTOJANV25!P26+HISTOFEV25!P26+HISTOMARS25!P26+HISTOAVRIL25!P26+HISTOMAI25!P26+HISTOJUIN25!P26+HISTOJUIL25!P26+HISTOAOUT25!P26+HISTOSEPT25!P26+HISTOOCT25!P26+HISTONOV25!P26+HISTODEC25!P26</f>
        <v>0</v>
      </c>
      <c r="Q26" s="5">
        <f>HISTOJANV25!Q26+HISTOFEV25!Q26+HISTOMARS25!Q26+HISTOAVRIL25!Q26+HISTOMAI25!Q26+HISTOJUIN25!Q26+HISTOJUIL25!Q26+HISTOAOUT25!Q26+HISTOSEPT25!Q26+HISTOOCT25!Q26+HISTONOV25!Q26+HISTODEC25!Q26</f>
        <v>807875</v>
      </c>
      <c r="R26" s="5">
        <f>HISTOJANV25!R26+HISTOFEV25!R26+HISTOMARS25!R26+HISTOAVRIL25!R26+HISTOMAI25!R26+HISTOJUIN25!R26+HISTOJUIL25!R26+HISTOAOUT25!R26+HISTOSEPT25!R26+HISTOOCT25!R26+HISTONOV25!R26+HISTODEC25!R26</f>
        <v>679000</v>
      </c>
      <c r="S26" s="5">
        <f>HISTOJANV25!S26+HISTOFEV25!S26+HISTOMARS25!S26+HISTOAVRIL25!S26+HISTOMAI25!S26+HISTOJUIN25!S26+HISTOJUIL25!S26+HISTOAOUT25!S26+HISTOSEPT25!S26+HISTOOCT25!S26+HISTONOV25!S26+HISTODEC25!S26</f>
        <v>1000000</v>
      </c>
      <c r="T26" s="5"/>
      <c r="U26" s="5">
        <f>HISTOJANV25!U26+HISTOFEV25!U26+HISTOMARS25!U26+HISTOAVRIL25!U26+HISTOMAI25!U26+HISTOJUIN25!U26+HISTOJUIL25!U26+HISTOAOUT25!U26+HISTOSEPT25!U26+HISTOOCT25!U26+HISTONOV25!U26+HISTODEC25!U26</f>
        <v>5368875</v>
      </c>
      <c r="V26" s="5">
        <f>HISTOJANV25!V26+HISTOFEV25!V26+HISTOMARS25!V26+HISTOAVRIL25!V26+HISTOMAI25!V26+HISTOJUIN25!V26+HISTOJUIL25!V26+HISTOAOUT25!V26+HISTOSEPT25!V26+HISTOOCT25!V26+HISTONOV25!V26+HISTODEC25!V26</f>
        <v>0</v>
      </c>
      <c r="W26" s="5">
        <f>HISTOJANV25!W26+HISTOFEV25!W26+HISTOMARS25!W26+HISTOAVRIL25!W26+HISTOMAI25!W26+HISTOJUIN25!W26+HISTOJUIL25!W26+HISTOAOUT25!W26+HISTOSEPT25!W26+HISTOOCT25!W26+HISTONOV25!W26+HISTODEC25!W26</f>
        <v>0</v>
      </c>
      <c r="X26" s="5">
        <f>HISTOJANV25!X26+HISTOFEV25!X26+HISTOMARS25!X26+HISTOAVRIL25!X26+HISTOMAI25!X26+HISTOJUIN25!X26+HISTOJUIL25!X26+HISTOAOUT25!X26+HISTOSEPT25!X26+HISTOOCT25!X26+HISTONOV25!X26+HISTODEC25!X26</f>
        <v>0</v>
      </c>
      <c r="Y26" s="5">
        <f>HISTOJANV25!Y26+HISTOFEV25!Y26+HISTOMARS25!Y26+HISTOAVRIL25!Y26+HISTOMAI25!Y26+HISTOJUIN25!Y26+HISTOJUIL25!Y26+HISTOAOUT25!Y26+HISTOSEPT25!Y26+HISTOOCT25!Y26+HISTONOV25!Y26+HISTODEC25!Y26</f>
        <v>2700000</v>
      </c>
      <c r="Z26" s="5">
        <f>HISTOJANV25!Z26+HISTOFEV25!Z26+HISTOMARS25!Z26+HISTOAVRIL25!Z26+HISTOMAI25!Z26+HISTOJUIN25!Z26+HISTOJUIL25!Z26+HISTOAOUT25!Z26+HISTOSEPT25!Z26+HISTOOCT25!Z26+HISTONOV25!Z26+HISTODEC25!Z26</f>
        <v>2000000</v>
      </c>
      <c r="AA26" s="5"/>
      <c r="AB26" s="5">
        <f>HISTOJANV25!AB26+HISTOFEV25!AB26+HISTOMARS25!AB26+HISTOAVRIL25!AB26+HISTOMAI25!AB26+HISTOJUIN25!AB26+HISTOJUIL25!AB26+HISTOAOUT25!AB26+HISTOSEPT25!AB26+HISTOOCT25!AB26+HISTONOV25!AB26+HISTODEC25!AB26</f>
        <v>0</v>
      </c>
      <c r="AC26" s="5">
        <f>HISTOJANV25!AC26+HISTOFEV25!AC26+HISTOMARS25!AC26+HISTOAVRIL25!AC26+HISTOMAI25!AC26+HISTOJUIN25!AC26+HISTOJUIL25!AC26+HISTOAOUT25!AC26+HISTOSEPT25!AC26+HISTOOCT25!AC26+HISTONOV25!AC26+HISTODEC25!AC26</f>
        <v>2500</v>
      </c>
      <c r="AD26" s="5">
        <f>HISTOJANV25!AD26+HISTOFEV25!AD26+HISTOMARS25!AD26+HISTOAVRIL25!AD26+HISTOMAI25!AD26+HISTOJUIN25!AD26+HISTOJUIL25!AD26+HISTOAOUT25!AD26+HISTOSEPT25!AD26+HISTOOCT25!AD26+HISTONOV25!AD26+HISTODEC25!AD26</f>
        <v>15000</v>
      </c>
      <c r="AE26" s="5">
        <f>HISTOJANV25!AE26+HISTOFEV25!AE26+HISTOMARS25!AE26+HISTOAVRIL25!AE26+HISTOMAI25!AE26+HISTOJUIN25!AE26+HISTOJUIL25!AE26+HISTOAOUT25!AE26+HISTOSEPT25!AE26+HISTOOCT25!AE26+HISTONOV25!AE26+HISTODEC25!AE26</f>
        <v>40000</v>
      </c>
      <c r="AF26" s="5"/>
      <c r="AG26" s="5">
        <f>HISTOJANV25!AG26+HISTOFEV25!AG26+HISTOMARS25!AG26+HISTOAVRIL25!AG26+HISTOMAI25!AG26+HISTOJUIN25!AG26+HISTOJUIL25!AG26+HISTOAOUT25!AG26+HISTOSEPT25!AG26+HISTOOCT25!AG26+HISTONOV25!AG26+HISTODEC25!AG26</f>
        <v>0</v>
      </c>
      <c r="AH26" s="5">
        <f>HISTOJANV25!AH26+HISTOFEV25!AH26+HISTOMARS25!AH26+HISTOAVRIL25!AH26+HISTOMAI25!AH26+HISTOJUIN25!AH26+HISTOJUIL25!AH26+HISTOAOUT25!AH26+HISTOSEPT25!AH26+HISTOOCT25!AH26+HISTONOV25!AH26+HISTODEC25!AH26</f>
        <v>0</v>
      </c>
      <c r="AI26" s="5">
        <f>HISTOJANV25!AI26+HISTOFEV25!AI26+HISTOMARS25!AI26+HISTOAVRIL25!AI26+HISTOMAI25!AI26+HISTOJUIN25!AI26+HISTOJUIL25!AI26+HISTOAOUT25!AI26+HISTOSEPT25!AI26+HISTOOCT25!AI26+HISTONOV25!AI26+HISTODEC25!AI26</f>
        <v>0</v>
      </c>
      <c r="AJ26" s="5">
        <f>HISTOJANV25!AJ26+HISTOFEV25!AJ26+HISTOMARS25!AJ26+HISTOAVRIL25!AJ26+HISTOMAI25!AJ26+HISTOJUIN25!AJ26+HISTOJUIL25!AJ26+HISTOAOUT25!AJ26+HISTOSEPT25!AJ26+HISTOOCT25!AJ26+HISTONOV25!AJ26+HISTODEC25!AJ26</f>
        <v>794375</v>
      </c>
      <c r="AK26" s="5">
        <f>HISTOJANV25!AK26+HISTOFEV25!AK26+HISTOMARS25!AK26+HISTOAVRIL25!AK26+HISTOMAI25!AK26+HISTOJUIN25!AK26+HISTOJUIL25!AK26+HISTOAOUT25!AK26+HISTOSEPT25!AK26+HISTOOCT25!AK26+HISTONOV25!AK26+HISTODEC25!AK26</f>
        <v>663000</v>
      </c>
      <c r="AL26" s="5">
        <f>HISTOJANV25!AL26+HISTOFEV25!AL26+HISTOMARS25!AL26+HISTOAVRIL25!AL26+HISTOMAI25!AL26+HISTOJUIN25!AL26+HISTOJUIL25!AL26+HISTOAOUT25!AL26+HISTOSEPT25!AL26+HISTOOCT25!AL26+HISTONOV25!AL26+HISTODEC25!AL26</f>
        <v>0</v>
      </c>
      <c r="AM26" s="5">
        <f>HISTOJANV25!AM26+HISTOFEV25!AM26+HISTOMARS25!AM26+HISTOAVRIL25!AM26+HISTOMAI25!AM26+HISTOJUIN25!AM26+HISTOJUIL25!AM26+HISTOAOUT25!AM26+HISTOSEPT25!AM26+HISTOOCT25!AM26+HISTONOV25!AM26+HISTODEC25!AM26</f>
        <v>13500</v>
      </c>
      <c r="AN26" s="5">
        <f>HISTOJANV25!AN26+HISTOFEV25!AN26+HISTOMARS25!AN26+HISTOAVRIL25!AN26+HISTOMAI25!AN26+HISTOJUIN25!AN26+HISTOJUIL25!AN26+HISTOAOUT25!AN26+HISTOSEPT25!AN26+HISTOOCT25!AN26+HISTONOV25!AN26+HISTODEC25!AN26</f>
        <v>12000</v>
      </c>
      <c r="AO26" s="5">
        <f>HISTOJANV25!AO26+HISTOFEV25!AO26+HISTOMARS25!AO26+HISTOAVRIL25!AO26+HISTOMAI25!AO26+HISTOJUIN25!AO26+HISTOJUIL25!AO26+HISTOAOUT25!AO26+HISTOSEPT25!AO26+HISTOOCT25!AO26+HISTONOV25!AO26+HISTODEC25!AO26</f>
        <v>0</v>
      </c>
      <c r="AP26" s="5"/>
      <c r="AQ26" s="5">
        <f>HISTOJANV25!AQ26+HISTOFEV25!AQ26+HISTOMARS25!AQ26+HISTOAVRIL25!AQ26+HISTOMAI25!AQ26+HISTOJUIN25!AQ26+HISTOJUIL25!AQ26+HISTOAOUT25!AQ26+HISTOSEPT25!AQ26+HISTOOCT25!AQ26+HISTONOV25!AQ26+HISTODEC25!AQ26</f>
        <v>0</v>
      </c>
      <c r="AR26" s="5">
        <f>HISTOJANV25!AR26+HISTOFEV25!AR26+HISTOMARS25!AR26+HISTOAVRIL25!AR26+HISTOMAI25!AR26+HISTOJUIN25!AR26+HISTOJUIL25!AR26+HISTOAOUT25!AR26+HISTOSEPT25!AR26+HISTOOCT25!AR26+HISTONOV25!AR26+HISTODEC25!AR26</f>
        <v>0</v>
      </c>
      <c r="AS26" s="5">
        <f>HISTOJANV25!AS26+HISTOFEV25!AS26+HISTOMARS25!AS26+HISTOAVRIL25!AS26+HISTOMAI25!AS26+HISTOJUIN25!AS26+HISTOJUIL25!AS26+HISTOAOUT25!AS26+HISTOSEPT25!AS26+HISTOOCT25!AS26+HISTONOV25!AS26+HISTODEC25!AS26</f>
        <v>479000</v>
      </c>
      <c r="AT26" s="5">
        <f>HISTOJANV25!AT26+HISTOFEV25!AT26+HISTOMARS25!AT26+HISTOAVRIL25!AT26+HISTOMAI25!AT26+HISTOJUIN25!AT26+HISTOJUIL25!AT26+HISTOAOUT25!AT26+HISTOSEPT25!AT26+HISTOOCT25!AT26+HISTONOV25!AT26+HISTODEC25!AT26</f>
        <v>0</v>
      </c>
      <c r="AU26" s="5">
        <f>HISTOJANV25!AU26+HISTOFEV25!AU26+HISTOMARS25!AU26+HISTOAVRIL25!AU26+HISTOMAI25!AU26+HISTOJUIN25!AU26+HISTOJUIL25!AU26+HISTOAOUT25!AU26+HISTOSEPT25!AU26+HISTOOCT25!AU26+HISTONOV25!AU26+HISTODEC25!AU26</f>
        <v>0</v>
      </c>
      <c r="AV26" s="5">
        <f>HISTOJANV25!AV26+HISTOFEV25!AV26+HISTOMARS25!AV26+HISTOAVRIL25!AV26+HISTOMAI25!AV26+HISTOJUIN25!AV26+HISTOJUIL25!AV26+HISTOAOUT25!AV26+HISTOSEPT25!AV26+HISTOOCT25!AV26+HISTONOV25!AV26+HISTODEC25!AV26</f>
        <v>0</v>
      </c>
      <c r="AW26" s="5">
        <f>HISTOJANV25!AW26+HISTOFEV25!AW26+HISTOMARS25!AW26+HISTOAVRIL25!AW26+HISTOMAI25!AW26+HISTOJUIN25!AW26+HISTOJUIL25!AW26+HISTOAOUT25!AW26+HISTOSEPT25!AW26+HISTOOCT25!AW26+HISTONOV25!AW26+HISTODEC25!AW26</f>
        <v>297500</v>
      </c>
      <c r="AX26" s="5">
        <f>HISTOJANV25!AX26+HISTOFEV25!AX26+HISTOMARS25!AX26+HISTOAVRIL25!AX26+HISTOMAI25!AX26+HISTOJUIN25!AX26+HISTOJUIL25!AX26+HISTOAOUT25!AX26+HISTOSEPT25!AX26+HISTOOCT25!AX26+HISTONOV25!AX26+HISTODEC25!AX26</f>
        <v>1679375</v>
      </c>
      <c r="AY26" s="5">
        <f>HISTOJANV25!AY26+HISTOFEV25!AY26+HISTOMARS25!AY26+HISTOAVRIL25!AY26+HISTOMAI25!AY26+HISTOJUIN25!AY26+HISTOJUIL25!AY26+HISTOAOUT25!AY26+HISTOSEPT25!AY26+HISTOOCT25!AY26+HISTONOV25!AY26+HISTODEC25!AY26</f>
        <v>1823000</v>
      </c>
      <c r="AZ26" s="5">
        <f>HISTOJANV25!AZ26+HISTOFEV25!AZ26+HISTOMARS25!AZ26+HISTOAVRIL25!AZ26+HISTOMAI25!AZ26+HISTOJUIN25!AZ26+HISTOJUIL25!AZ26+HISTOAOUT25!AZ26+HISTOSEPT25!AZ26+HISTOOCT25!AZ26+HISTONOV25!AZ26+HISTODEC25!AZ26</f>
        <v>5569875</v>
      </c>
      <c r="BA26" s="5">
        <f>HISTOJANV25!BA26+HISTOFEV25!BA26+HISTOMARS25!BA26+HISTOAVRIL25!BA26+HISTOMAI25!BA26+HISTOJUIN25!BA26+HISTOJUIL25!BA26+HISTOAOUT25!BA26+HISTOSEPT25!BA26+HISTOOCT25!BA26+HISTONOV25!BA26+HISTODEC25!BA26</f>
        <v>212000</v>
      </c>
      <c r="BB26" s="5">
        <f>HISTOJANV25!BB26+HISTOFEV25!BB26+HISTOMARS25!BB26+HISTOAVRIL25!BB26+HISTOMAI25!BB26+HISTOJUIN25!BB26+HISTOJUIL25!BB26+HISTOAOUT25!BB26+HISTOSEPT25!BB26+HISTOOCT25!BB26+HISTONOV25!BB26+HISTODEC25!BB26</f>
        <v>0</v>
      </c>
      <c r="BC26" s="5">
        <f>HISTOJANV25!BC26+HISTOFEV25!BC26+HISTOMARS25!BC26+HISTOAVRIL25!BC26+HISTOMAI25!BC26+HISTOJUIN25!BC26+HISTOJUIL25!BC26+HISTOAOUT25!BC26+HISTOSEPT25!BC26+HISTOOCT25!BC26+HISTONOV25!BC26+HISTODEC25!BC26</f>
        <v>0</v>
      </c>
      <c r="BD26" s="5">
        <f>HISTOJANV25!BD26+HISTOFEV25!BD26+HISTOMARS25!BD26+HISTOAVRIL25!BD26+HISTOMAI25!BD26+HISTOJUIN25!BD26+HISTOJUIL25!BD26+HISTOAOUT25!BD26+HISTOSEPT25!BD26+HISTOOCT25!BD26+HISTONOV25!BD26+HISTODEC25!BD26</f>
        <v>5146875</v>
      </c>
      <c r="BE26" s="5"/>
      <c r="BF26" s="5">
        <f>HISTOJANV25!BF26+HISTOFEV25!BF26+HISTOMARS25!BF26+HISTOAVRIL25!BF26+HISTOMAI25!BF26+HISTOJUIN25!BF26+HISTOJUIL25!BF26+HISTOAOUT25!BF26+HISTOSEPT25!BF26+HISTOOCT25!BF26+HISTONOV25!BF26+HISTODEC25!BF26</f>
        <v>230000</v>
      </c>
      <c r="BG26" s="5">
        <f>HISTOJANV25!BG26+HISTOFEV25!BG26+HISTOMARS25!BG26+HISTOAVRIL25!BG26+HISTOMAI25!BG26+HISTOJUIN25!BG26+HISTOJUIL25!BG26+HISTOAOUT25!BG26+HISTOSEPT25!BG26+HISTOOCT25!BG26+HISTONOV25!BG26+HISTODEC25!BG26</f>
        <v>78</v>
      </c>
      <c r="BH26" s="5">
        <f>HISTOJANV25!BH26+HISTOFEV25!BH26+HISTOMARS25!BH26+HISTOAVRIL25!BH26+HISTOMAI25!BH26+HISTOJUIN25!BH26+HISTOJUIL25!BH26+HISTOAOUT25!BH26+HISTOSEPT25!BH26+HISTOOCT25!BH26+HISTONOV25!BH26+HISTODEC25!BH26</f>
        <v>0</v>
      </c>
      <c r="BI26" s="5">
        <f>HISTOJANV25!BI26+HISTOFEV25!BI26+HISTOMARS25!BI26+HISTOAVRIL25!BI26+HISTOMAI25!BI26+HISTOJUIN25!BI26+HISTOJUIL25!BI26+HISTOAOUT25!BI26+HISTOSEPT25!BI26+HISTOOCT25!BI26+HISTONOV25!BI26+HISTODEC25!BI26</f>
        <v>0</v>
      </c>
      <c r="BJ26" s="5">
        <f>HISTOJANV25!BJ26+HISTOFEV25!BJ26+HISTOMARS25!BJ26+HISTOAVRIL25!BJ26+HISTOMAI25!BJ26+HISTOJUIN25!BJ26+HISTOJUIL25!BJ26+HISTOAOUT25!BJ26+HISTOSEPT25!BJ26+HISTOOCT25!BJ26+HISTONOV25!BJ26+HISTODEC25!BJ26</f>
        <v>0</v>
      </c>
      <c r="BK26" s="5">
        <f>HISTOJANV25!BK26+HISTOFEV25!BK26+HISTOMARS25!BK26+HISTOAVRIL25!BK26+HISTOMAI25!BK26+HISTOJUIN25!BK26+HISTOJUIL25!BK26+HISTOAOUT25!BK26+HISTOSEPT25!BK26+HISTOOCT25!BK26+HISTONOV25!BK26+HISTODEC25!BK26</f>
        <v>0</v>
      </c>
      <c r="BL26" s="5">
        <f>HISTOJANV25!BL26+HISTOFEV25!BL26+HISTOMARS25!BL26+HISTOAVRIL25!BL26+HISTOMAI25!BL26+HISTOJUIN25!BL26+HISTOJUIL25!BL26+HISTOAOUT25!BL26+HISTOSEPT25!BL26+HISTOOCT25!BL26+HISTONOV25!BL26+HISTODEC25!BL26</f>
        <v>0</v>
      </c>
      <c r="BM26" s="5">
        <f>HISTOJANV25!BM26+HISTOFEV25!BM26+HISTOMARS25!BM26+HISTOAVRIL25!BM26+HISTOMAI25!BM26+HISTOJUIN25!BM26+HISTOJUIL25!BM26+HISTOAOUT25!BM26+HISTOSEPT25!BM26+HISTOOCT25!BM26+HISTONOV25!BM26+HISTODEC25!BM26</f>
        <v>0</v>
      </c>
      <c r="BN26" s="5">
        <f>HISTOJANV25!BN26+HISTOFEV25!BN26+HISTOMARS25!BN26+HISTOAVRIL25!BN26+HISTOMAI25!BN26+HISTOJUIN25!BN26+HISTOJUIL25!BN26+HISTOAOUT25!BN26+HISTOSEPT25!BN26+HISTOOCT25!BN26+HISTONOV25!BN26+HISTODEC25!BN26</f>
        <v>0</v>
      </c>
      <c r="BO26" t="s">
        <v>197</v>
      </c>
      <c r="BP26" t="s">
        <v>143</v>
      </c>
      <c r="BQ26" s="6"/>
    </row>
    <row r="27" spans="1:69" ht="17.5" x14ac:dyDescent="0.35">
      <c r="A27" s="1" t="s">
        <v>30</v>
      </c>
      <c r="B27" s="1" t="str">
        <f>VLOOKUP(A27,[5]LISTADHERENT!A$5:H$50,3,0)</f>
        <v>NGUIEMEGNI MATHIEU BLAISE</v>
      </c>
      <c r="C27" s="5">
        <f>HISTOJANV25!C27+HISTOFEV25!C27+HISTOMARS25!C27+HISTOAVRIL25!C27+HISTOMAI25!C27+HISTOJUIN25!C27+HISTOJUIL25!C27+HISTOAOUT25!C27+HISTOSEPT25!C27+HISTOOCT25!C27+HISTONOV25!C27+HISTODEC25!C27</f>
        <v>-54000</v>
      </c>
      <c r="D27" s="5">
        <f>HISTOJANV25!D27+HISTOFEV25!D27+HISTOMARS25!D27+HISTOAVRIL25!D27+HISTOMAI25!D27+HISTOJUIN25!D27+HISTOJUIL25!D27+HISTOAOUT25!D27+HISTOSEPT25!D27+HISTOOCT25!D27+HISTONOV25!D27+HISTODEC25!D27</f>
        <v>4233500</v>
      </c>
      <c r="E27" s="5">
        <f>HISTOJANV25!E27+HISTOFEV25!E27+HISTOMARS25!E27+HISTOAVRIL25!E27+HISTOMAI25!E27+HISTOJUIN25!E27+HISTOJUIL25!E27+HISTOAOUT25!E27+HISTOSEPT25!E27+HISTOOCT25!E27+HISTONOV25!E27+HISTODEC25!E27</f>
        <v>85000</v>
      </c>
      <c r="F27" s="5">
        <f>HISTOJANV25!F27+HISTOFEV25!F27+HISTOMARS25!F27+HISTOAVRIL25!F27+HISTOMAI25!F27+HISTOJUIN25!F27+HISTOJUIL25!F27+HISTOAOUT25!F27+HISTOSEPT25!F27+HISTOOCT25!F27+HISTONOV25!F27+HISTODEC25!F27</f>
        <v>133500</v>
      </c>
      <c r="G27" s="5">
        <f>HISTOJANV25!G27+HISTOFEV25!G27+HISTOMARS25!G27+HISTOAVRIL25!G27+HISTOMAI25!G27+HISTOJUIN25!G27+HISTOJUIL25!G27+HISTOAOUT25!G27+HISTOSEPT25!G27+HISTOOCT25!G27+HISTONOV25!G27+HISTODEC25!G27</f>
        <v>-13000</v>
      </c>
      <c r="H27" s="5">
        <f>HISTOJANV25!H27+HISTOFEV25!H27+HISTOMARS25!H27+HISTOAVRIL25!H27+HISTOMAI25!H27+HISTOJUIN25!H27+HISTOJUIL25!H27+HISTOAOUT25!H27+HISTOSEPT25!H27+HISTOOCT25!H27+HISTONOV25!H27+HISTODEC25!H27</f>
        <v>0</v>
      </c>
      <c r="I27" s="5"/>
      <c r="J27" s="5">
        <f>HISTOJANV25!J27+HISTOFEV25!J27+HISTOMARS25!J27+HISTOAVRIL25!J27+HISTOMAI25!J27+HISTOJUIN25!J27+HISTOJUIL25!J27+HISTOAOUT25!J27+HISTOSEPT25!J27+HISTOOCT25!J27+HISTONOV25!J27+HISTODEC25!J27</f>
        <v>12</v>
      </c>
      <c r="K27" s="5">
        <f>HISTOJANV25!K27+HISTOFEV25!K27+HISTOMARS25!K27+HISTOAVRIL25!K27+HISTOMAI25!K27+HISTOJUIN25!K27+HISTOJUIL25!K27+HISTOAOUT25!K27+HISTOSEPT25!K27+HISTOOCT25!K27+HISTONOV25!K27+HISTODEC25!K27</f>
        <v>600000</v>
      </c>
      <c r="L27" s="5">
        <f>HISTOJANV25!L27+HISTOFEV25!L27+HISTOMARS25!L27+HISTOAVRIL25!L27+HISTOMAI25!L27+HISTOJUIN25!L27+HISTOJUIL25!L27+HISTOAOUT25!L27+HISTOSEPT25!L27+HISTOOCT25!L27+HISTONOV25!L27+HISTODEC25!L27</f>
        <v>0</v>
      </c>
      <c r="M27" s="5">
        <f>HISTOJANV25!M27+HISTOFEV25!M27+HISTOMARS25!M27+HISTOAVRIL25!M27+HISTOMAI25!M27+HISTOJUIN25!M27+HISTOJUIL25!M27+HISTOAOUT25!M27+HISTOSEPT25!M27+HISTOOCT25!M27+HISTONOV25!M27+HISTODEC25!M27</f>
        <v>0</v>
      </c>
      <c r="N27" s="5">
        <f>HISTOJANV25!N27+HISTOFEV25!N27+HISTOMARS25!N27+HISTOAVRIL25!N27+HISTOMAI25!N27+HISTOJUIN25!N27+HISTOJUIL25!N27+HISTOAOUT25!N27+HISTOSEPT25!N27+HISTOOCT25!N27+HISTONOV25!N27+HISTODEC25!N27</f>
        <v>24</v>
      </c>
      <c r="O27" s="5">
        <f>HISTOJANV25!O27+HISTOFEV25!O27+HISTOMARS25!O27+HISTOAVRIL25!O27+HISTOMAI25!O27+HISTOJUIN25!O27+HISTOJUIL25!O27+HISTOAOUT25!O27+HISTOSEPT25!O27+HISTOOCT25!O27+HISTONOV25!O27+HISTODEC25!O27</f>
        <v>2400000</v>
      </c>
      <c r="P27" s="5">
        <f>HISTOJANV25!P27+HISTOFEV25!P27+HISTOMARS25!P27+HISTOAVRIL25!P27+HISTOMAI25!P27+HISTOJUIN25!P27+HISTOJUIL25!P27+HISTOAOUT25!P27+HISTOSEPT25!P27+HISTOOCT25!P27+HISTONOV25!P27+HISTODEC25!P27</f>
        <v>85500</v>
      </c>
      <c r="Q27" s="5">
        <f>HISTOJANV25!Q27+HISTOFEV25!Q27+HISTOMARS25!Q27+HISTOAVRIL25!Q27+HISTOMAI25!Q27+HISTOJUIN25!Q27+HISTOJUIL25!Q27+HISTOAOUT25!Q27+HISTOSEPT25!Q27+HISTOOCT25!Q27+HISTONOV25!Q27+HISTODEC25!Q27</f>
        <v>0</v>
      </c>
      <c r="R27" s="5">
        <f>HISTOJANV25!R27+HISTOFEV25!R27+HISTOMARS25!R27+HISTOAVRIL25!R27+HISTOMAI25!R27+HISTOJUIN25!R27+HISTOJUIL25!R27+HISTOAOUT25!R27+HISTOSEPT25!R27+HISTOOCT25!R27+HISTONOV25!R27+HISTODEC25!R27</f>
        <v>1433500</v>
      </c>
      <c r="S27" s="5">
        <f>HISTOJANV25!S27+HISTOFEV25!S27+HISTOMARS25!S27+HISTOAVRIL25!S27+HISTOMAI25!S27+HISTOJUIN25!S27+HISTOJUIL25!S27+HISTOAOUT25!S27+HISTOSEPT25!S27+HISTOOCT25!S27+HISTONOV25!S27+HISTODEC25!S27</f>
        <v>0</v>
      </c>
      <c r="T27" s="5"/>
      <c r="U27" s="5">
        <f>HISTOJANV25!U27+HISTOFEV25!U27+HISTOMARS25!U27+HISTOAVRIL25!U27+HISTOMAI25!U27+HISTOJUIN25!U27+HISTOJUIL25!U27+HISTOAOUT25!U27+HISTOSEPT25!U27+HISTOOCT25!U27+HISTONOV25!U27+HISTODEC25!U27</f>
        <v>4506000</v>
      </c>
      <c r="V27" s="5">
        <f>HISTOJANV25!V27+HISTOFEV25!V27+HISTOMARS25!V27+HISTOAVRIL25!V27+HISTOMAI25!V27+HISTOJUIN25!V27+HISTOJUIL25!V27+HISTOAOUT25!V27+HISTOSEPT25!V27+HISTOOCT25!V27+HISTONOV25!V27+HISTODEC25!V27</f>
        <v>0</v>
      </c>
      <c r="W27" s="5">
        <f>HISTOJANV25!W27+HISTOFEV25!W27+HISTOMARS25!W27+HISTOAVRIL25!W27+HISTOMAI25!W27+HISTOJUIN25!W27+HISTOJUIL25!W27+HISTOAOUT25!W27+HISTOSEPT25!W27+HISTOOCT25!W27+HISTONOV25!W27+HISTODEC25!W27</f>
        <v>0</v>
      </c>
      <c r="X27" s="5">
        <f>HISTOJANV25!X27+HISTOFEV25!X27+HISTOMARS25!X27+HISTOAVRIL25!X27+HISTOMAI25!X27+HISTOJUIN25!X27+HISTOJUIL25!X27+HISTOAOUT25!X27+HISTOSEPT25!X27+HISTOOCT25!X27+HISTONOV25!X27+HISTODEC25!X27</f>
        <v>0</v>
      </c>
      <c r="Y27" s="5">
        <f>HISTOJANV25!Y27+HISTOFEV25!Y27+HISTOMARS25!Y27+HISTOAVRIL25!Y27+HISTOMAI25!Y27+HISTOJUIN25!Y27+HISTOJUIL25!Y27+HISTOAOUT25!Y27+HISTOSEPT25!Y27+HISTOOCT25!Y27+HISTONOV25!Y27+HISTODEC25!Y27</f>
        <v>3000000</v>
      </c>
      <c r="Z27" s="5">
        <f>HISTOJANV25!Z27+HISTOFEV25!Z27+HISTOMARS25!Z27+HISTOAVRIL25!Z27+HISTOMAI25!Z27+HISTOJUIN25!Z27+HISTOJUIL25!Z27+HISTOAOUT25!Z27+HISTOSEPT25!Z27+HISTOOCT25!Z27+HISTONOV25!Z27+HISTODEC25!Z27</f>
        <v>1000000</v>
      </c>
      <c r="AA27" s="5"/>
      <c r="AB27" s="5">
        <f>HISTOJANV25!AB27+HISTOFEV25!AB27+HISTOMARS25!AB27+HISTOAVRIL25!AB27+HISTOMAI25!AB27+HISTOJUIN25!AB27+HISTOJUIL25!AB27+HISTOAOUT25!AB27+HISTOSEPT25!AB27+HISTOOCT25!AB27+HISTONOV25!AB27+HISTODEC25!AB27</f>
        <v>0</v>
      </c>
      <c r="AC27" s="5">
        <f>HISTOJANV25!AC27+HISTOFEV25!AC27+HISTOMARS25!AC27+HISTOAVRIL25!AC27+HISTOMAI25!AC27+HISTOJUIN25!AC27+HISTOJUIL25!AC27+HISTOAOUT25!AC27+HISTOSEPT25!AC27+HISTOOCT25!AC27+HISTONOV25!AC27+HISTODEC25!AC27</f>
        <v>26000</v>
      </c>
      <c r="AD27" s="5">
        <f>HISTOJANV25!AD27+HISTOFEV25!AD27+HISTOMARS25!AD27+HISTOAVRIL25!AD27+HISTOMAI25!AD27+HISTOJUIN25!AD27+HISTOJUIL25!AD27+HISTOAOUT25!AD27+HISTOSEPT25!AD27+HISTOOCT25!AD27+HISTONOV25!AD27+HISTODEC25!AD27</f>
        <v>0</v>
      </c>
      <c r="AE27" s="5">
        <f>HISTOJANV25!AE27+HISTOFEV25!AE27+HISTOMARS25!AE27+HISTOAVRIL25!AE27+HISTOMAI25!AE27+HISTOJUIN25!AE27+HISTOJUIL25!AE27+HISTOAOUT25!AE27+HISTOSEPT25!AE27+HISTOOCT25!AE27+HISTONOV25!AE27+HISTODEC25!AE27</f>
        <v>135000</v>
      </c>
      <c r="AF27" s="5"/>
      <c r="AG27" s="5">
        <f>HISTOJANV25!AG27+HISTOFEV25!AG27+HISTOMARS25!AG27+HISTOAVRIL25!AG27+HISTOMAI25!AG27+HISTOJUIN25!AG27+HISTOJUIL25!AG27+HISTOAOUT25!AG27+HISTOSEPT25!AG27+HISTOOCT25!AG27+HISTONOV25!AG27+HISTODEC25!AG27</f>
        <v>0</v>
      </c>
      <c r="AH27" s="5">
        <f>HISTOJANV25!AH27+HISTOFEV25!AH27+HISTOMARS25!AH27+HISTOAVRIL25!AH27+HISTOMAI25!AH27+HISTOJUIN25!AH27+HISTOJUIL25!AH27+HISTOAOUT25!AH27+HISTOSEPT25!AH27+HISTOOCT25!AH27+HISTONOV25!AH27+HISTODEC25!AH27</f>
        <v>0</v>
      </c>
      <c r="AI27" s="5">
        <f>HISTOJANV25!AI27+HISTOFEV25!AI27+HISTOMARS25!AI27+HISTOAVRIL25!AI27+HISTOMAI25!AI27+HISTOJUIN25!AI27+HISTOJUIL25!AI27+HISTOAOUT25!AI27+HISTOSEPT25!AI27+HISTOOCT25!AI27+HISTONOV25!AI27+HISTODEC25!AI27</f>
        <v>82000</v>
      </c>
      <c r="AJ27" s="5">
        <f>HISTOJANV25!AJ27+HISTOFEV25!AJ27+HISTOMARS25!AJ27+HISTOAVRIL25!AJ27+HISTOMAI25!AJ27+HISTOJUIN25!AJ27+HISTOJUIL25!AJ27+HISTOAOUT25!AJ27+HISTOSEPT25!AJ27+HISTOOCT25!AJ27+HISTONOV25!AJ27+HISTODEC25!AJ27</f>
        <v>0</v>
      </c>
      <c r="AK27" s="5">
        <f>HISTOJANV25!AK27+HISTOFEV25!AK27+HISTOMARS25!AK27+HISTOAVRIL25!AK27+HISTOMAI25!AK27+HISTOJUIN25!AK27+HISTOJUIL25!AK27+HISTOAOUT25!AK27+HISTOSEPT25!AK27+HISTOOCT25!AK27+HISTONOV25!AK27+HISTODEC25!AK27</f>
        <v>1500000</v>
      </c>
      <c r="AL27" s="5">
        <f>HISTOJANV25!AL27+HISTOFEV25!AL27+HISTOMARS25!AL27+HISTOAVRIL25!AL27+HISTOMAI25!AL27+HISTOJUIN25!AL27+HISTOJUIL25!AL27+HISTOAOUT25!AL27+HISTOSEPT25!AL27+HISTOOCT25!AL27+HISTONOV25!AL27+HISTODEC25!AL27</f>
        <v>3500</v>
      </c>
      <c r="AM27" s="5">
        <f>HISTOJANV25!AM27+HISTOFEV25!AM27+HISTOMARS25!AM27+HISTOAVRIL25!AM27+HISTOMAI25!AM27+HISTOJUIN25!AM27+HISTOJUIL25!AM27+HISTOAOUT25!AM27+HISTOSEPT25!AM27+HISTOOCT25!AM27+HISTONOV25!AM27+HISTODEC25!AM27</f>
        <v>0</v>
      </c>
      <c r="AN27" s="5">
        <f>HISTOJANV25!AN27+HISTOFEV25!AN27+HISTOMARS25!AN27+HISTOAVRIL25!AN27+HISTOMAI25!AN27+HISTOJUIN25!AN27+HISTOJUIL25!AN27+HISTOAOUT25!AN27+HISTOSEPT25!AN27+HISTOOCT25!AN27+HISTONOV25!AN27+HISTODEC25!AN27</f>
        <v>33000</v>
      </c>
      <c r="AO27" s="5">
        <f>HISTOJANV25!AO27+HISTOFEV25!AO27+HISTOMARS25!AO27+HISTOAVRIL25!AO27+HISTOMAI25!AO27+HISTOJUIN25!AO27+HISTOJUIL25!AO27+HISTOAOUT25!AO27+HISTOSEPT25!AO27+HISTOOCT25!AO27+HISTONOV25!AO27+HISTODEC25!AO27</f>
        <v>0</v>
      </c>
      <c r="AP27" s="5"/>
      <c r="AQ27" s="5">
        <f>HISTOJANV25!AQ27+HISTOFEV25!AQ27+HISTOMARS25!AQ27+HISTOAVRIL25!AQ27+HISTOMAI25!AQ27+HISTOJUIN25!AQ27+HISTOJUIL25!AQ27+HISTOAOUT25!AQ27+HISTOSEPT25!AQ27+HISTOOCT25!AQ27+HISTONOV25!AQ27+HISTODEC25!AQ27</f>
        <v>0</v>
      </c>
      <c r="AR27" s="5">
        <f>HISTOJANV25!AR27+HISTOFEV25!AR27+HISTOMARS25!AR27+HISTOAVRIL25!AR27+HISTOMAI25!AR27+HISTOJUIN25!AR27+HISTOJUIL25!AR27+HISTOAOUT25!AR27+HISTOSEPT25!AR27+HISTOOCT25!AR27+HISTONOV25!AR27+HISTODEC25!AR27</f>
        <v>0</v>
      </c>
      <c r="AS27" s="5">
        <f>HISTOJANV25!AS27+HISTOFEV25!AS27+HISTOMARS25!AS27+HISTOAVRIL25!AS27+HISTOMAI25!AS27+HISTOJUIN25!AS27+HISTOJUIL25!AS27+HISTOAOUT25!AS27+HISTOSEPT25!AS27+HISTOOCT25!AS27+HISTONOV25!AS27+HISTODEC25!AS27</f>
        <v>287000</v>
      </c>
      <c r="AT27" s="5">
        <f>HISTOJANV25!AT27+HISTOFEV25!AT27+HISTOMARS25!AT27+HISTOAVRIL25!AT27+HISTOMAI25!AT27+HISTOJUIN25!AT27+HISTOJUIL25!AT27+HISTOAOUT25!AT27+HISTOSEPT25!AT27+HISTOOCT25!AT27+HISTONOV25!AT27+HISTODEC25!AT27</f>
        <v>0</v>
      </c>
      <c r="AU27" s="5">
        <f>HISTOJANV25!AU27+HISTOFEV25!AU27+HISTOMARS25!AU27+HISTOAVRIL25!AU27+HISTOMAI25!AU27+HISTOJUIN25!AU27+HISTOJUIL25!AU27+HISTOAOUT25!AU27+HISTOSEPT25!AU27+HISTOOCT25!AU27+HISTONOV25!AU27+HISTODEC25!AU27</f>
        <v>0</v>
      </c>
      <c r="AV27" s="5">
        <f>HISTOJANV25!AV27+HISTOFEV25!AV27+HISTOMARS25!AV27+HISTOAVRIL25!AV27+HISTOMAI25!AV27+HISTOJUIN25!AV27+HISTOJUIL25!AV27+HISTOAOUT25!AV27+HISTOSEPT25!AV27+HISTOOCT25!AV27+HISTONOV25!AV27+HISTODEC25!AV27</f>
        <v>0</v>
      </c>
      <c r="AW27" s="5">
        <f>HISTOJANV25!AW27+HISTOFEV25!AW27+HISTOMARS25!AW27+HISTOAVRIL25!AW27+HISTOMAI25!AW27+HISTOJUIN25!AW27+HISTOJUIL25!AW27+HISTOAOUT25!AW27+HISTOSEPT25!AW27+HISTOOCT25!AW27+HISTONOV25!AW27+HISTODEC25!AW27</f>
        <v>356000</v>
      </c>
      <c r="AX27" s="5">
        <f>HISTOJANV25!AX27+HISTOFEV25!AX27+HISTOMARS25!AX27+HISTOAVRIL25!AX27+HISTOMAI25!AX27+HISTOJUIN25!AX27+HISTOJUIL25!AX27+HISTOAOUT25!AX27+HISTOSEPT25!AX27+HISTOOCT25!AX27+HISTONOV25!AX27+HISTODEC25!AX27</f>
        <v>0</v>
      </c>
      <c r="AY27" s="5">
        <f>HISTOJANV25!AY27+HISTOFEV25!AY27+HISTOMARS25!AY27+HISTOAVRIL25!AY27+HISTOMAI25!AY27+HISTOJUIN25!AY27+HISTOJUIL25!AY27+HISTOAOUT25!AY27+HISTOSEPT25!AY27+HISTOOCT25!AY27+HISTONOV25!AY27+HISTODEC25!AY27</f>
        <v>3765000</v>
      </c>
      <c r="AZ27" s="5">
        <f>HISTOJANV25!AZ27+HISTOFEV25!AZ27+HISTOMARS25!AZ27+HISTOAVRIL25!AZ27+HISTOMAI25!AZ27+HISTOJUIN25!AZ27+HISTOJUIL25!AZ27+HISTOAOUT25!AZ27+HISTOSEPT25!AZ27+HISTOOCT25!AZ27+HISTONOV25!AZ27+HISTODEC25!AZ27</f>
        <v>5171000</v>
      </c>
      <c r="BA27" s="5">
        <f>HISTOJANV25!BA27+HISTOFEV25!BA27+HISTOMARS25!BA27+HISTOAVRIL25!BA27+HISTOMAI25!BA27+HISTOJUIN25!BA27+HISTOJUIL25!BA27+HISTOAOUT25!BA27+HISTOSEPT25!BA27+HISTOOCT25!BA27+HISTONOV25!BA27+HISTODEC25!BA27</f>
        <v>150000</v>
      </c>
      <c r="BB27" s="5">
        <f>HISTOJANV25!BB27+HISTOFEV25!BB27+HISTOMARS25!BB27+HISTOAVRIL25!BB27+HISTOMAI25!BB27+HISTOJUIN25!BB27+HISTOJUIL25!BB27+HISTOAOUT25!BB27+HISTOSEPT25!BB27+HISTOOCT25!BB27+HISTONOV25!BB27+HISTODEC25!BB27+200000</f>
        <v>200000</v>
      </c>
      <c r="BC27" s="5">
        <f>HISTOJANV25!BC27+HISTOFEV25!BC27+HISTOMARS25!BC27+HISTOAVRIL25!BC27+HISTOMAI25!BC27+HISTOJUIN25!BC27+HISTOJUIL25!BC27+HISTOAOUT25!BC27+HISTOSEPT25!BC27+HISTOOCT25!BC27+HISTONOV25!BC27+HISTODEC25!BC27</f>
        <v>133500</v>
      </c>
      <c r="BD27" s="5">
        <f>HISTOJANV25!BD27+HISTOFEV25!BD27+HISTOMARS25!BD27+HISTOAVRIL25!BD27+HISTOMAI25!BD27+HISTOJUIN25!BD27+HISTOJUIL25!BD27+HISTOAOUT25!BD27+HISTOSEPT25!BD27+HISTOOCT25!BD27+HISTONOV25!BD27+HISTODEC25!BD27</f>
        <v>4887500</v>
      </c>
      <c r="BE27" s="5"/>
      <c r="BF27" s="5">
        <f>HISTOJANV25!BF27+HISTOFEV25!BF27+HISTOMARS25!BF27+HISTOAVRIL25!BF27+HISTOMAI25!BF27+HISTOJUIN25!BF27+HISTOJUIL25!BF27+HISTOAOUT25!BF27+HISTOSEPT25!BF27+HISTOOCT25!BF27+HISTONOV25!BF27+HISTODEC25!BF27</f>
        <v>50000</v>
      </c>
      <c r="BG27" s="5">
        <f>HISTOJANV25!BG27+HISTOFEV25!BG27+HISTOMARS25!BG27+HISTOAVRIL25!BG27+HISTOMAI25!BG27+HISTOJUIN25!BG27+HISTOJUIL25!BG27+HISTOAOUT25!BG27+HISTOSEPT25!BG27+HISTOOCT25!BG27+HISTONOV25!BG27+HISTODEC25!BG27</f>
        <v>67</v>
      </c>
      <c r="BH27" s="5">
        <f>HISTOJANV25!BH27+HISTOFEV25!BH27+HISTOMARS25!BH27+HISTOAVRIL25!BH27+HISTOMAI25!BH27+HISTOJUIN25!BH27+HISTOJUIL25!BH27+HISTOAOUT25!BH27+HISTOSEPT25!BH27+HISTOOCT25!BH27+HISTONOV25!BH27+HISTODEC25!BH27</f>
        <v>0</v>
      </c>
      <c r="BI27" s="5">
        <f>HISTOJANV25!BI27+HISTOFEV25!BI27+HISTOMARS25!BI27+HISTOAVRIL25!BI27+HISTOMAI25!BI27+HISTOJUIN25!BI27+HISTOJUIL25!BI27+HISTOAOUT25!BI27+HISTOSEPT25!BI27+HISTOOCT25!BI27+HISTONOV25!BI27+HISTODEC25!BI27</f>
        <v>0</v>
      </c>
      <c r="BJ27" s="5">
        <f>HISTOJANV25!BJ27+HISTOFEV25!BJ27+HISTOMARS25!BJ27+HISTOAVRIL25!BJ27+HISTOMAI25!BJ27+HISTOJUIN25!BJ27+HISTOJUIL25!BJ27+HISTOAOUT25!BJ27+HISTOSEPT25!BJ27+HISTOOCT25!BJ27+HISTONOV25!BJ27+HISTODEC25!BJ27</f>
        <v>0</v>
      </c>
      <c r="BK27" s="5">
        <f>HISTOJANV25!BK27+HISTOFEV25!BK27+HISTOMARS25!BK27+HISTOAVRIL25!BK27+HISTOMAI25!BK27+HISTOJUIN25!BK27+HISTOJUIL25!BK27+HISTOAOUT25!BK27+HISTOSEPT25!BK27+HISTOOCT25!BK27+HISTONOV25!BK27+HISTODEC25!BK27</f>
        <v>100000</v>
      </c>
      <c r="BL27" s="5">
        <f>HISTOJANV25!BL27+HISTOFEV25!BL27+HISTOMARS25!BL27+HISTOAVRIL25!BL27+HISTOMAI25!BL27+HISTOJUIN25!BL27+HISTOJUIL25!BL27+HISTOAOUT25!BL27+HISTOSEPT25!BL27+HISTOOCT25!BL27+HISTONOV25!BL27+HISTODEC25!BL27</f>
        <v>0</v>
      </c>
      <c r="BM27" s="5">
        <f>HISTOJANV25!BM27+HISTOFEV25!BM27+HISTOMARS25!BM27+HISTOAVRIL25!BM27+HISTOMAI25!BM27+HISTOJUIN25!BM27+HISTOJUIL25!BM27+HISTOAOUT25!BM27+HISTOSEPT25!BM27+HISTOOCT25!BM27+HISTONOV25!BM27+HISTODEC25!BM27</f>
        <v>0</v>
      </c>
      <c r="BN27" s="5">
        <f>HISTOJANV25!BN27+HISTOFEV25!BN27+HISTOMARS25!BN27+HISTOAVRIL25!BN27+HISTOMAI25!BN27+HISTOJUIN25!BN27+HISTOJUIL25!BN27+HISTOAOUT25!BN27+HISTOSEPT25!BN27+HISTOOCT25!BN27+HISTONOV25!BN27+HISTODEC25!BN27</f>
        <v>0</v>
      </c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>HISTOJANV25!C28+HISTOFEV25!C28+HISTOMARS25!C28+HISTOAVRIL25!C28+HISTOMAI25!C28+HISTOJUIN25!C28+HISTOJUIL25!C28+HISTOAOUT25!C28+HISTOSEPT25!C28+HISTOOCT25!C28+HISTONOV25!C28+HISTODEC25!C28</f>
        <v>-2674000</v>
      </c>
      <c r="D28" s="5">
        <f>HISTOJANV25!D28+HISTOFEV25!D28+HISTOMARS25!D28+HISTOAVRIL25!D28+HISTOMAI25!D28+HISTOJUIN25!D28+HISTOJUIL25!D28+HISTOAOUT25!D28+HISTOSEPT25!D28+HISTOOCT25!D28+HISTONOV25!D28+HISTODEC25!D28</f>
        <v>1019000</v>
      </c>
      <c r="E28" s="5">
        <f>HISTOJANV25!E28+HISTOFEV25!E28+HISTOMARS25!E28+HISTOAVRIL25!E28+HISTOMAI25!E28+HISTOJUIN25!E28+HISTOJUIL25!E28+HISTOAOUT25!E28+HISTOSEPT25!E28+HISTOOCT25!E28+HISTONOV25!E28+HISTODEC25!E28</f>
        <v>1103000</v>
      </c>
      <c r="F28" s="5">
        <f>HISTOJANV25!F28+HISTOFEV25!F28+HISTOMARS25!F28+HISTOAVRIL25!F28+HISTOMAI25!F28+HISTOJUIN25!F28+HISTOJUIL25!F28+HISTOAOUT25!F28+HISTOSEPT25!F28+HISTOOCT25!F28+HISTONOV25!F28+HISTODEC25!F28</f>
        <v>0</v>
      </c>
      <c r="G28" s="5">
        <f>HISTOJANV25!G28+HISTOFEV25!G28+HISTOMARS25!G28+HISTOAVRIL25!G28+HISTOMAI25!G28+HISTOJUIN25!G28+HISTOJUIL25!G28+HISTOAOUT25!G28+HISTOSEPT25!G28+HISTOOCT25!G28+HISTONOV25!G28+HISTODEC25!G28</f>
        <v>7000</v>
      </c>
      <c r="H28" s="5">
        <f>HISTOJANV25!H28+HISTOFEV25!H28+HISTOMARS25!H28+HISTOAVRIL25!H28+HISTOMAI25!H28+HISTOJUIN25!H28+HISTOJUIL25!H28+HISTOAOUT25!H28+HISTOSEPT25!H28+HISTOOCT25!H28+HISTONOV25!H28+HISTODEC25!H28</f>
        <v>3000</v>
      </c>
      <c r="I28" s="5"/>
      <c r="J28" s="5">
        <f>HISTOJANV25!J28+HISTOFEV25!J28+HISTOMARS25!J28+HISTOAVRIL25!J28+HISTOMAI25!J28+HISTOJUIN25!J28+HISTOJUIL25!J28+HISTOAOUT25!J28+HISTOSEPT25!J28+HISTOOCT25!J28+HISTONOV25!J28+HISTODEC25!J28</f>
        <v>12</v>
      </c>
      <c r="K28" s="5">
        <f>HISTOJANV25!K28+HISTOFEV25!K28+HISTOMARS25!K28+HISTOAVRIL25!K28+HISTOMAI25!K28+HISTOJUIN25!K28+HISTOJUIL25!K28+HISTOAOUT25!K28+HISTOSEPT25!K28+HISTOOCT25!K28+HISTONOV25!K28+HISTODEC25!K28</f>
        <v>600000</v>
      </c>
      <c r="L28" s="5">
        <f>HISTOJANV25!L28+HISTOFEV25!L28+HISTOMARS25!L28+HISTOAVRIL25!L28+HISTOMAI25!L28+HISTOJUIN25!L28+HISTOJUIL25!L28+HISTOAOUT25!L28+HISTOSEPT25!L28+HISTOOCT25!L28+HISTONOV25!L28+HISTODEC25!L28</f>
        <v>0</v>
      </c>
      <c r="M28" s="5">
        <f>HISTOJANV25!M28+HISTOFEV25!M28+HISTOMARS25!M28+HISTOAVRIL25!M28+HISTOMAI25!M28+HISTOJUIN25!M28+HISTOJUIL25!M28+HISTOAOUT25!M28+HISTOSEPT25!M28+HISTOOCT25!M28+HISTONOV25!M28+HISTODEC25!M28</f>
        <v>0</v>
      </c>
      <c r="N28" s="5">
        <f>HISTOJANV25!N28+HISTOFEV25!N28+HISTOMARS25!N28+HISTOAVRIL25!N28+HISTOMAI25!N28+HISTOJUIN25!N28+HISTOJUIL25!N28+HISTOAOUT25!N28+HISTOSEPT25!N28+HISTOOCT25!N28+HISTONOV25!N28+HISTODEC25!N28</f>
        <v>0</v>
      </c>
      <c r="O28" s="5">
        <f>HISTOJANV25!O28+HISTOFEV25!O28+HISTOMARS25!O28+HISTOAVRIL25!O28+HISTOMAI25!O28+HISTOJUIN25!O28+HISTOJUIL25!O28+HISTOAOUT25!O28+HISTOSEPT25!O28+HISTOOCT25!O28+HISTONOV25!O28+HISTODEC25!O28</f>
        <v>0</v>
      </c>
      <c r="P28" s="5">
        <f>HISTOJANV25!P28+HISTOFEV25!P28+HISTOMARS25!P28+HISTOAVRIL25!P28+HISTOMAI25!P28+HISTOJUIN25!P28+HISTOJUIL25!P28+HISTOAOUT25!P28+HISTOSEPT25!P28+HISTOOCT25!P28+HISTONOV25!P28+HISTODEC25!P28</f>
        <v>186000</v>
      </c>
      <c r="Q28" s="5">
        <f>HISTOJANV25!Q28+HISTOFEV25!Q28+HISTOMARS25!Q28+HISTOAVRIL25!Q28+HISTOMAI25!Q28+HISTOJUIN25!Q28+HISTOJUIL25!Q28+HISTOAOUT25!Q28+HISTOSEPT25!Q28+HISTOOCT25!Q28+HISTONOV25!Q28+HISTODEC25!Q28</f>
        <v>0</v>
      </c>
      <c r="R28" s="5">
        <f>HISTOJANV25!R28+HISTOFEV25!R28+HISTOMARS25!R28+HISTOAVRIL25!R28+HISTOMAI25!R28+HISTOJUIN25!R28+HISTOJUIL25!R28+HISTOAOUT25!R28+HISTOSEPT25!R28+HISTOOCT25!R28+HISTONOV25!R28+HISTODEC25!R28</f>
        <v>0</v>
      </c>
      <c r="S28" s="5">
        <f>HISTOJANV25!S28+HISTOFEV25!S28+HISTOMARS25!S28+HISTOAVRIL25!S28+HISTOMAI25!S28+HISTOJUIN25!S28+HISTOJUIL25!S28+HISTOAOUT25!S28+HISTOSEPT25!S28+HISTOOCT25!S28+HISTONOV25!S28+HISTODEC25!S28</f>
        <v>4000000</v>
      </c>
      <c r="T28" s="5"/>
      <c r="U28" s="5">
        <f>HISTOJANV25!U28+HISTOFEV25!U28+HISTOMARS25!U28+HISTOAVRIL25!U28+HISTOMAI25!U28+HISTOJUIN25!U28+HISTOJUIL25!U28+HISTOAOUT25!U28+HISTOSEPT25!U28+HISTOOCT25!U28+HISTONOV25!U28+HISTODEC25!U28</f>
        <v>4796000</v>
      </c>
      <c r="V28" s="5">
        <f>HISTOJANV25!V28+HISTOFEV25!V28+HISTOMARS25!V28+HISTOAVRIL25!V28+HISTOMAI25!V28+HISTOJUIN25!V28+HISTOJUIL25!V28+HISTOAOUT25!V28+HISTOSEPT25!V28+HISTOOCT25!V28+HISTONOV25!V28+HISTODEC25!V28</f>
        <v>0</v>
      </c>
      <c r="W28" s="5">
        <f>HISTOJANV25!W28+HISTOFEV25!W28+HISTOMARS25!W28+HISTOAVRIL25!W28+HISTOMAI25!W28+HISTOJUIN25!W28+HISTOJUIL25!W28+HISTOAOUT25!W28+HISTOSEPT25!W28+HISTOOCT25!W28+HISTONOV25!W28+HISTODEC25!W28</f>
        <v>0</v>
      </c>
      <c r="X28" s="5">
        <f>HISTOJANV25!X28+HISTOFEV25!X28+HISTOMARS25!X28+HISTOAVRIL25!X28+HISTOMAI25!X28+HISTOJUIN25!X28+HISTOJUIL25!X28+HISTOAOUT25!X28+HISTOSEPT25!X28+HISTOOCT25!X28+HISTONOV25!X28+HISTODEC25!X28</f>
        <v>0</v>
      </c>
      <c r="Y28" s="5">
        <f>HISTOJANV25!Y28+HISTOFEV25!Y28+HISTOMARS25!Y28+HISTOAVRIL25!Y28+HISTOMAI25!Y28+HISTOJUIN25!Y28+HISTOJUIL25!Y28+HISTOAOUT25!Y28+HISTOSEPT25!Y28+HISTOOCT25!Y28+HISTONOV25!Y28+HISTODEC25!Y28</f>
        <v>600000</v>
      </c>
      <c r="Z28" s="5">
        <f>HISTOJANV25!Z28+HISTOFEV25!Z28+HISTOMARS25!Z28+HISTOAVRIL25!Z28+HISTOMAI25!Z28+HISTOJUIN25!Z28+HISTOJUIL25!Z28+HISTOAOUT25!Z28+HISTOSEPT25!Z28+HISTOOCT25!Z28+HISTONOV25!Z28+HISTODEC25!Z28</f>
        <v>4000000</v>
      </c>
      <c r="AA28" s="5"/>
      <c r="AB28" s="5">
        <f>HISTOJANV25!AB28+HISTOFEV25!AB28+HISTOMARS25!AB28+HISTOAVRIL25!AB28+HISTOMAI25!AB28+HISTOJUIN25!AB28+HISTOJUIL25!AB28+HISTOAOUT25!AB28+HISTOSEPT25!AB28+HISTOOCT25!AB28+HISTONOV25!AB28+HISTODEC25!AB28</f>
        <v>0</v>
      </c>
      <c r="AC28" s="5">
        <f>HISTOJANV25!AC28+HISTOFEV25!AC28+HISTOMARS25!AC28+HISTOAVRIL25!AC28+HISTOMAI25!AC28+HISTOJUIN25!AC28+HISTOJUIL25!AC28+HISTOAOUT25!AC28+HISTOSEPT25!AC28+HISTOOCT25!AC28+HISTONOV25!AC28+HISTODEC25!AC28</f>
        <v>27000</v>
      </c>
      <c r="AD28" s="5">
        <f>HISTOJANV25!AD28+HISTOFEV25!AD28+HISTOMARS25!AD28+HISTOAVRIL25!AD28+HISTOMAI25!AD28+HISTOJUIN25!AD28+HISTOJUIL25!AD28+HISTOAOUT25!AD28+HISTOSEPT25!AD28+HISTOOCT25!AD28+HISTONOV25!AD28+HISTODEC25!AD28</f>
        <v>0</v>
      </c>
      <c r="AE28" s="5">
        <f>HISTOJANV25!AE28+HISTOFEV25!AE28+HISTOMARS25!AE28+HISTOAVRIL25!AE28+HISTOMAI25!AE28+HISTOJUIN25!AE28+HISTOJUIL25!AE28+HISTOAOUT25!AE28+HISTOSEPT25!AE28+HISTOOCT25!AE28+HISTONOV25!AE28+HISTODEC25!AE28</f>
        <v>0</v>
      </c>
      <c r="AF28" s="5"/>
      <c r="AG28" s="5">
        <f>HISTOJANV25!AG28+HISTOFEV25!AG28+HISTOMARS25!AG28+HISTOAVRIL25!AG28+HISTOMAI25!AG28+HISTOJUIN25!AG28+HISTOJUIL25!AG28+HISTOAOUT25!AG28+HISTOSEPT25!AG28+HISTOOCT25!AG28+HISTONOV25!AG28+HISTODEC25!AG28</f>
        <v>0</v>
      </c>
      <c r="AH28" s="5">
        <f>HISTOJANV25!AH28+HISTOFEV25!AH28+HISTOMARS25!AH28+HISTOAVRIL25!AH28+HISTOMAI25!AH28+HISTOJUIN25!AH28+HISTOJUIL25!AH28+HISTOAOUT25!AH28+HISTOSEPT25!AH28+HISTOOCT25!AH28+HISTONOV25!AH28+HISTODEC25!AH28</f>
        <v>0</v>
      </c>
      <c r="AI28" s="5">
        <f>HISTOJANV25!AI28+HISTOFEV25!AI28+HISTOMARS25!AI28+HISTOAVRIL25!AI28+HISTOMAI25!AI28+HISTOJUIN25!AI28+HISTOJUIL25!AI28+HISTOAOUT25!AI28+HISTOSEPT25!AI28+HISTOOCT25!AI28+HISTONOV25!AI28+HISTODEC25!AI28</f>
        <v>182500</v>
      </c>
      <c r="AJ28" s="5">
        <f>HISTOJANV25!AJ28+HISTOFEV25!AJ28+HISTOMARS25!AJ28+HISTOAVRIL25!AJ28+HISTOMAI25!AJ28+HISTOJUIN25!AJ28+HISTOJUIL25!AJ28+HISTOAOUT25!AJ28+HISTOSEPT25!AJ28+HISTOOCT25!AJ28+HISTONOV25!AJ28+HISTODEC25!AJ28</f>
        <v>0</v>
      </c>
      <c r="AK28" s="5">
        <f>HISTOJANV25!AK28+HISTOFEV25!AK28+HISTOMARS25!AK28+HISTOAVRIL25!AK28+HISTOMAI25!AK28+HISTOJUIN25!AK28+HISTOJUIL25!AK28+HISTOAOUT25!AK28+HISTOSEPT25!AK28+HISTOOCT25!AK28+HISTONOV25!AK28+HISTODEC25!AK28</f>
        <v>0</v>
      </c>
      <c r="AL28" s="5">
        <f>HISTOJANV25!AL28+HISTOFEV25!AL28+HISTOMARS25!AL28+HISTOAVRIL25!AL28+HISTOMAI25!AL28+HISTOJUIN25!AL28+HISTOJUIL25!AL28+HISTOAOUT25!AL28+HISTOSEPT25!AL28+HISTOOCT25!AL28+HISTONOV25!AL28+HISTODEC25!AL28</f>
        <v>3500</v>
      </c>
      <c r="AM28" s="5">
        <f>HISTOJANV25!AM28+HISTOFEV25!AM28+HISTOMARS25!AM28+HISTOAVRIL25!AM28+HISTOMAI25!AM28+HISTOJUIN25!AM28+HISTOJUIL25!AM28+HISTOAOUT25!AM28+HISTOSEPT25!AM28+HISTOOCT25!AM28+HISTONOV25!AM28+HISTODEC25!AM28</f>
        <v>0</v>
      </c>
      <c r="AN28" s="5">
        <f>HISTOJANV25!AN28+HISTOFEV25!AN28+HISTOMARS25!AN28+HISTOAVRIL25!AN28+HISTOMAI25!AN28+HISTOJUIN25!AN28+HISTOJUIL25!AN28+HISTOAOUT25!AN28+HISTOSEPT25!AN28+HISTOOCT25!AN28+HISTONOV25!AN28+HISTODEC25!AN28</f>
        <v>0</v>
      </c>
      <c r="AO28" s="5">
        <f>HISTOJANV25!AO28+HISTOFEV25!AO28+HISTOMARS25!AO28+HISTOAVRIL25!AO28+HISTOMAI25!AO28+HISTOJUIN25!AO28+HISTOJUIL25!AO28+HISTOAOUT25!AO28+HISTOSEPT25!AO28+HISTOOCT25!AO28+HISTONOV25!AO28+HISTODEC25!AO28</f>
        <v>0</v>
      </c>
      <c r="AP28" s="5"/>
      <c r="AQ28" s="5">
        <f>HISTOJANV25!AQ28+HISTOFEV25!AQ28+HISTOMARS25!AQ28+HISTOAVRIL25!AQ28+HISTOMAI25!AQ28+HISTOJUIN25!AQ28+HISTOJUIL25!AQ28+HISTOAOUT25!AQ28+HISTOSEPT25!AQ28+HISTOOCT25!AQ28+HISTONOV25!AQ28+HISTODEC25!AQ28</f>
        <v>0</v>
      </c>
      <c r="AR28" s="5">
        <f>HISTOJANV25!AR28+HISTOFEV25!AR28+HISTOMARS25!AR28+HISTOAVRIL25!AR28+HISTOMAI25!AR28+HISTOJUIN25!AR28+HISTOJUIL25!AR28+HISTOAOUT25!AR28+HISTOSEPT25!AR28+HISTOOCT25!AR28+HISTONOV25!AR28+HISTODEC25!AR28</f>
        <v>0</v>
      </c>
      <c r="AS28" s="5">
        <f>HISTOJANV25!AS28+HISTOFEV25!AS28+HISTOMARS25!AS28+HISTOAVRIL25!AS28+HISTOMAI25!AS28+HISTOJUIN25!AS28+HISTOJUIL25!AS28+HISTOAOUT25!AS28+HISTOSEPT25!AS28+HISTOOCT25!AS28+HISTONOV25!AS28+HISTODEC25!AS28</f>
        <v>307000</v>
      </c>
      <c r="AT28" s="5">
        <f>HISTOJANV25!AT28+HISTOFEV25!AT28+HISTOMARS25!AT28+HISTOAVRIL25!AT28+HISTOMAI25!AT28+HISTOJUIN25!AT28+HISTOJUIL25!AT28+HISTOAOUT25!AT28+HISTOSEPT25!AT28+HISTOOCT25!AT28+HISTONOV25!AT28+HISTODEC25!AT28</f>
        <v>0</v>
      </c>
      <c r="AU28" s="5">
        <f>HISTOJANV25!AU28+HISTOFEV25!AU28+HISTOMARS25!AU28+HISTOAVRIL25!AU28+HISTOMAI25!AU28+HISTOJUIN25!AU28+HISTOJUIL25!AU28+HISTOAOUT25!AU28+HISTOSEPT25!AU28+HISTOOCT25!AU28+HISTONOV25!AU28+HISTODEC25!AU28</f>
        <v>0</v>
      </c>
      <c r="AV28" s="5">
        <f>HISTOJANV25!AV28+HISTOFEV25!AV28+HISTOMARS25!AV28+HISTOAVRIL25!AV28+HISTOMAI25!AV28+HISTOJUIN25!AV28+HISTOJUIL25!AV28+HISTOAOUT25!AV28+HISTOSEPT25!AV28+HISTOOCT25!AV28+HISTONOV25!AV28+HISTODEC25!AV28</f>
        <v>0</v>
      </c>
      <c r="AW28" s="5">
        <f>HISTOJANV25!AW28+HISTOFEV25!AW28+HISTOMARS25!AW28+HISTOAVRIL25!AW28+HISTOMAI25!AW28+HISTOJUIN25!AW28+HISTOJUIL25!AW28+HISTOAOUT25!AW28+HISTOSEPT25!AW28+HISTOOCT25!AW28+HISTONOV25!AW28+HISTODEC25!AW28</f>
        <v>455500</v>
      </c>
      <c r="AX28" s="5">
        <f>HISTOJANV25!AX28+HISTOFEV25!AX28+HISTOMARS25!AX28+HISTOAVRIL25!AX28+HISTOMAI25!AX28+HISTOJUIN25!AX28+HISTOJUIL25!AX28+HISTOAOUT25!AX28+HISTOSEPT25!AX28+HISTOOCT25!AX28+HISTONOV25!AX28+HISTODEC25!AX28</f>
        <v>0</v>
      </c>
      <c r="AY28" s="5">
        <f>HISTOJANV25!AY28+HISTOFEV25!AY28+HISTOMARS25!AY28+HISTOAVRIL25!AY28+HISTOMAI25!AY28+HISTOJUIN25!AY28+HISTOJUIL25!AY28+HISTOAOUT25!AY28+HISTOSEPT25!AY28+HISTOOCT25!AY28+HISTONOV25!AY28+HISTODEC25!AY28</f>
        <v>0</v>
      </c>
      <c r="AZ28" s="5">
        <f>HISTOJANV25!AZ28+HISTOFEV25!AZ28+HISTOMARS25!AZ28+HISTOAVRIL25!AZ28+HISTOMAI25!AZ28+HISTOJUIN25!AZ28+HISTOJUIL25!AZ28+HISTOAOUT25!AZ28+HISTOSEPT25!AZ28+HISTOOCT25!AZ28+HISTONOV25!AZ28+HISTODEC25!AZ28</f>
        <v>4365500</v>
      </c>
      <c r="BA28" s="5">
        <f>HISTOJANV25!BA28+HISTOFEV25!BA28+HISTOMARS25!BA28+HISTOAVRIL25!BA28+HISTOMAI25!BA28+HISTOJUIN25!BA28+HISTOJUIL25!BA28+HISTOAOUT25!BA28+HISTOSEPT25!BA28+HISTOOCT25!BA28+HISTONOV25!BA28+HISTODEC25!BA28</f>
        <v>611500</v>
      </c>
      <c r="BB28" s="5">
        <f>HISTOJANV25!BB28+HISTOFEV25!BB28+HISTOMARS25!BB28+HISTOAVRIL25!BB28+HISTOMAI25!BB28+HISTOJUIN25!BB28+HISTOJUIL25!BB28+HISTOAOUT25!BB28+HISTOSEPT25!BB28+HISTOOCT25!BB28+HISTONOV25!BB28+HISTODEC25!BB28</f>
        <v>0</v>
      </c>
      <c r="BC28" s="5">
        <f>HISTOJANV25!BC28+HISTOFEV25!BC28+HISTOMARS25!BC28+HISTOAVRIL25!BC28+HISTOMAI25!BC28+HISTOJUIN25!BC28+HISTOJUIL25!BC28+HISTOAOUT25!BC28+HISTOSEPT25!BC28+HISTOOCT25!BC28+HISTONOV25!BC28+HISTODEC25!BC28</f>
        <v>0</v>
      </c>
      <c r="BD28" s="5">
        <f>HISTOJANV25!BD28+HISTOFEV25!BD28+HISTOMARS25!BD28+HISTOAVRIL25!BD28+HISTOMAI25!BD28+HISTOJUIN25!BD28+HISTOJUIL25!BD28+HISTOAOUT25!BD28+HISTOSEPT25!BD28+HISTOOCT25!BD28+HISTONOV25!BD28+HISTODEC25!BD28</f>
        <v>2754500</v>
      </c>
      <c r="BE28" s="5"/>
      <c r="BF28" s="5">
        <f>HISTOJANV25!BF28+HISTOFEV25!BF28+HISTOMARS25!BF28+HISTOAVRIL25!BF28+HISTOMAI25!BF28+HISTOJUIN25!BF28+HISTOJUIL25!BF28+HISTOAOUT25!BF28+HISTOSEPT25!BF28+HISTOOCT25!BF28+HISTONOV25!BF28+HISTODEC25!BF28</f>
        <v>120000</v>
      </c>
      <c r="BG28" s="5">
        <f>HISTOJANV25!BG28+HISTOFEV25!BG28+HISTOMARS25!BG28+HISTOAVRIL25!BG28+HISTOMAI25!BG28+HISTOJUIN25!BG28+HISTOJUIL25!BG28+HISTOAOUT25!BG28+HISTOSEPT25!BG28+HISTOOCT25!BG28+HISTONOV25!BG28+HISTODEC25!BG28</f>
        <v>61</v>
      </c>
      <c r="BH28" s="5">
        <f>HISTOJANV25!BH28+HISTOFEV25!BH28+HISTOMARS25!BH28+HISTOAVRIL25!BH28+HISTOMAI25!BH28+HISTOJUIN25!BH28+HISTOJUIL25!BH28+HISTOAOUT25!BH28+HISTOSEPT25!BH28+HISTOOCT25!BH28+HISTONOV25!BH28+HISTODEC25!BH28</f>
        <v>0</v>
      </c>
      <c r="BI28" s="5">
        <f>HISTOJANV25!BI28+HISTOFEV25!BI28+HISTOMARS25!BI28+HISTOAVRIL25!BI28+HISTOMAI25!BI28+HISTOJUIN25!BI28+HISTOJUIL25!BI28+HISTOAOUT25!BI28+HISTOSEPT25!BI28+HISTOOCT25!BI28+HISTONOV25!BI28+HISTODEC25!BI28</f>
        <v>0</v>
      </c>
      <c r="BJ28" s="5">
        <f>HISTOJANV25!BJ28+HISTOFEV25!BJ28+HISTOMARS25!BJ28+HISTOAVRIL25!BJ28+HISTOMAI25!BJ28+HISTOJUIN25!BJ28+HISTOJUIL25!BJ28+HISTOAOUT25!BJ28+HISTOSEPT25!BJ28+HISTOOCT25!BJ28+HISTONOV25!BJ28+HISTODEC25!BJ28</f>
        <v>0</v>
      </c>
      <c r="BK28" s="5">
        <f>HISTOJANV25!BK28+HISTOFEV25!BK28+HISTOMARS25!BK28+HISTOAVRIL25!BK28+HISTOMAI25!BK28+HISTOJUIN25!BK28+HISTOJUIL25!BK28+HISTOAOUT25!BK28+HISTOSEPT25!BK28+HISTOOCT25!BK28+HISTONOV25!BK28+HISTODEC25!BK28</f>
        <v>0</v>
      </c>
      <c r="BL28" s="5">
        <f>HISTOJANV25!BL28+HISTOFEV25!BL28+HISTOMARS25!BL28+HISTOAVRIL25!BL28+HISTOMAI25!BL28+HISTOJUIN25!BL28+HISTOJUIL25!BL28+HISTOAOUT25!BL28+HISTOSEPT25!BL28+HISTOOCT25!BL28+HISTONOV25!BL28+HISTODEC25!BL28</f>
        <v>0</v>
      </c>
      <c r="BM28" s="5">
        <f>HISTOJANV25!BM28+HISTOFEV25!BM28+HISTOMARS25!BM28+HISTOAVRIL25!BM28+HISTOMAI25!BM28+HISTOJUIN25!BM28+HISTOJUIL25!BM28+HISTOAOUT25!BM28+HISTOSEPT25!BM28+HISTOOCT25!BM28+HISTONOV25!BM28+HISTODEC25!BM28</f>
        <v>0</v>
      </c>
      <c r="BN28" s="5">
        <f>HISTOJANV25!BN28+HISTOFEV25!BN28+HISTOMARS25!BN28+HISTOAVRIL25!BN28+HISTOMAI25!BN28+HISTOJUIN25!BN28+HISTOJUIL25!BN28+HISTOAOUT25!BN28+HISTOSEPT25!BN28+HISTOOCT25!BN28+HISTONOV25!BN28+HISTODEC25!BN28</f>
        <v>0</v>
      </c>
      <c r="BQ28" s="62"/>
    </row>
    <row r="29" spans="1:69" ht="17.5" x14ac:dyDescent="0.35">
      <c r="A29" s="1" t="s">
        <v>158</v>
      </c>
      <c r="B29" s="1" t="str">
        <f>VLOOKUP(A29,[5]LISTADHERENT!A$5:H$50,3,0)</f>
        <v>NOUBE ETIENNE</v>
      </c>
      <c r="C29" s="5">
        <f>HISTOJANV25!C29+HISTOFEV25!C29+HISTOMARS25!C29+HISTOAVRIL25!C29+HISTOMAI25!C29+HISTOJUIN25!C29+HISTOJUIL25!C29+HISTOAOUT25!C29+HISTOSEPT25!C29+HISTOOCT25!C29+HISTONOV25!C29+HISTODEC25!C29</f>
        <v>0</v>
      </c>
      <c r="D29" s="5">
        <f>HISTOJANV25!D29+HISTOFEV25!D29+HISTOMARS25!D29+HISTOAVRIL25!D29+HISTOMAI25!D29+HISTOJUIN25!D29+HISTOJUIL25!D29+HISTOAOUT25!D29+HISTOSEPT25!D29+HISTOOCT25!D29+HISTONOV25!D29+HISTODEC25!D29</f>
        <v>850000</v>
      </c>
      <c r="E29" s="5">
        <f>HISTOJANV25!E29+HISTOFEV25!E29+HISTOMARS25!E29+HISTOAVRIL25!E29+HISTOMAI25!E29+HISTOJUIN25!E29+HISTOJUIL25!E29+HISTOAOUT25!E29+HISTOSEPT25!E29+HISTOOCT25!E29+HISTONOV25!E29+HISTODEC25!E29</f>
        <v>150000</v>
      </c>
      <c r="F29" s="5">
        <f>HISTOJANV25!F29+HISTOFEV25!F29+HISTOMARS25!F29+HISTOAVRIL25!F29+HISTOMAI25!F29+HISTOJUIN25!F29+HISTOJUIL25!F29+HISTOAOUT25!F29+HISTOSEPT25!F29+HISTOOCT25!F29+HISTONOV25!F29+HISTODEC25!F29</f>
        <v>0</v>
      </c>
      <c r="G29" s="5">
        <f>HISTOJANV25!G29+HISTOFEV25!G29+HISTOMARS25!G29+HISTOAVRIL25!G29+HISTOMAI25!G29+HISTOJUIN25!G29+HISTOJUIL25!G29+HISTOAOUT25!G29+HISTOSEPT25!G29+HISTOOCT25!G29+HISTONOV25!G29+HISTODEC25!G29</f>
        <v>0</v>
      </c>
      <c r="H29" s="5">
        <f>HISTOJANV25!H29+HISTOFEV25!H29+HISTOMARS25!H29+HISTOAVRIL25!H29+HISTOMAI25!H29+HISTOJUIN25!H29+HISTOJUIL25!H29+HISTOAOUT25!H29+HISTOSEPT25!H29+HISTOOCT25!H29+HISTONOV25!H29+HISTODEC25!H29</f>
        <v>0</v>
      </c>
      <c r="I29" s="5"/>
      <c r="J29" s="5">
        <f>HISTOJANV25!J29+HISTOFEV25!J29+HISTOMARS25!J29+HISTOAVRIL25!J29+HISTOMAI25!J29+HISTOJUIN25!J29+HISTOJUIL25!J29+HISTOAOUT25!J29+HISTOSEPT25!J29+HISTOOCT25!J29+HISTONOV25!J29+HISTODEC25!J29</f>
        <v>12</v>
      </c>
      <c r="K29" s="5">
        <f>HISTOJANV25!K29+HISTOFEV25!K29+HISTOMARS25!K29+HISTOAVRIL25!K29+HISTOMAI25!K29+HISTOJUIN25!K29+HISTOJUIL25!K29+HISTOAOUT25!K29+HISTOSEPT25!K29+HISTOOCT25!K29+HISTONOV25!K29+HISTODEC25!K29</f>
        <v>600000</v>
      </c>
      <c r="L29" s="5">
        <f>HISTOJANV25!L29+HISTOFEV25!L29+HISTOMARS25!L29+HISTOAVRIL25!L29+HISTOMAI25!L29+HISTOJUIN25!L29+HISTOJUIL25!L29+HISTOAOUT25!L29+HISTOSEPT25!L29+HISTOOCT25!L29+HISTONOV25!L29+HISTODEC25!L29</f>
        <v>0</v>
      </c>
      <c r="M29" s="5">
        <f>HISTOJANV25!M29+HISTOFEV25!M29+HISTOMARS25!M29+HISTOAVRIL25!M29+HISTOMAI25!M29+HISTOJUIN25!M29+HISTOJUIL25!M29+HISTOAOUT25!M29+HISTOSEPT25!M29+HISTOOCT25!M29+HISTONOV25!M29+HISTODEC25!M29</f>
        <v>0</v>
      </c>
      <c r="N29" s="5">
        <f>HISTOJANV25!N29+HISTOFEV25!N29+HISTOMARS25!N29+HISTOAVRIL25!N29+HISTOMAI25!N29+HISTOJUIN25!N29+HISTOJUIL25!N29+HISTOAOUT25!N29+HISTOSEPT25!N29+HISTOOCT25!N29+HISTONOV25!N29+HISTODEC25!N29</f>
        <v>0</v>
      </c>
      <c r="O29" s="5">
        <f>HISTOJANV25!O29+HISTOFEV25!O29+HISTOMARS25!O29+HISTOAVRIL25!O29+HISTOMAI25!O29+HISTOJUIN25!O29+HISTOJUIL25!O29+HISTOAOUT25!O29+HISTOSEPT25!O29+HISTOOCT25!O29+HISTONOV25!O29+HISTODEC25!O29</f>
        <v>0</v>
      </c>
      <c r="P29" s="5">
        <f>HISTOJANV25!P29+HISTOFEV25!P29+HISTOMARS25!P29+HISTOAVRIL25!P29+HISTOMAI25!P29+HISTOJUIN25!P29+HISTOJUIL25!P29+HISTOAOUT25!P29+HISTOSEPT25!P29+HISTOOCT25!P29+HISTONOV25!P29+HISTODEC25!P29</f>
        <v>0</v>
      </c>
      <c r="Q29" s="5">
        <f>HISTOJANV25!Q29+HISTOFEV25!Q29+HISTOMARS25!Q29+HISTOAVRIL25!Q29+HISTOMAI25!Q29+HISTOJUIN25!Q29+HISTOJUIL25!Q29+HISTOAOUT25!Q29+HISTOSEPT25!Q29+HISTOOCT25!Q29+HISTONOV25!Q29+HISTODEC25!Q29</f>
        <v>0</v>
      </c>
      <c r="R29" s="5">
        <f>HISTOJANV25!R29+HISTOFEV25!R29+HISTOMARS25!R29+HISTOAVRIL25!R29+HISTOMAI25!R29+HISTOJUIN25!R29+HISTOJUIL25!R29+HISTOAOUT25!R29+HISTOSEPT25!R29+HISTOOCT25!R29+HISTONOV25!R29+HISTODEC25!R29</f>
        <v>0</v>
      </c>
      <c r="S29" s="5">
        <f>HISTOJANV25!S29+HISTOFEV25!S29+HISTOMARS25!S29+HISTOAVRIL25!S29+HISTOMAI25!S29+HISTOJUIN25!S29+HISTOJUIL25!S29+HISTOAOUT25!S29+HISTOSEPT25!S29+HISTOOCT25!S29+HISTONOV25!S29+HISTODEC25!S29</f>
        <v>400000</v>
      </c>
      <c r="T29" s="5"/>
      <c r="U29" s="5">
        <f>HISTOJANV25!U29+HISTOFEV25!U29+HISTOMARS25!U29+HISTOAVRIL25!U29+HISTOMAI25!U29+HISTOJUIN25!U29+HISTOJUIL25!U29+HISTOAOUT25!U29+HISTOSEPT25!U29+HISTOOCT25!U29+HISTONOV25!U29+HISTODEC25!U29</f>
        <v>1000000</v>
      </c>
      <c r="V29" s="5">
        <f>HISTOJANV25!V29+HISTOFEV25!V29+HISTOMARS25!V29+HISTOAVRIL25!V29+HISTOMAI25!V29+HISTOJUIN25!V29+HISTOJUIL25!V29+HISTOAOUT25!V29+HISTOSEPT25!V29+HISTOOCT25!V29+HISTONOV25!V29+HISTODEC25!V29</f>
        <v>0</v>
      </c>
      <c r="W29" s="5">
        <f>HISTOJANV25!W29+HISTOFEV25!W29+HISTOMARS25!W29+HISTOAVRIL25!W29+HISTOMAI25!W29+HISTOJUIN25!W29+HISTOJUIL25!W29+HISTOAOUT25!W29+HISTOSEPT25!W29+HISTOOCT25!W29+HISTONOV25!W29+HISTODEC25!W29</f>
        <v>0</v>
      </c>
      <c r="X29" s="5">
        <f>HISTOJANV25!X29+HISTOFEV25!X29+HISTOMARS25!X29+HISTOAVRIL25!X29+HISTOMAI25!X29+HISTOJUIN25!X29+HISTOJUIL25!X29+HISTOAOUT25!X29+HISTOSEPT25!X29+HISTOOCT25!X29+HISTONOV25!X29+HISTODEC25!X29</f>
        <v>0</v>
      </c>
      <c r="Y29" s="5">
        <f>HISTOJANV25!Y29+HISTOFEV25!Y29+HISTOMARS25!Y29+HISTOAVRIL25!Y29+HISTOMAI25!Y29+HISTOJUIN25!Y29+HISTOJUIL25!Y29+HISTOAOUT25!Y29+HISTOSEPT25!Y29+HISTOOCT25!Y29+HISTONOV25!Y29+HISTODEC25!Y29</f>
        <v>600000</v>
      </c>
      <c r="Z29" s="5">
        <f>HISTOJANV25!Z29+HISTOFEV25!Z29+HISTOMARS25!Z29+HISTOAVRIL25!Z29+HISTOMAI25!Z29+HISTOJUIN25!Z29+HISTOJUIL25!Z29+HISTOAOUT25!Z29+HISTOSEPT25!Z29+HISTOOCT25!Z29+HISTONOV25!Z29+HISTODEC25!Z29</f>
        <v>400000</v>
      </c>
      <c r="AA29" s="5"/>
      <c r="AB29" s="5">
        <f>HISTOJANV25!AB29+HISTOFEV25!AB29+HISTOMARS25!AB29+HISTOAVRIL25!AB29+HISTOMAI25!AB29+HISTOJUIN25!AB29+HISTOJUIL25!AB29+HISTOAOUT25!AB29+HISTOSEPT25!AB29+HISTOOCT25!AB29+HISTONOV25!AB29+HISTODEC25!AB29</f>
        <v>0</v>
      </c>
      <c r="AC29" s="5">
        <f>HISTOJANV25!AC29+HISTOFEV25!AC29+HISTOMARS25!AC29+HISTOAVRIL25!AC29+HISTOMAI25!AC29+HISTOJUIN25!AC29+HISTOJUIL25!AC29+HISTOAOUT25!AC29+HISTOSEPT25!AC29+HISTOOCT25!AC29+HISTONOV25!AC29+HISTODEC25!AC29</f>
        <v>2500</v>
      </c>
      <c r="AD29" s="5">
        <f>HISTOJANV25!AD29+HISTOFEV25!AD29+HISTOMARS25!AD29+HISTOAVRIL25!AD29+HISTOMAI25!AD29+HISTOJUIN25!AD29+HISTOJUIL25!AD29+HISTOAOUT25!AD29+HISTOSEPT25!AD29+HISTOOCT25!AD29+HISTONOV25!AD29+HISTODEC25!AD29</f>
        <v>0</v>
      </c>
      <c r="AE29" s="5">
        <f>HISTOJANV25!AE29+HISTOFEV25!AE29+HISTOMARS25!AE29+HISTOAVRIL25!AE29+HISTOMAI25!AE29+HISTOJUIN25!AE29+HISTOJUIL25!AE29+HISTOAOUT25!AE29+HISTOSEPT25!AE29+HISTOOCT25!AE29+HISTONOV25!AE29+HISTODEC25!AE29</f>
        <v>0</v>
      </c>
      <c r="AF29" s="5"/>
      <c r="AG29" s="5">
        <f>HISTOJANV25!AG29+HISTOFEV25!AG29+HISTOMARS25!AG29+HISTOAVRIL25!AG29+HISTOMAI25!AG29+HISTOJUIN25!AG29+HISTOJUIL25!AG29+HISTOAOUT25!AG29+HISTOSEPT25!AG29+HISTOOCT25!AG29+HISTONOV25!AG29+HISTODEC25!AG29</f>
        <v>0</v>
      </c>
      <c r="AH29" s="5">
        <f>HISTOJANV25!AH29+HISTOFEV25!AH29+HISTOMARS25!AH29+HISTOAVRIL25!AH29+HISTOMAI25!AH29+HISTOJUIN25!AH29+HISTOJUIL25!AH29+HISTOAOUT25!AH29+HISTOSEPT25!AH29+HISTOOCT25!AH29+HISTONOV25!AH29+HISTODEC25!AH29</f>
        <v>0</v>
      </c>
      <c r="AI29" s="5">
        <f>HISTOJANV25!AI29+HISTOFEV25!AI29+HISTOMARS25!AI29+HISTOAVRIL25!AI29+HISTOMAI25!AI29+HISTOJUIN25!AI29+HISTOJUIL25!AI29+HISTOAOUT25!AI29+HISTOSEPT25!AI29+HISTOOCT25!AI29+HISTONOV25!AI29+HISTODEC25!AI29</f>
        <v>0</v>
      </c>
      <c r="AJ29" s="5">
        <f>HISTOJANV25!AJ29+HISTOFEV25!AJ29+HISTOMARS25!AJ29+HISTOAVRIL25!AJ29+HISTOMAI25!AJ29+HISTOJUIN25!AJ29+HISTOJUIL25!AJ29+HISTOAOUT25!AJ29+HISTOSEPT25!AJ29+HISTOOCT25!AJ29+HISTONOV25!AJ29+HISTODEC25!AJ29</f>
        <v>0</v>
      </c>
      <c r="AK29" s="5">
        <f>HISTOJANV25!AK29+HISTOFEV25!AK29+HISTOMARS25!AK29+HISTOAVRIL25!AK29+HISTOMAI25!AK29+HISTOJUIN25!AK29+HISTOJUIL25!AK29+HISTOAOUT25!AK29+HISTOSEPT25!AK29+HISTOOCT25!AK29+HISTONOV25!AK29+HISTODEC25!AK29</f>
        <v>0</v>
      </c>
      <c r="AL29" s="5">
        <f>HISTOJANV25!AL29+HISTOFEV25!AL29+HISTOMARS25!AL29+HISTOAVRIL25!AL29+HISTOMAI25!AL29+HISTOJUIN25!AL29+HISTOJUIL25!AL29+HISTOAOUT25!AL29+HISTOSEPT25!AL29+HISTOOCT25!AL29+HISTONOV25!AL29+HISTODEC25!AL29</f>
        <v>0</v>
      </c>
      <c r="AM29" s="5">
        <f>HISTOJANV25!AM29+HISTOFEV25!AM29+HISTOMARS25!AM29+HISTOAVRIL25!AM29+HISTOMAI25!AM29+HISTOJUIN25!AM29+HISTOJUIL25!AM29+HISTOAOUT25!AM29+HISTOSEPT25!AM29+HISTOOCT25!AM29+HISTONOV25!AM29+HISTODEC25!AM29</f>
        <v>0</v>
      </c>
      <c r="AN29" s="5">
        <f>HISTOJANV25!AN29+HISTOFEV25!AN29+HISTOMARS25!AN29+HISTOAVRIL25!AN29+HISTOMAI25!AN29+HISTOJUIN25!AN29+HISTOJUIL25!AN29+HISTOAOUT25!AN29+HISTOSEPT25!AN29+HISTOOCT25!AN29+HISTONOV25!AN29+HISTODEC25!AN29</f>
        <v>0</v>
      </c>
      <c r="AO29" s="5">
        <f>HISTOJANV25!AO29+HISTOFEV25!AO29+HISTOMARS25!AO29+HISTOAVRIL25!AO29+HISTOMAI25!AO29+HISTOJUIN25!AO29+HISTOJUIL25!AO29+HISTOAOUT25!AO29+HISTOSEPT25!AO29+HISTOOCT25!AO29+HISTONOV25!AO29+HISTODEC25!AO29</f>
        <v>0</v>
      </c>
      <c r="AP29" s="5"/>
      <c r="AQ29" s="5">
        <f>HISTOJANV25!AQ29+HISTOFEV25!AQ29+HISTOMARS25!AQ29+HISTOAVRIL25!AQ29+HISTOMAI25!AQ29+HISTOJUIN25!AQ29+HISTOJUIL25!AQ29+HISTOAOUT25!AQ29+HISTOSEPT25!AQ29+HISTOOCT25!AQ29+HISTONOV25!AQ29+HISTODEC25!AQ29</f>
        <v>0</v>
      </c>
      <c r="AR29" s="5">
        <f>HISTOJANV25!AR29+HISTOFEV25!AR29+HISTOMARS25!AR29+HISTOAVRIL25!AR29+HISTOMAI25!AR29+HISTOJUIN25!AR29+HISTOJUIL25!AR29+HISTOAOUT25!AR29+HISTOSEPT25!AR29+HISTOOCT25!AR29+HISTONOV25!AR29+HISTODEC25!AR29</f>
        <v>0</v>
      </c>
      <c r="AS29" s="5">
        <f>HISTOJANV25!AS29+HISTOFEV25!AS29+HISTOMARS25!AS29+HISTOAVRIL25!AS29+HISTOMAI25!AS29+HISTOJUIN25!AS29+HISTOJUIL25!AS29+HISTOAOUT25!AS29+HISTOSEPT25!AS29+HISTOOCT25!AS29+HISTONOV25!AS29+HISTODEC25!AS29</f>
        <v>300000</v>
      </c>
      <c r="AT29" s="5">
        <f>HISTOJANV25!AT29+HISTOFEV25!AT29+HISTOMARS25!AT29+HISTOAVRIL25!AT29+HISTOMAI25!AT29+HISTOJUIN25!AT29+HISTOJUIL25!AT29+HISTOAOUT25!AT29+HISTOSEPT25!AT29+HISTOOCT25!AT29+HISTONOV25!AT29+HISTODEC25!AT29</f>
        <v>0</v>
      </c>
      <c r="AU29" s="5">
        <f>HISTOJANV25!AU29+HISTOFEV25!AU29+HISTOMARS25!AU29+HISTOAVRIL25!AU29+HISTOMAI25!AU29+HISTOJUIN25!AU29+HISTOJUIL25!AU29+HISTOAOUT25!AU29+HISTOSEPT25!AU29+HISTOOCT25!AU29+HISTONOV25!AU29+HISTODEC25!AU29</f>
        <v>0</v>
      </c>
      <c r="AV29" s="5">
        <f>HISTOJANV25!AV29+HISTOFEV25!AV29+HISTOMARS25!AV29+HISTOAVRIL25!AV29+HISTOMAI25!AV29+HISTOJUIN25!AV29+HISTOJUIL25!AV29+HISTOAOUT25!AV29+HISTOSEPT25!AV29+HISTOOCT25!AV29+HISTONOV25!AV29+HISTODEC25!AV29</f>
        <v>0</v>
      </c>
      <c r="AW29" s="5">
        <f>HISTOJANV25!AW29+HISTOFEV25!AW29+HISTOMARS25!AW29+HISTOAVRIL25!AW29+HISTOMAI25!AW29+HISTOJUIN25!AW29+HISTOJUIL25!AW29+HISTOAOUT25!AW29+HISTOSEPT25!AW29+HISTOOCT25!AW29+HISTONOV25!AW29+HISTODEC25!AW29</f>
        <v>297500</v>
      </c>
      <c r="AX29" s="5">
        <f>HISTOJANV25!AX29+HISTOFEV25!AX29+HISTOMARS25!AX29+HISTOAVRIL25!AX29+HISTOMAI25!AX29+HISTOJUIN25!AX29+HISTOJUIL25!AX29+HISTOAOUT25!AX29+HISTOSEPT25!AX29+HISTOOCT25!AX29+HISTONOV25!AX29+HISTODEC25!AX29</f>
        <v>0</v>
      </c>
      <c r="AY29" s="5">
        <f>HISTOJANV25!AY29+HISTOFEV25!AY29+HISTOMARS25!AY29+HISTOAVRIL25!AY29+HISTOMAI25!AY29+HISTOJUIN25!AY29+HISTOJUIL25!AY29+HISTOAOUT25!AY29+HISTOSEPT25!AY29+HISTOOCT25!AY29+HISTONOV25!AY29+HISTODEC25!AY29</f>
        <v>0</v>
      </c>
      <c r="AZ29" s="5">
        <f>HISTOJANV25!AZ29+HISTOFEV25!AZ29+HISTOMARS25!AZ29+HISTOAVRIL25!AZ29+HISTOMAI25!AZ29+HISTOJUIN25!AZ29+HISTOJUIL25!AZ29+HISTOAOUT25!AZ29+HISTOSEPT25!AZ29+HISTOOCT25!AZ29+HISTONOV25!AZ29+HISTODEC25!AZ29</f>
        <v>681500</v>
      </c>
      <c r="BA29" s="5">
        <f>HISTOJANV25!BA29+HISTOFEV25!BA29+HISTOMARS25!BA29+HISTOAVRIL25!BA29+HISTOMAI25!BA29+HISTOJUIN25!BA29+HISTOJUIL25!BA29+HISTOAOUT25!BA29+HISTOSEPT25!BA29+HISTOOCT25!BA29+HISTONOV25!BA29+HISTODEC25!BA29</f>
        <v>297500</v>
      </c>
      <c r="BB29" s="5">
        <f>HISTOJANV25!BB29+HISTOFEV25!BB29+HISTOMARS25!BB29+HISTOAVRIL25!BB29+HISTOMAI25!BB29+HISTOJUIN25!BB29+HISTOJUIL25!BB29+HISTOAOUT25!BB29+HISTOSEPT25!BB29+HISTOOCT25!BB29+HISTONOV25!BB29+HISTODEC25!BB29</f>
        <v>0</v>
      </c>
      <c r="BC29" s="5">
        <f>HISTOJANV25!BC29+HISTOFEV25!BC29+HISTOMARS25!BC29+HISTOAVRIL25!BC29+HISTOMAI25!BC29+HISTOJUIN25!BC29+HISTOJUIL25!BC29+HISTOAOUT25!BC29+HISTOSEPT25!BC29+HISTOOCT25!BC29+HISTONOV25!BC29+HISTODEC25!BC29</f>
        <v>0</v>
      </c>
      <c r="BD29" s="5">
        <f>HISTOJANV25!BD29+HISTOFEV25!BD29+HISTOMARS25!BD29+HISTOAVRIL25!BD29+HISTOMAI25!BD29+HISTOJUIN25!BD29+HISTOJUIL25!BD29+HISTOAOUT25!BD29+HISTOSEPT25!BD29+HISTOOCT25!BD29+HISTONOV25!BD29+HISTODEC25!BD29</f>
        <v>484000</v>
      </c>
      <c r="BE29" s="5"/>
      <c r="BF29" s="5">
        <f>HISTOJANV25!BF29+HISTOFEV25!BF29+HISTOMARS25!BF29+HISTOAVRIL25!BF29+HISTOMAI25!BF29+HISTOJUIN25!BF29+HISTOJUIL25!BF29+HISTOAOUT25!BF29+HISTOSEPT25!BF29+HISTOOCT25!BF29+HISTONOV25!BF29+HISTODEC25!BF29</f>
        <v>16000</v>
      </c>
      <c r="BG29" s="5">
        <f>HISTOJANV25!BG29+HISTOFEV25!BG29+HISTOMARS25!BG29+HISTOAVRIL25!BG29+HISTOMAI25!BG29+HISTOJUIN25!BG29+HISTOJUIL25!BG29+HISTOAOUT25!BG29+HISTOSEPT25!BG29+HISTOOCT25!BG29+HISTONOV25!BG29+HISTODEC25!BG29</f>
        <v>67</v>
      </c>
      <c r="BH29" s="5">
        <f>HISTOJANV25!BH29+HISTOFEV25!BH29+HISTOMARS25!BH29+HISTOAVRIL25!BH29+HISTOMAI25!BH29+HISTOJUIN25!BH29+HISTOJUIL25!BH29+HISTOAOUT25!BH29+HISTOSEPT25!BH29+HISTOOCT25!BH29+HISTONOV25!BH29+HISTODEC25!BH29</f>
        <v>0</v>
      </c>
      <c r="BI29" s="5">
        <f>HISTOJANV25!BI29+HISTOFEV25!BI29+HISTOMARS25!BI29+HISTOAVRIL25!BI29+HISTOMAI25!BI29+HISTOJUIN25!BI29+HISTOJUIL25!BI29+HISTOAOUT25!BI29+HISTOSEPT25!BI29+HISTOOCT25!BI29+HISTONOV25!BI29+HISTODEC25!BI29</f>
        <v>0</v>
      </c>
      <c r="BJ29" s="5">
        <f>HISTOJANV25!BJ29+HISTOFEV25!BJ29+HISTOMARS25!BJ29+HISTOAVRIL25!BJ29+HISTOMAI25!BJ29+HISTOJUIN25!BJ29+HISTOJUIL25!BJ29+HISTOAOUT25!BJ29+HISTOSEPT25!BJ29+HISTOOCT25!BJ29+HISTONOV25!BJ29+HISTODEC25!BJ29</f>
        <v>0</v>
      </c>
      <c r="BK29" s="5">
        <f>HISTOJANV25!BK29+HISTOFEV25!BK29+HISTOMARS25!BK29+HISTOAVRIL25!BK29+HISTOMAI25!BK29+HISTOJUIN25!BK29+HISTOJUIL25!BK29+HISTOAOUT25!BK29+HISTOSEPT25!BK29+HISTOOCT25!BK29+HISTONOV25!BK29+HISTODEC25!BK29</f>
        <v>0</v>
      </c>
      <c r="BL29" s="5">
        <f>HISTOJANV25!BL29+HISTOFEV25!BL29+HISTOMARS25!BL29+HISTOAVRIL25!BL29+HISTOMAI25!BL29+HISTOJUIN25!BL29+HISTOJUIL25!BL29+HISTOAOUT25!BL29+HISTOSEPT25!BL29+HISTOOCT25!BL29+HISTONOV25!BL29+HISTODEC25!BL29</f>
        <v>0</v>
      </c>
      <c r="BM29" s="5">
        <f>HISTOJANV25!BM29+HISTOFEV25!BM29+HISTOMARS25!BM29+HISTOAVRIL25!BM29+HISTOMAI25!BM29+HISTOJUIN25!BM29+HISTOJUIL25!BM29+HISTOAOUT25!BM29+HISTOSEPT25!BM29+HISTOOCT25!BM29+HISTONOV25!BM29+HISTODEC25!BM29</f>
        <v>0</v>
      </c>
      <c r="BN29" s="5">
        <f>HISTOJANV25!BN29+HISTOFEV25!BN29+HISTOMARS25!BN29+HISTOAVRIL25!BN29+HISTOMAI25!BN29+HISTOJUIN25!BN29+HISTOJUIL25!BN29+HISTOAOUT25!BN29+HISTOSEPT25!BN29+HISTOOCT25!BN29+HISTONOV25!BN29+HISTODEC25!BN29</f>
        <v>0</v>
      </c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>HISTOJANV25!C30+HISTOFEV25!C30+HISTOMARS25!C30+HISTOAVRIL25!C30+HISTOMAI25!C30+HISTOJUIN25!C30+HISTOJUIL25!C30+HISTOAOUT25!C30+HISTOSEPT25!C30+HISTOOCT25!C30+HISTONOV25!C30+HISTODEC25!C30</f>
        <v>0</v>
      </c>
      <c r="D30" s="5">
        <f>HISTOJANV25!D30+HISTOFEV25!D30+HISTOMARS25!D30+HISTOAVRIL25!D30+HISTOMAI25!D30+HISTOJUIN25!D30+HISTOJUIL25!D30+HISTOAOUT25!D30+HISTOSEPT25!D30+HISTOOCT25!D30+HISTONOV25!D30+HISTODEC25!D30</f>
        <v>1500000</v>
      </c>
      <c r="E30" s="5">
        <f>HISTOJANV25!E30+HISTOFEV25!E30+HISTOMARS25!E30+HISTOAVRIL25!E30+HISTOMAI25!E30+HISTOJUIN25!E30+HISTOJUIL25!E30+HISTOAOUT25!E30+HISTOSEPT25!E30+HISTOOCT25!E30+HISTONOV25!E30+HISTODEC25!E30</f>
        <v>0</v>
      </c>
      <c r="F30" s="5">
        <f>HISTOJANV25!F30+HISTOFEV25!F30+HISTOMARS25!F30+HISTOAVRIL25!F30+HISTOMAI25!F30+HISTOJUIN25!F30+HISTOJUIL25!F30+HISTOAOUT25!F30+HISTOSEPT25!F30+HISTOOCT25!F30+HISTONOV25!F30+HISTODEC25!F30</f>
        <v>0</v>
      </c>
      <c r="G30" s="5">
        <f>HISTOJANV25!G30+HISTOFEV25!G30+HISTOMARS25!G30+HISTOAVRIL25!G30+HISTOMAI25!G30+HISTOJUIN25!G30+HISTOJUIL25!G30+HISTOAOUT25!G30+HISTOSEPT25!G30+HISTOOCT25!G30+HISTONOV25!G30+HISTODEC25!G30</f>
        <v>0</v>
      </c>
      <c r="H30" s="5">
        <f>HISTOJANV25!H30+HISTOFEV25!H30+HISTOMARS25!H30+HISTOAVRIL25!H30+HISTOMAI25!H30+HISTOJUIN25!H30+HISTOJUIL25!H30+HISTOAOUT25!H30+HISTOSEPT25!H30+HISTOOCT25!H30+HISTONOV25!H30+HISTODEC25!H30</f>
        <v>0</v>
      </c>
      <c r="I30" s="5"/>
      <c r="J30" s="5">
        <f>HISTOJANV25!J30+HISTOFEV25!J30+HISTOMARS25!J30+HISTOAVRIL25!J30+HISTOMAI25!J30+HISTOJUIN25!J30+HISTOJUIL25!J30+HISTOAOUT25!J30+HISTOSEPT25!J30+HISTOOCT25!J30+HISTONOV25!J30+HISTODEC25!J30</f>
        <v>12</v>
      </c>
      <c r="K30" s="5">
        <f>HISTOJANV25!K30+HISTOFEV25!K30+HISTOMARS25!K30+HISTOAVRIL25!K30+HISTOMAI25!K30+HISTOJUIN25!K30+HISTOJUIL25!K30+HISTOAOUT25!K30+HISTOSEPT25!K30+HISTOOCT25!K30+HISTONOV25!K30+HISTODEC25!K30</f>
        <v>600000</v>
      </c>
      <c r="L30" s="5">
        <f>HISTOJANV25!L30+HISTOFEV25!L30+HISTOMARS25!L30+HISTOAVRIL25!L30+HISTOMAI25!L30+HISTOJUIN25!L30+HISTOJUIL25!L30+HISTOAOUT25!L30+HISTOSEPT25!L30+HISTOOCT25!L30+HISTONOV25!L30+HISTODEC25!L30</f>
        <v>12</v>
      </c>
      <c r="M30" s="5">
        <f>HISTOJANV25!M30+HISTOFEV25!M30+HISTOMARS25!M30+HISTOAVRIL25!M30+HISTOMAI25!M30+HISTOJUIN25!M30+HISTOJUIL25!M30+HISTOAOUT25!M30+HISTOSEPT25!M30+HISTOOCT25!M30+HISTONOV25!M30+HISTODEC25!M30</f>
        <v>900000</v>
      </c>
      <c r="N30" s="5">
        <f>HISTOJANV25!N30+HISTOFEV25!N30+HISTOMARS25!N30+HISTOAVRIL25!N30+HISTOMAI25!N30+HISTOJUIN25!N30+HISTOJUIL25!N30+HISTOAOUT25!N30+HISTOSEPT25!N30+HISTOOCT25!N30+HISTONOV25!N30+HISTODEC25!N30</f>
        <v>0</v>
      </c>
      <c r="O30" s="5">
        <f>HISTOJANV25!O30+HISTOFEV25!O30+HISTOMARS25!O30+HISTOAVRIL25!O30+HISTOMAI25!O30+HISTOJUIN25!O30+HISTOJUIL25!O30+HISTOAOUT25!O30+HISTOSEPT25!O30+HISTOOCT25!O30+HISTONOV25!O30+HISTODEC25!O30</f>
        <v>0</v>
      </c>
      <c r="P30" s="5">
        <f>HISTOJANV25!P30+HISTOFEV25!P30+HISTOMARS25!P30+HISTOAVRIL25!P30+HISTOMAI25!P30+HISTOJUIN25!P30+HISTOJUIL25!P30+HISTOAOUT25!P30+HISTOSEPT25!P30+HISTOOCT25!P30+HISTONOV25!P30+HISTODEC25!P30</f>
        <v>0</v>
      </c>
      <c r="Q30" s="5">
        <f>HISTOJANV25!Q30+HISTOFEV25!Q30+HISTOMARS25!Q30+HISTOAVRIL25!Q30+HISTOMAI25!Q30+HISTOJUIN25!Q30+HISTOJUIL25!Q30+HISTOAOUT25!Q30+HISTOSEPT25!Q30+HISTOOCT25!Q30+HISTONOV25!Q30+HISTODEC25!Q30</f>
        <v>0</v>
      </c>
      <c r="R30" s="5">
        <f>HISTOJANV25!R30+HISTOFEV25!R30+HISTOMARS25!R30+HISTOAVRIL25!R30+HISTOMAI25!R30+HISTOJUIN25!R30+HISTOJUIL25!R30+HISTOAOUT25!R30+HISTOSEPT25!R30+HISTOOCT25!R30+HISTONOV25!R30+HISTODEC25!R30</f>
        <v>0</v>
      </c>
      <c r="S30" s="5">
        <f>HISTOJANV25!S30+HISTOFEV25!S30+HISTOMARS25!S30+HISTOAVRIL25!S30+HISTOMAI25!S30+HISTOJUIN25!S30+HISTOJUIL25!S30+HISTOAOUT25!S30+HISTOSEPT25!S30+HISTOOCT25!S30+HISTONOV25!S30+HISTODEC25!S30</f>
        <v>0</v>
      </c>
      <c r="T30" s="5"/>
      <c r="U30" s="5">
        <f>HISTOJANV25!U30+HISTOFEV25!U30+HISTOMARS25!U30+HISTOAVRIL25!U30+HISTOMAI25!U30+HISTOJUIN25!U30+HISTOJUIL25!U30+HISTOAOUT25!U30+HISTOSEPT25!U30+HISTOOCT25!U30+HISTONOV25!U30+HISTODEC25!U30</f>
        <v>1500000</v>
      </c>
      <c r="V30" s="5">
        <f>HISTOJANV25!V30+HISTOFEV25!V30+HISTOMARS25!V30+HISTOAVRIL25!V30+HISTOMAI25!V30+HISTOJUIN25!V30+HISTOJUIL25!V30+HISTOAOUT25!V30+HISTOSEPT25!V30+HISTOOCT25!V30+HISTONOV25!V30+HISTODEC25!V30</f>
        <v>0</v>
      </c>
      <c r="W30" s="5">
        <f>HISTOJANV25!W30+HISTOFEV25!W30+HISTOMARS25!W30+HISTOAVRIL25!W30+HISTOMAI25!W30+HISTOJUIN25!W30+HISTOJUIL25!W30+HISTOAOUT25!W30+HISTOSEPT25!W30+HISTOOCT25!W30+HISTONOV25!W30+HISTODEC25!W30</f>
        <v>0</v>
      </c>
      <c r="X30" s="5">
        <f>HISTOJANV25!X30+HISTOFEV25!X30+HISTOMARS25!X30+HISTOAVRIL25!X30+HISTOMAI25!X30+HISTOJUIN25!X30+HISTOJUIL25!X30+HISTOAOUT25!X30+HISTOSEPT25!X30+HISTOOCT25!X30+HISTONOV25!X30+HISTODEC25!X30</f>
        <v>0</v>
      </c>
      <c r="Y30" s="5">
        <f>HISTOJANV25!Y30+HISTOFEV25!Y30+HISTOMARS25!Y30+HISTOAVRIL25!Y30+HISTOMAI25!Y30+HISTOJUIN25!Y30+HISTOJUIL25!Y30+HISTOAOUT25!Y30+HISTOSEPT25!Y30+HISTOOCT25!Y30+HISTONOV25!Y30+HISTODEC25!Y30</f>
        <v>1500000</v>
      </c>
      <c r="Z30" s="5">
        <f>HISTOJANV25!Z30+HISTOFEV25!Z30+HISTOMARS25!Z30+HISTOAVRIL25!Z30+HISTOMAI25!Z30+HISTOJUIN25!Z30+HISTOJUIL25!Z30+HISTOAOUT25!Z30+HISTOSEPT25!Z30+HISTOOCT25!Z30+HISTONOV25!Z30+HISTODEC25!Z30</f>
        <v>0</v>
      </c>
      <c r="AA30" s="5"/>
      <c r="AB30" s="5">
        <f>HISTOJANV25!AB30+HISTOFEV25!AB30+HISTOMARS25!AB30+HISTOAVRIL25!AB30+HISTOMAI25!AB30+HISTOJUIN25!AB30+HISTOJUIL25!AB30+HISTOAOUT25!AB30+HISTOSEPT25!AB30+HISTOOCT25!AB30+HISTONOV25!AB30+HISTODEC25!AB30</f>
        <v>0</v>
      </c>
      <c r="AC30" s="5">
        <f>HISTOJANV25!AC30+HISTOFEV25!AC30+HISTOMARS25!AC30+HISTOAVRIL25!AC30+HISTOMAI25!AC30+HISTOJUIN25!AC30+HISTOJUIL25!AC30+HISTOAOUT25!AC30+HISTOSEPT25!AC30+HISTOOCT25!AC30+HISTONOV25!AC30+HISTODEC25!AC30</f>
        <v>2500</v>
      </c>
      <c r="AD30" s="5">
        <f>HISTOJANV25!AD30+HISTOFEV25!AD30+HISTOMARS25!AD30+HISTOAVRIL25!AD30+HISTOMAI25!AD30+HISTOJUIN25!AD30+HISTOJUIL25!AD30+HISTOAOUT25!AD30+HISTOSEPT25!AD30+HISTOOCT25!AD30+HISTONOV25!AD30+HISTODEC25!AD30</f>
        <v>7500</v>
      </c>
      <c r="AE30" s="5">
        <f>HISTOJANV25!AE30+HISTOFEV25!AE30+HISTOMARS25!AE30+HISTOAVRIL25!AE30+HISTOMAI25!AE30+HISTOJUIN25!AE30+HISTOJUIL25!AE30+HISTOAOUT25!AE30+HISTOSEPT25!AE30+HISTOOCT25!AE30+HISTONOV25!AE30+HISTODEC25!AE30</f>
        <v>0</v>
      </c>
      <c r="AF30" s="5"/>
      <c r="AG30" s="5">
        <f>HISTOJANV25!AG30+HISTOFEV25!AG30+HISTOMARS25!AG30+HISTOAVRIL25!AG30+HISTOMAI25!AG30+HISTOJUIN25!AG30+HISTOJUIL25!AG30+HISTOAOUT25!AG30+HISTOSEPT25!AG30+HISTOOCT25!AG30+HISTONOV25!AG30+HISTODEC25!AG30</f>
        <v>0</v>
      </c>
      <c r="AH30" s="5">
        <f>HISTOJANV25!AH30+HISTOFEV25!AH30+HISTOMARS25!AH30+HISTOAVRIL25!AH30+HISTOMAI25!AH30+HISTOJUIN25!AH30+HISTOJUIL25!AH30+HISTOAOUT25!AH30+HISTOSEPT25!AH30+HISTOOCT25!AH30+HISTONOV25!AH30+HISTODEC25!AH30</f>
        <v>0</v>
      </c>
      <c r="AI30" s="5">
        <f>HISTOJANV25!AI30+HISTOFEV25!AI30+HISTOMARS25!AI30+HISTOAVRIL25!AI30+HISTOMAI25!AI30+HISTOJUIN25!AI30+HISTOJUIL25!AI30+HISTOAOUT25!AI30+HISTOSEPT25!AI30+HISTOOCT25!AI30+HISTONOV25!AI30+HISTODEC25!AI30</f>
        <v>0</v>
      </c>
      <c r="AJ30" s="5">
        <f>HISTOJANV25!AJ30+HISTOFEV25!AJ30+HISTOMARS25!AJ30+HISTOAVRIL25!AJ30+HISTOMAI25!AJ30+HISTOJUIN25!AJ30+HISTOJUIL25!AJ30+HISTOAOUT25!AJ30+HISTOSEPT25!AJ30+HISTOOCT25!AJ30+HISTONOV25!AJ30+HISTODEC25!AJ30</f>
        <v>0</v>
      </c>
      <c r="AK30" s="5">
        <f>HISTOJANV25!AK30+HISTOFEV25!AK30+HISTOMARS25!AK30+HISTOAVRIL25!AK30+HISTOMAI25!AK30+HISTOJUIN25!AK30+HISTOJUIL25!AK30+HISTOAOUT25!AK30+HISTOSEPT25!AK30+HISTOOCT25!AK30+HISTONOV25!AK30+HISTODEC25!AK30</f>
        <v>0</v>
      </c>
      <c r="AL30" s="5">
        <f>HISTOJANV25!AL30+HISTOFEV25!AL30+HISTOMARS25!AL30+HISTOAVRIL25!AL30+HISTOMAI25!AL30+HISTOJUIN25!AL30+HISTOJUIL25!AL30+HISTOAOUT25!AL30+HISTOSEPT25!AL30+HISTOOCT25!AL30+HISTONOV25!AL30+HISTODEC25!AL30</f>
        <v>0</v>
      </c>
      <c r="AM30" s="5">
        <f>HISTOJANV25!AM30+HISTOFEV25!AM30+HISTOMARS25!AM30+HISTOAVRIL25!AM30+HISTOMAI25!AM30+HISTOJUIN25!AM30+HISTOJUIL25!AM30+HISTOAOUT25!AM30+HISTOSEPT25!AM30+HISTOOCT25!AM30+HISTONOV25!AM30+HISTODEC25!AM30</f>
        <v>0</v>
      </c>
      <c r="AN30" s="5">
        <f>HISTOJANV25!AN30+HISTOFEV25!AN30+HISTOMARS25!AN30+HISTOAVRIL25!AN30+HISTOMAI25!AN30+HISTOJUIN25!AN30+HISTOJUIL25!AN30+HISTOAOUT25!AN30+HISTOSEPT25!AN30+HISTOOCT25!AN30+HISTONOV25!AN30+HISTODEC25!AN30</f>
        <v>0</v>
      </c>
      <c r="AO30" s="5">
        <f>HISTOJANV25!AO30+HISTOFEV25!AO30+HISTOMARS25!AO30+HISTOAVRIL25!AO30+HISTOMAI25!AO30+HISTOJUIN25!AO30+HISTOJUIL25!AO30+HISTOAOUT25!AO30+HISTOSEPT25!AO30+HISTOOCT25!AO30+HISTONOV25!AO30+HISTODEC25!AO30</f>
        <v>0</v>
      </c>
      <c r="AP30" s="5"/>
      <c r="AQ30" s="5">
        <f>HISTOJANV25!AQ30+HISTOFEV25!AQ30+HISTOMARS25!AQ30+HISTOAVRIL25!AQ30+HISTOMAI25!AQ30+HISTOJUIN25!AQ30+HISTOJUIL25!AQ30+HISTOAOUT25!AQ30+HISTOSEPT25!AQ30+HISTOOCT25!AQ30+HISTONOV25!AQ30+HISTODEC25!AQ30</f>
        <v>0</v>
      </c>
      <c r="AR30" s="5">
        <f>HISTOJANV25!AR30+HISTOFEV25!AR30+HISTOMARS25!AR30+HISTOAVRIL25!AR30+HISTOMAI25!AR30+HISTOJUIN25!AR30+HISTOJUIL25!AR30+HISTOAOUT25!AR30+HISTOSEPT25!AR30+HISTOOCT25!AR30+HISTONOV25!AR30+HISTODEC25!AR30</f>
        <v>0</v>
      </c>
      <c r="AS30" s="5">
        <f>HISTOJANV25!AS30+HISTOFEV25!AS30+HISTOMARS25!AS30+HISTOAVRIL25!AS30+HISTOMAI25!AS30+HISTOJUIN25!AS30+HISTOJUIL25!AS30+HISTOAOUT25!AS30+HISTOSEPT25!AS30+HISTOOCT25!AS30+HISTONOV25!AS30+HISTODEC25!AS30</f>
        <v>300000</v>
      </c>
      <c r="AT30" s="5">
        <f>HISTOJANV25!AT30+HISTOFEV25!AT30+HISTOMARS25!AT30+HISTOAVRIL25!AT30+HISTOMAI25!AT30+HISTOJUIN25!AT30+HISTOJUIL25!AT30+HISTOAOUT25!AT30+HISTOSEPT25!AT30+HISTOOCT25!AT30+HISTONOV25!AT30+HISTODEC25!AT30</f>
        <v>0</v>
      </c>
      <c r="AU30" s="5">
        <f>HISTOJANV25!AU30+HISTOFEV25!AU30+HISTOMARS25!AU30+HISTOAVRIL25!AU30+HISTOMAI25!AU30+HISTOJUIN25!AU30+HISTOJUIL25!AU30+HISTOAOUT25!AU30+HISTOSEPT25!AU30+HISTOOCT25!AU30+HISTONOV25!AU30+HISTODEC25!AU30</f>
        <v>0</v>
      </c>
      <c r="AV30" s="5">
        <f>HISTOJANV25!AV30+HISTOFEV25!AV30+HISTOMARS25!AV30+HISTOAVRIL25!AV30+HISTOMAI25!AV30+HISTOJUIN25!AV30+HISTOJUIL25!AV30+HISTOAOUT25!AV30+HISTOSEPT25!AV30+HISTOOCT25!AV30+HISTONOV25!AV30+HISTODEC25!AV30</f>
        <v>0</v>
      </c>
      <c r="AW30" s="5">
        <f>HISTOJANV25!AW30+HISTOFEV25!AW30+HISTOMARS25!AW30+HISTOAVRIL25!AW30+HISTOMAI25!AW30+HISTOJUIN25!AW30+HISTOJUIL25!AW30+HISTOAOUT25!AW30+HISTOSEPT25!AW30+HISTOOCT25!AW30+HISTONOV25!AW30+HISTODEC25!AW30</f>
        <v>297500</v>
      </c>
      <c r="AX30" s="5">
        <f>HISTOJANV25!AX30+HISTOFEV25!AX30+HISTOMARS25!AX30+HISTOAVRIL25!AX30+HISTOMAI25!AX30+HISTOJUIN25!AX30+HISTOJUIL25!AX30+HISTOAOUT25!AX30+HISTOSEPT25!AX30+HISTOOCT25!AX30+HISTONOV25!AX30+HISTODEC25!AX30</f>
        <v>892500</v>
      </c>
      <c r="AY30" s="5">
        <f>HISTOJANV25!AY30+HISTOFEV25!AY30+HISTOMARS25!AY30+HISTOAVRIL25!AY30+HISTOMAI25!AY30+HISTOJUIN25!AY30+HISTOJUIL25!AY30+HISTOAOUT25!AY30+HISTOSEPT25!AY30+HISTOOCT25!AY30+HISTONOV25!AY30+HISTODEC25!AY30</f>
        <v>0</v>
      </c>
      <c r="AZ30" s="5">
        <f>HISTOJANV25!AZ30+HISTOFEV25!AZ30+HISTOMARS25!AZ30+HISTOAVRIL25!AZ30+HISTOMAI25!AZ30+HISTOJUIN25!AZ30+HISTOJUIL25!AZ30+HISTOAOUT25!AZ30+HISTOSEPT25!AZ30+HISTOOCT25!AZ30+HISTONOV25!AZ30+HISTODEC25!AZ30</f>
        <v>1290000</v>
      </c>
      <c r="BA30" s="5">
        <f>HISTOJANV25!BA30+HISTOFEV25!BA30+HISTOMARS25!BA30+HISTOAVRIL25!BA30+HISTOMAI25!BA30+HISTOJUIN25!BA30+HISTOJUIL25!BA30+HISTOAOUT25!BA30+HISTOSEPT25!BA30+HISTOOCT25!BA30+HISTONOV25!BA30+HISTODEC25!BA30</f>
        <v>100000</v>
      </c>
      <c r="BB30" s="5">
        <f>HISTOJANV25!BB30+HISTOFEV25!BB30+HISTOMARS25!BB30+HISTOAVRIL25!BB30+HISTOMAI25!BB30+HISTOJUIN25!BB30+HISTOJUIL25!BB30+HISTOAOUT25!BB30+HISTOSEPT25!BB30+HISTOOCT25!BB30+HISTONOV25!BB30+HISTODEC25!BB30</f>
        <v>0</v>
      </c>
      <c r="BC30" s="5">
        <f>HISTOJANV25!BC30+HISTOFEV25!BC30+HISTOMARS25!BC30+HISTOAVRIL25!BC30+HISTOMAI25!BC30+HISTOJUIN25!BC30+HISTOJUIL25!BC30+HISTOAOUT25!BC30+HISTOSEPT25!BC30+HISTOOCT25!BC30+HISTONOV25!BC30+HISTODEC25!BC30</f>
        <v>0</v>
      </c>
      <c r="BD30" s="5">
        <f>HISTOJANV25!BD30+HISTOFEV25!BD30+HISTOMARS25!BD30+HISTOAVRIL25!BD30+HISTOMAI25!BD30+HISTOJUIN25!BD30+HISTOJUIL25!BD30+HISTOAOUT25!BD30+HISTOSEPT25!BD30+HISTOOCT25!BD30+HISTONOV25!BD30+HISTODEC25!BD30</f>
        <v>1190000</v>
      </c>
      <c r="BE30" s="5"/>
      <c r="BF30" s="5">
        <f>HISTOJANV25!BF30+HISTOFEV25!BF30+HISTOMARS25!BF30+HISTOAVRIL25!BF30+HISTOMAI25!BF30+HISTOJUIN25!BF30+HISTOJUIL25!BF30+HISTOAOUT25!BF30+HISTOSEPT25!BF30+HISTOOCT25!BF30+HISTONOV25!BF30+HISTODEC25!BF30</f>
        <v>0</v>
      </c>
      <c r="BG30" s="5">
        <f>HISTOJANV25!BG30+HISTOFEV25!BG30+HISTOMARS25!BG30+HISTOAVRIL25!BG30+HISTOMAI25!BG30+HISTOJUIN25!BG30+HISTOJUIL25!BG30+HISTOAOUT25!BG30+HISTOSEPT25!BG30+HISTOOCT25!BG30+HISTONOV25!BG30+HISTODEC25!BG30</f>
        <v>67</v>
      </c>
      <c r="BH30" s="5">
        <f>HISTOJANV25!BH30+HISTOFEV25!BH30+HISTOMARS25!BH30+HISTOAVRIL25!BH30+HISTOMAI25!BH30+HISTOJUIN25!BH30+HISTOJUIL25!BH30+HISTOAOUT25!BH30+HISTOSEPT25!BH30+HISTOOCT25!BH30+HISTONOV25!BH30+HISTODEC25!BH30</f>
        <v>0</v>
      </c>
      <c r="BI30" s="5">
        <f>HISTOJANV25!BI30+HISTOFEV25!BI30+HISTOMARS25!BI30+HISTOAVRIL25!BI30+HISTOMAI25!BI30+HISTOJUIN25!BI30+HISTOJUIL25!BI30+HISTOAOUT25!BI30+HISTOSEPT25!BI30+HISTOOCT25!BI30+HISTONOV25!BI30+HISTODEC25!BI30</f>
        <v>0</v>
      </c>
      <c r="BJ30" s="5">
        <f>HISTOJANV25!BJ30+HISTOFEV25!BJ30+HISTOMARS25!BJ30+HISTOAVRIL25!BJ30+HISTOMAI25!BJ30+HISTOJUIN25!BJ30+HISTOJUIL25!BJ30+HISTOAOUT25!BJ30+HISTOSEPT25!BJ30+HISTOOCT25!BJ30+HISTONOV25!BJ30+HISTODEC25!BJ30</f>
        <v>0</v>
      </c>
      <c r="BK30" s="5">
        <f>HISTOJANV25!BK30+HISTOFEV25!BK30+HISTOMARS25!BK30+HISTOAVRIL25!BK30+HISTOMAI25!BK30+HISTOJUIN25!BK30+HISTOJUIL25!BK30+HISTOAOUT25!BK30+HISTOSEPT25!BK30+HISTOOCT25!BK30+HISTONOV25!BK30+HISTODEC25!BK30</f>
        <v>0</v>
      </c>
      <c r="BL30" s="5">
        <f>HISTOJANV25!BL30+HISTOFEV25!BL30+HISTOMARS25!BL30+HISTOAVRIL25!BL30+HISTOMAI25!BL30+HISTOJUIN25!BL30+HISTOJUIL25!BL30+HISTOAOUT25!BL30+HISTOSEPT25!BL30+HISTOOCT25!BL30+HISTONOV25!BL30+HISTODEC25!BL30</f>
        <v>0</v>
      </c>
      <c r="BM30" s="5">
        <f>HISTOJANV25!BM30+HISTOFEV25!BM30+HISTOMARS25!BM30+HISTOAVRIL25!BM30+HISTOMAI25!BM30+HISTOJUIN25!BM30+HISTOJUIL25!BM30+HISTOAOUT25!BM30+HISTOSEPT25!BM30+HISTOOCT25!BM30+HISTONOV25!BM30+HISTODEC25!BM30</f>
        <v>0</v>
      </c>
      <c r="BN30" s="5">
        <f>HISTOJANV25!BN30+HISTOFEV25!BN30+HISTOMARS25!BN30+HISTOAVRIL25!BN30+HISTOMAI25!BN30+HISTOJUIN25!BN30+HISTOJUIL25!BN30+HISTOAOUT25!BN30+HISTOSEPT25!BN30+HISTOOCT25!BN30+HISTONOV25!BN30+HISTODEC25!BN30</f>
        <v>0</v>
      </c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>HISTOJANV25!C31+HISTOFEV25!C31+HISTOMARS25!C31+HISTOAVRIL25!C31+HISTOMAI25!C31+HISTOJUIN25!C31+HISTOJUIL25!C31+HISTOAOUT25!C31+HISTOSEPT25!C31+HISTOOCT25!C31+HISTONOV25!C31+HISTODEC25!C31</f>
        <v>-1496000</v>
      </c>
      <c r="D31" s="5">
        <f>HISTOJANV25!D31+HISTOFEV25!D31+HISTOMARS25!D31+HISTOAVRIL25!D31+HISTOMAI25!D31+HISTOJUIN25!D31+HISTOJUIL25!D31+HISTOAOUT25!D31+HISTOSEPT25!D31+HISTOOCT25!D31+HISTONOV25!D31+HISTODEC25!D31</f>
        <v>701000</v>
      </c>
      <c r="E31" s="5">
        <f>HISTOJANV25!E31+HISTOFEV25!E31+HISTOMARS25!E31+HISTOAVRIL25!E31+HISTOMAI25!E31+HISTOJUIN25!E31+HISTOJUIL25!E31+HISTOAOUT25!E31+HISTOSEPT25!E31+HISTOOCT25!E31+HISTONOV25!E31+HISTODEC25!E31</f>
        <v>30000</v>
      </c>
      <c r="F31" s="5">
        <f>HISTOJANV25!F31+HISTOFEV25!F31+HISTOMARS25!F31+HISTOAVRIL25!F31+HISTOMAI25!F31+HISTOJUIN25!F31+HISTOJUIL25!F31+HISTOAOUT25!F31+HISTOSEPT25!F31+HISTOOCT25!F31+HISTONOV25!F31+HISTODEC25!F31</f>
        <v>0</v>
      </c>
      <c r="G31" s="5">
        <f>HISTOJANV25!G31+HISTOFEV25!G31+HISTOMARS25!G31+HISTOAVRIL25!G31+HISTOMAI25!G31+HISTOJUIN25!G31+HISTOJUIL25!G31+HISTOAOUT25!G31+HISTOSEPT25!G31+HISTOOCT25!G31+HISTONOV25!G31+HISTODEC25!G31</f>
        <v>1000</v>
      </c>
      <c r="H31" s="5">
        <f>HISTOJANV25!H31+HISTOFEV25!H31+HISTOMARS25!H31+HISTOAVRIL25!H31+HISTOMAI25!H31+HISTOJUIN25!H31+HISTOJUIL25!H31+HISTOAOUT25!H31+HISTOSEPT25!H31+HISTOOCT25!H31+HISTONOV25!H31+HISTODEC25!H31</f>
        <v>0</v>
      </c>
      <c r="I31" s="5"/>
      <c r="J31" s="5">
        <f>HISTOJANV25!J31+HISTOFEV25!J31+HISTOMARS25!J31+HISTOAVRIL25!J31+HISTOMAI25!J31+HISTOJUIN25!J31+HISTOJUIL25!J31+HISTOAOUT25!J31+HISTOSEPT25!J31+HISTOOCT25!J31+HISTONOV25!J31+HISTODEC25!J31</f>
        <v>12</v>
      </c>
      <c r="K31" s="5">
        <f>HISTOJANV25!K31+HISTOFEV25!K31+HISTOMARS25!K31+HISTOAVRIL25!K31+HISTOMAI25!K31+HISTOJUIN25!K31+HISTOJUIL25!K31+HISTOAOUT25!K31+HISTOSEPT25!K31+HISTOOCT25!K31+HISTONOV25!K31+HISTODEC25!K31</f>
        <v>600000</v>
      </c>
      <c r="L31" s="5">
        <f>HISTOJANV25!L31+HISTOFEV25!L31+HISTOMARS25!L31+HISTOAVRIL25!L31+HISTOMAI25!L31+HISTOJUIN25!L31+HISTOJUIL25!L31+HISTOAOUT25!L31+HISTOSEPT25!L31+HISTOOCT25!L31+HISTONOV25!L31+HISTODEC25!L31</f>
        <v>0</v>
      </c>
      <c r="M31" s="5">
        <f>HISTOJANV25!M31+HISTOFEV25!M31+HISTOMARS25!M31+HISTOAVRIL25!M31+HISTOMAI25!M31+HISTOJUIN25!M31+HISTOJUIL25!M31+HISTOAOUT25!M31+HISTOSEPT25!M31+HISTOOCT25!M31+HISTONOV25!M31+HISTODEC25!M31</f>
        <v>0</v>
      </c>
      <c r="N31" s="5">
        <f>HISTOJANV25!N31+HISTOFEV25!N31+HISTOMARS25!N31+HISTOAVRIL25!N31+HISTOMAI25!N31+HISTOJUIN25!N31+HISTOJUIL25!N31+HISTOAOUT25!N31+HISTOSEPT25!N31+HISTOOCT25!N31+HISTONOV25!N31+HISTODEC25!N31</f>
        <v>0</v>
      </c>
      <c r="O31" s="5">
        <f>HISTOJANV25!O31+HISTOFEV25!O31+HISTOMARS25!O31+HISTOAVRIL25!O31+HISTOMAI25!O31+HISTOJUIN25!O31+HISTOJUIL25!O31+HISTOAOUT25!O31+HISTOSEPT25!O31+HISTOOCT25!O31+HISTONOV25!O31+HISTODEC25!O31</f>
        <v>0</v>
      </c>
      <c r="P31" s="5">
        <f>HISTOJANV25!P31+HISTOFEV25!P31+HISTOMARS25!P31+HISTOAVRIL25!P31+HISTOMAI25!P31+HISTOJUIN25!P31+HISTOJUIL25!P31+HISTOAOUT25!P31+HISTOSEPT25!P31+HISTOOCT25!P31+HISTONOV25!P31+HISTODEC25!P31</f>
        <v>626000</v>
      </c>
      <c r="Q31" s="5">
        <f>HISTOJANV25!Q31+HISTOFEV25!Q31+HISTOMARS25!Q31+HISTOAVRIL25!Q31+HISTOMAI25!Q31+HISTOJUIN25!Q31+HISTOJUIL25!Q31+HISTOAOUT25!Q31+HISTOSEPT25!Q31+HISTOOCT25!Q31+HISTONOV25!Q31+HISTODEC25!Q31</f>
        <v>0</v>
      </c>
      <c r="R31" s="5">
        <f>HISTOJANV25!R31+HISTOFEV25!R31+HISTOMARS25!R31+HISTOAVRIL25!R31+HISTOMAI25!R31+HISTOJUIN25!R31+HISTOJUIL25!R31+HISTOAOUT25!R31+HISTOSEPT25!R31+HISTOOCT25!R31+HISTONOV25!R31+HISTODEC25!R31</f>
        <v>0</v>
      </c>
      <c r="S31" s="5">
        <f>HISTOJANV25!S31+HISTOFEV25!S31+HISTOMARS25!S31+HISTOAVRIL25!S31+HISTOMAI25!S31+HISTOJUIN25!S31+HISTOJUIL25!S31+HISTOAOUT25!S31+HISTOSEPT25!S31+HISTOOCT25!S31+HISTONOV25!S31+HISTODEC25!S31</f>
        <v>1000000</v>
      </c>
      <c r="T31" s="5"/>
      <c r="U31" s="5">
        <f>HISTOJANV25!U31+HISTOFEV25!U31+HISTOMARS25!U31+HISTOAVRIL25!U31+HISTOMAI25!U31+HISTOJUIN25!U31+HISTOJUIL25!U31+HISTOAOUT25!U31+HISTOSEPT25!U31+HISTOOCT25!U31+HISTONOV25!U31+HISTODEC25!U31</f>
        <v>2227000</v>
      </c>
      <c r="V31" s="5">
        <f>HISTOJANV25!V31+HISTOFEV25!V31+HISTOMARS25!V31+HISTOAVRIL25!V31+HISTOMAI25!V31+HISTOJUIN25!V31+HISTOJUIL25!V31+HISTOAOUT25!V31+HISTOSEPT25!V31+HISTOOCT25!V31+HISTONOV25!V31+HISTODEC25!V31</f>
        <v>0</v>
      </c>
      <c r="W31" s="5">
        <f>HISTOJANV25!W31+HISTOFEV25!W31+HISTOMARS25!W31+HISTOAVRIL25!W31+HISTOMAI25!W31+HISTOJUIN25!W31+HISTOJUIL25!W31+HISTOAOUT25!W31+HISTOSEPT25!W31+HISTOOCT25!W31+HISTONOV25!W31+HISTODEC25!W31</f>
        <v>0</v>
      </c>
      <c r="X31" s="5">
        <f>HISTOJANV25!X31+HISTOFEV25!X31+HISTOMARS25!X31+HISTOAVRIL25!X31+HISTOMAI25!X31+HISTOJUIN25!X31+HISTOJUIL25!X31+HISTOAOUT25!X31+HISTOSEPT25!X31+HISTOOCT25!X31+HISTONOV25!X31+HISTODEC25!X31</f>
        <v>0</v>
      </c>
      <c r="Y31" s="5">
        <f>HISTOJANV25!Y31+HISTOFEV25!Y31+HISTOMARS25!Y31+HISTOAVRIL25!Y31+HISTOMAI25!Y31+HISTOJUIN25!Y31+HISTOJUIL25!Y31+HISTOAOUT25!Y31+HISTOSEPT25!Y31+HISTOOCT25!Y31+HISTONOV25!Y31+HISTODEC25!Y31</f>
        <v>600000</v>
      </c>
      <c r="Z31" s="5">
        <f>HISTOJANV25!Z31+HISTOFEV25!Z31+HISTOMARS25!Z31+HISTOAVRIL25!Z31+HISTOMAI25!Z31+HISTOJUIN25!Z31+HISTOJUIL25!Z31+HISTOAOUT25!Z31+HISTOSEPT25!Z31+HISTOOCT25!Z31+HISTONOV25!Z31+HISTODEC25!Z31</f>
        <v>900000</v>
      </c>
      <c r="AA31" s="5"/>
      <c r="AB31" s="5">
        <f>HISTOJANV25!AB31+HISTOFEV25!AB31+HISTOMARS25!AB31+HISTOAVRIL25!AB31+HISTOMAI25!AB31+HISTOJUIN25!AB31+HISTOJUIL25!AB31+HISTOAOUT25!AB31+HISTOSEPT25!AB31+HISTOOCT25!AB31+HISTONOV25!AB31+HISTODEC25!AB31</f>
        <v>0</v>
      </c>
      <c r="AC31" s="5">
        <f>HISTOJANV25!AC31+HISTOFEV25!AC31+HISTOMARS25!AC31+HISTOAVRIL25!AC31+HISTOMAI25!AC31+HISTOJUIN25!AC31+HISTOJUIL25!AC31+HISTOAOUT25!AC31+HISTOSEPT25!AC31+HISTOOCT25!AC31+HISTONOV25!AC31+HISTODEC25!AC31</f>
        <v>30000</v>
      </c>
      <c r="AD31" s="5">
        <f>HISTOJANV25!AD31+HISTOFEV25!AD31+HISTOMARS25!AD31+HISTOAVRIL25!AD31+HISTOMAI25!AD31+HISTOJUIN25!AD31+HISTOJUIL25!AD31+HISTOAOUT25!AD31+HISTOSEPT25!AD31+HISTOOCT25!AD31+HISTONOV25!AD31+HISTODEC25!AD31</f>
        <v>0</v>
      </c>
      <c r="AE31" s="5">
        <f>HISTOJANV25!AE31+HISTOFEV25!AE31+HISTOMARS25!AE31+HISTOAVRIL25!AE31+HISTOMAI25!AE31+HISTOJUIN25!AE31+HISTOJUIL25!AE31+HISTOAOUT25!AE31+HISTOSEPT25!AE31+HISTOOCT25!AE31+HISTONOV25!AE31+HISTODEC25!AE31</f>
        <v>0</v>
      </c>
      <c r="AF31" s="5"/>
      <c r="AG31" s="5">
        <f>HISTOJANV25!AG31+HISTOFEV25!AG31+HISTOMARS25!AG31+HISTOAVRIL25!AG31+HISTOMAI25!AG31+HISTOJUIN25!AG31+HISTOJUIL25!AG31+HISTOAOUT25!AG31+HISTOSEPT25!AG31+HISTOOCT25!AG31+HISTONOV25!AG31+HISTODEC25!AG31</f>
        <v>0</v>
      </c>
      <c r="AH31" s="5">
        <f>HISTOJANV25!AH31+HISTOFEV25!AH31+HISTOMARS25!AH31+HISTOAVRIL25!AH31+HISTOMAI25!AH31+HISTOJUIN25!AH31+HISTOJUIL25!AH31+HISTOAOUT25!AH31+HISTOSEPT25!AH31+HISTOOCT25!AH31+HISTONOV25!AH31+HISTODEC25!AH31</f>
        <v>0</v>
      </c>
      <c r="AI31" s="5">
        <f>HISTOJANV25!AI31+HISTOFEV25!AI31+HISTOMARS25!AI31+HISTOAVRIL25!AI31+HISTOMAI25!AI31+HISTOJUIN25!AI31+HISTOJUIL25!AI31+HISTOAOUT25!AI31+HISTOSEPT25!AI31+HISTOOCT25!AI31+HISTONOV25!AI31+HISTODEC25!AI31</f>
        <v>616000</v>
      </c>
      <c r="AJ31" s="5">
        <f>HISTOJANV25!AJ31+HISTOFEV25!AJ31+HISTOMARS25!AJ31+HISTOAVRIL25!AJ31+HISTOMAI25!AJ31+HISTOJUIN25!AJ31+HISTOJUIL25!AJ31+HISTOAOUT25!AJ31+HISTOSEPT25!AJ31+HISTOOCT25!AJ31+HISTONOV25!AJ31+HISTODEC25!AJ31</f>
        <v>0</v>
      </c>
      <c r="AK31" s="5">
        <f>HISTOJANV25!AK31+HISTOFEV25!AK31+HISTOMARS25!AK31+HISTOAVRIL25!AK31+HISTOMAI25!AK31+HISTOJUIN25!AK31+HISTOJUIL25!AK31+HISTOAOUT25!AK31+HISTOSEPT25!AK31+HISTOOCT25!AK31+HISTONOV25!AK31+HISTODEC25!AK31</f>
        <v>0</v>
      </c>
      <c r="AL31" s="5">
        <f>HISTOJANV25!AL31+HISTOFEV25!AL31+HISTOMARS25!AL31+HISTOAVRIL25!AL31+HISTOMAI25!AL31+HISTOJUIN25!AL31+HISTOJUIL25!AL31+HISTOAOUT25!AL31+HISTOSEPT25!AL31+HISTOOCT25!AL31+HISTONOV25!AL31+HISTODEC25!AL31</f>
        <v>10000</v>
      </c>
      <c r="AM31" s="5">
        <f>HISTOJANV25!AM31+HISTOFEV25!AM31+HISTOMARS25!AM31+HISTOAVRIL25!AM31+HISTOMAI25!AM31+HISTOJUIN25!AM31+HISTOJUIL25!AM31+HISTOAOUT25!AM31+HISTOSEPT25!AM31+HISTOOCT25!AM31+HISTONOV25!AM31+HISTODEC25!AM31</f>
        <v>0</v>
      </c>
      <c r="AN31" s="5">
        <f>HISTOJANV25!AN31+HISTOFEV25!AN31+HISTOMARS25!AN31+HISTOAVRIL25!AN31+HISTOMAI25!AN31+HISTOJUIN25!AN31+HISTOJUIL25!AN31+HISTOAOUT25!AN31+HISTOSEPT25!AN31+HISTOOCT25!AN31+HISTONOV25!AN31+HISTODEC25!AN31</f>
        <v>0</v>
      </c>
      <c r="AO31" s="5">
        <f>HISTOJANV25!AO31+HISTOFEV25!AO31+HISTOMARS25!AO31+HISTOAVRIL25!AO31+HISTOMAI25!AO31+HISTOJUIN25!AO31+HISTOJUIL25!AO31+HISTOAOUT25!AO31+HISTOSEPT25!AO31+HISTOOCT25!AO31+HISTONOV25!AO31+HISTODEC25!AO31</f>
        <v>0</v>
      </c>
      <c r="AP31" s="5"/>
      <c r="AQ31" s="5">
        <f>HISTOJANV25!AQ31+HISTOFEV25!AQ31+HISTOMARS25!AQ31+HISTOAVRIL25!AQ31+HISTOMAI25!AQ31+HISTOJUIN25!AQ31+HISTOJUIL25!AQ31+HISTOAOUT25!AQ31+HISTOSEPT25!AQ31+HISTOOCT25!AQ31+HISTONOV25!AQ31+HISTODEC25!AQ31</f>
        <v>0</v>
      </c>
      <c r="AR31" s="5">
        <f>HISTOJANV25!AR31+HISTOFEV25!AR31+HISTOMARS25!AR31+HISTOAVRIL25!AR31+HISTOMAI25!AR31+HISTOJUIN25!AR31+HISTOJUIL25!AR31+HISTOAOUT25!AR31+HISTOSEPT25!AR31+HISTOOCT25!AR31+HISTONOV25!AR31+HISTODEC25!AR31</f>
        <v>0</v>
      </c>
      <c r="AS31" s="5">
        <f>HISTOJANV25!AS31+HISTOFEV25!AS31+HISTOMARS25!AS31+HISTOAVRIL25!AS31+HISTOMAI25!AS31+HISTOJUIN25!AS31+HISTOJUIL25!AS31+HISTOAOUT25!AS31+HISTOSEPT25!AS31+HISTOOCT25!AS31+HISTONOV25!AS31+HISTODEC25!AS31</f>
        <v>301000</v>
      </c>
      <c r="AT31" s="5">
        <f>HISTOJANV25!AT31+HISTOFEV25!AT31+HISTOMARS25!AT31+HISTOAVRIL25!AT31+HISTOMAI25!AT31+HISTOJUIN25!AT31+HISTOJUIL25!AT31+HISTOAOUT25!AT31+HISTOSEPT25!AT31+HISTOOCT25!AT31+HISTONOV25!AT31+HISTODEC25!AT31</f>
        <v>0</v>
      </c>
      <c r="AU31" s="5">
        <f>HISTOJANV25!AU31+HISTOFEV25!AU31+HISTOMARS25!AU31+HISTOAVRIL25!AU31+HISTOMAI25!AU31+HISTOJUIN25!AU31+HISTOJUIL25!AU31+HISTOAOUT25!AU31+HISTOSEPT25!AU31+HISTOOCT25!AU31+HISTONOV25!AU31+HISTODEC25!AU31</f>
        <v>0</v>
      </c>
      <c r="AV31" s="5">
        <f>HISTOJANV25!AV31+HISTOFEV25!AV31+HISTOMARS25!AV31+HISTOAVRIL25!AV31+HISTOMAI25!AV31+HISTOJUIN25!AV31+HISTOJUIL25!AV31+HISTOAOUT25!AV31+HISTOSEPT25!AV31+HISTOOCT25!AV31+HISTONOV25!AV31+HISTODEC25!AV31</f>
        <v>0</v>
      </c>
      <c r="AW31" s="5">
        <f>HISTOJANV25!AW31+HISTOFEV25!AW31+HISTOMARS25!AW31+HISTOAVRIL25!AW31+HISTOMAI25!AW31+HISTOJUIN25!AW31+HISTOJUIL25!AW31+HISTOAOUT25!AW31+HISTOSEPT25!AW31+HISTOOCT25!AW31+HISTONOV25!AW31+HISTODEC25!AW31</f>
        <v>886000</v>
      </c>
      <c r="AX31" s="5">
        <f>HISTOJANV25!AX31+HISTOFEV25!AX31+HISTOMARS25!AX31+HISTOAVRIL25!AX31+HISTOMAI25!AX31+HISTOJUIN25!AX31+HISTOJUIL25!AX31+HISTOAOUT25!AX31+HISTOSEPT25!AX31+HISTOOCT25!AX31+HISTONOV25!AX31+HISTODEC25!AX31</f>
        <v>0</v>
      </c>
      <c r="AY31" s="5">
        <f>HISTOJANV25!AY31+HISTOFEV25!AY31+HISTOMARS25!AY31+HISTOAVRIL25!AY31+HISTOMAI25!AY31+HISTOJUIN25!AY31+HISTOJUIL25!AY31+HISTOAOUT25!AY31+HISTOSEPT25!AY31+HISTOOCT25!AY31+HISTONOV25!AY31+HISTODEC25!AY31</f>
        <v>0</v>
      </c>
      <c r="AZ31" s="5">
        <f>HISTOJANV25!AZ31+HISTOFEV25!AZ31+HISTOMARS25!AZ31+HISTOAVRIL25!AZ31+HISTOMAI25!AZ31+HISTOJUIN25!AZ31+HISTOJUIL25!AZ31+HISTOAOUT25!AZ31+HISTOSEPT25!AZ31+HISTOOCT25!AZ31+HISTONOV25!AZ31+HISTODEC25!AZ31</f>
        <v>1741000</v>
      </c>
      <c r="BA31" s="5">
        <f>HISTOJANV25!BA31+HISTOFEV25!BA31+HISTOMARS25!BA31+HISTOAVRIL25!BA31+HISTOMAI25!BA31+HISTOJUIN25!BA31+HISTOJUIL25!BA31+HISTOAOUT25!BA31+HISTOSEPT25!BA31+HISTOOCT25!BA31+HISTONOV25!BA31+HISTODEC25!BA31</f>
        <v>120000</v>
      </c>
      <c r="BB31" s="5">
        <f>HISTOJANV25!BB31+HISTOFEV25!BB31+HISTOMARS25!BB31+HISTOAVRIL25!BB31+HISTOMAI25!BB31+HISTOJUIN25!BB31+HISTOJUIL25!BB31+HISTOAOUT25!BB31+HISTOSEPT25!BB31+HISTOOCT25!BB31+HISTONOV25!BB31+HISTODEC25!BB31</f>
        <v>0</v>
      </c>
      <c r="BC31" s="5">
        <f>HISTOJANV25!BC31+HISTOFEV25!BC31+HISTOMARS25!BC31+HISTOAVRIL25!BC31+HISTOMAI25!BC31+HISTOJUIN25!BC31+HISTOJUIL25!BC31+HISTOAOUT25!BC31+HISTOSEPT25!BC31+HISTOOCT25!BC31+HISTONOV25!BC31+HISTODEC25!BC31</f>
        <v>0</v>
      </c>
      <c r="BD31" s="5">
        <f>HISTOJANV25!BD31+HISTOFEV25!BD31+HISTOMARS25!BD31+HISTOAVRIL25!BD31+HISTOMAI25!BD31+HISTOJUIN25!BD31+HISTOJUIL25!BD31+HISTOAOUT25!BD31+HISTOSEPT25!BD31+HISTOOCT25!BD31+HISTONOV25!BD31+HISTODEC25!BD31</f>
        <v>1621000</v>
      </c>
      <c r="BE31" s="5"/>
      <c r="BF31" s="5">
        <f>HISTOJANV25!BF31+HISTOFEV25!BF31+HISTOMARS25!BF31+HISTOAVRIL25!BF31+HISTOMAI25!BF31+HISTOJUIN25!BF31+HISTOJUIL25!BF31+HISTOAOUT25!BF31+HISTOSEPT25!BF31+HISTOOCT25!BF31+HISTONOV25!BF31+HISTODEC25!BF31</f>
        <v>45000</v>
      </c>
      <c r="BG31" s="5">
        <f>HISTOJANV25!BG31+HISTOFEV25!BG31+HISTOMARS25!BG31+HISTOAVRIL25!BG31+HISTOMAI25!BG31+HISTOJUIN25!BG31+HISTOJUIL25!BG31+HISTOAOUT25!BG31+HISTOSEPT25!BG31+HISTOOCT25!BG31+HISTONOV25!BG31+HISTODEC25!BG31</f>
        <v>67</v>
      </c>
      <c r="BH31" s="5">
        <f>HISTOJANV25!BH31+HISTOFEV25!BH31+HISTOMARS25!BH31+HISTOAVRIL25!BH31+HISTOMAI25!BH31+HISTOJUIN25!BH31+HISTOJUIL25!BH31+HISTOAOUT25!BH31+HISTOSEPT25!BH31+HISTOOCT25!BH31+HISTONOV25!BH31+HISTODEC25!BH31</f>
        <v>0</v>
      </c>
      <c r="BI31" s="5">
        <f>HISTOJANV25!BI31+HISTOFEV25!BI31+HISTOMARS25!BI31+HISTOAVRIL25!BI31+HISTOMAI25!BI31+HISTOJUIN25!BI31+HISTOJUIL25!BI31+HISTOAOUT25!BI31+HISTOSEPT25!BI31+HISTOOCT25!BI31+HISTONOV25!BI31+HISTODEC25!BI31</f>
        <v>0</v>
      </c>
      <c r="BJ31" s="5">
        <f>HISTOJANV25!BJ31+HISTOFEV25!BJ31+HISTOMARS25!BJ31+HISTOAVRIL25!BJ31+HISTOMAI25!BJ31+HISTOJUIN25!BJ31+HISTOJUIL25!BJ31+HISTOAOUT25!BJ31+HISTOSEPT25!BJ31+HISTOOCT25!BJ31+HISTONOV25!BJ31+HISTODEC25!BJ31</f>
        <v>0</v>
      </c>
      <c r="BK31" s="5">
        <f>HISTOJANV25!BK31+HISTOFEV25!BK31+HISTOMARS25!BK31+HISTOAVRIL25!BK31+HISTOMAI25!BK31+HISTOJUIN25!BK31+HISTOJUIL25!BK31+HISTOAOUT25!BK31+HISTOSEPT25!BK31+HISTOOCT25!BK31+HISTONOV25!BK31+HISTODEC25!BK31</f>
        <v>0</v>
      </c>
      <c r="BL31" s="5">
        <f>HISTOJANV25!BL31+HISTOFEV25!BL31+HISTOMARS25!BL31+HISTOAVRIL25!BL31+HISTOMAI25!BL31+HISTOJUIN25!BL31+HISTOJUIL25!BL31+HISTOAOUT25!BL31+HISTOSEPT25!BL31+HISTOOCT25!BL31+HISTONOV25!BL31+HISTODEC25!BL31</f>
        <v>0</v>
      </c>
      <c r="BM31" s="5">
        <f>HISTOJANV25!BM31+HISTOFEV25!BM31+HISTOMARS25!BM31+HISTOAVRIL25!BM31+HISTOMAI25!BM31+HISTOJUIN25!BM31+HISTOJUIL25!BM31+HISTOAOUT25!BM31+HISTOSEPT25!BM31+HISTOOCT25!BM31+HISTONOV25!BM31+HISTODEC25!BM31</f>
        <v>0</v>
      </c>
      <c r="BN31" s="5">
        <f>HISTOJANV25!BN31+HISTOFEV25!BN31+HISTOMARS25!BN31+HISTOAVRIL25!BN31+HISTOMAI25!BN31+HISTOJUIN25!BN31+HISTOJUIL25!BN31+HISTOAOUT25!BN31+HISTOSEPT25!BN31+HISTOOCT25!BN31+HISTONOV25!BN31+HISTODEC25!BN31</f>
        <v>0</v>
      </c>
      <c r="BO31" s="62"/>
      <c r="BQ31" s="6"/>
    </row>
    <row r="32" spans="1:69" ht="17.5" x14ac:dyDescent="0.35">
      <c r="A32" s="1" t="s">
        <v>35</v>
      </c>
      <c r="B32" s="1" t="str">
        <f>VLOOKUP(A32,[5]LISTADHERENT!A$5:H$50,3,0)</f>
        <v>SIME BRICE</v>
      </c>
      <c r="C32" s="5">
        <f>HISTOJANV25!C32+HISTOFEV25!C32+HISTOMARS25!C32+HISTOAVRIL25!C32+HISTOMAI25!C32+HISTOJUIN25!C32+HISTOJUIL25!C32+HISTOAOUT25!C32+HISTOSEPT25!C32+HISTOOCT25!C32+HISTONOV25!C32+HISTODEC25!C32</f>
        <v>-2950000</v>
      </c>
      <c r="D32" s="5">
        <f>HISTOJANV25!D32+HISTOFEV25!D32+HISTOMARS25!D32+HISTOAVRIL25!D32+HISTOMAI25!D32+HISTOJUIN25!D32+HISTOJUIL25!D32+HISTOAOUT25!D32+HISTOSEPT25!D32+HISTOOCT25!D32+HISTONOV25!D32+HISTODEC25!D32</f>
        <v>3008000</v>
      </c>
      <c r="E32" s="5">
        <f>HISTOJANV25!E32+HISTOFEV25!E32+HISTOMARS25!E32+HISTOAVRIL25!E32+HISTOMAI25!E32+HISTOJUIN25!E32+HISTOJUIL25!E32+HISTOAOUT25!E32+HISTOSEPT25!E32+HISTOOCT25!E32+HISTONOV25!E32+HISTODEC25!E32</f>
        <v>1712500</v>
      </c>
      <c r="F32" s="5">
        <f>HISTOJANV25!F32+HISTOFEV25!F32+HISTOMARS25!F32+HISTOAVRIL25!F32+HISTOMAI25!F32+HISTOJUIN25!F32+HISTOJUIL25!F32+HISTOAOUT25!F32+HISTOSEPT25!F32+HISTOOCT25!F32+HISTONOV25!F32+HISTODEC25!F32</f>
        <v>0</v>
      </c>
      <c r="G32" s="5">
        <f>HISTOJANV25!G32+HISTOFEV25!G32+HISTOMARS25!G32+HISTOAVRIL25!G32+HISTOMAI25!G32+HISTOJUIN25!G32+HISTOJUIL25!G32+HISTOAOUT25!G32+HISTOSEPT25!G32+HISTOOCT25!G32+HISTONOV25!G32+HISTODEC25!G32</f>
        <v>0</v>
      </c>
      <c r="H32" s="5">
        <f>HISTOJANV25!H32+HISTOFEV25!H32+HISTOMARS25!H32+HISTOAVRIL25!H32+HISTOMAI25!H32+HISTOJUIN25!H32+HISTOJUIL25!H32+HISTOAOUT25!H32+HISTOSEPT25!H32+HISTOOCT25!H32+HISTONOV25!H32+HISTODEC25!H32</f>
        <v>6000</v>
      </c>
      <c r="I32" s="5"/>
      <c r="J32" s="5">
        <f>HISTOJANV25!J32+HISTOFEV25!J32+HISTOMARS25!J32+HISTOAVRIL25!J32+HISTOMAI25!J32+HISTOJUIN25!J32+HISTOJUIL25!J32+HISTOAOUT25!J32+HISTOSEPT25!J32+HISTOOCT25!J32+HISTONOV25!J32+HISTODEC25!J32</f>
        <v>12</v>
      </c>
      <c r="K32" s="5">
        <f>HISTOJANV25!K32+HISTOFEV25!K32+HISTOMARS25!K32+HISTOAVRIL25!K32+HISTOMAI25!K32+HISTOJUIN25!K32+HISTOJUIL25!K32+HISTOAOUT25!K32+HISTOSEPT25!K32+HISTOOCT25!K32+HISTONOV25!K32+HISTODEC25!K32</f>
        <v>600000</v>
      </c>
      <c r="L32" s="5">
        <f>HISTOJANV25!L32+HISTOFEV25!L32+HISTOMARS25!L32+HISTOAVRIL25!L32+HISTOMAI25!L32+HISTOJUIN25!L32+HISTOJUIL25!L32+HISTOAOUT25!L32+HISTOSEPT25!L32+HISTOOCT25!L32+HISTONOV25!L32+HISTODEC25!L32</f>
        <v>0</v>
      </c>
      <c r="M32" s="5">
        <f>HISTOJANV25!M32+HISTOFEV25!M32+HISTOMARS25!M32+HISTOAVRIL25!M32+HISTOMAI25!M32+HISTOJUIN25!M32+HISTOJUIL25!M32+HISTOAOUT25!M32+HISTOSEPT25!M32+HISTOOCT25!M32+HISTONOV25!M32+HISTODEC25!M32</f>
        <v>0</v>
      </c>
      <c r="N32" s="5">
        <f>HISTOJANV25!N32+HISTOFEV25!N32+HISTOMARS25!N32+HISTOAVRIL25!N32+HISTOMAI25!N32+HISTOJUIN25!N32+HISTOJUIL25!N32+HISTOAOUT25!N32+HISTOSEPT25!N32+HISTOOCT25!N32+HISTONOV25!N32+HISTODEC25!N32</f>
        <v>24</v>
      </c>
      <c r="O32" s="5">
        <f>HISTOJANV25!O32+HISTOFEV25!O32+HISTOMARS25!O32+HISTOAVRIL25!O32+HISTOMAI25!O32+HISTOJUIN25!O32+HISTOJUIL25!O32+HISTOAOUT25!O32+HISTOSEPT25!O32+HISTOOCT25!O32+HISTONOV25!O32+HISTODEC25!O32</f>
        <v>2400000</v>
      </c>
      <c r="P32" s="5">
        <f>HISTOJANV25!P32+HISTOFEV25!P32+HISTOMARS25!P32+HISTOAVRIL25!P32+HISTOMAI25!P32+HISTOJUIN25!P32+HISTOJUIL25!P32+HISTOAOUT25!P32+HISTOSEPT25!P32+HISTOOCT25!P32+HISTONOV25!P32+HISTODEC25!P32</f>
        <v>51000</v>
      </c>
      <c r="Q32" s="5">
        <f>HISTOJANV25!Q32+HISTOFEV25!Q32+HISTOMARS25!Q32+HISTOAVRIL25!Q32+HISTOMAI25!Q32+HISTOJUIN25!Q32+HISTOJUIL25!Q32+HISTOAOUT25!Q32+HISTOSEPT25!Q32+HISTOOCT25!Q32+HISTONOV25!Q32+HISTODEC25!Q32</f>
        <v>0</v>
      </c>
      <c r="R32" s="5">
        <f>HISTOJANV25!R32+HISTOFEV25!R32+HISTOMARS25!R32+HISTOAVRIL25!R32+HISTOMAI25!R32+HISTOJUIN25!R32+HISTOJUIL25!R32+HISTOAOUT25!R32+HISTOSEPT25!R32+HISTOOCT25!R32+HISTONOV25!R32+HISTODEC25!R32</f>
        <v>613500</v>
      </c>
      <c r="S32" s="5">
        <f>HISTOJANV25!S32+HISTOFEV25!S32+HISTOMARS25!S32+HISTOAVRIL25!S32+HISTOMAI25!S32+HISTOJUIN25!S32+HISTOJUIL25!S32+HISTOAOUT25!S32+HISTOSEPT25!S32+HISTOOCT25!S32+HISTONOV25!S32+HISTODEC25!S32</f>
        <v>4000000</v>
      </c>
      <c r="T32" s="5"/>
      <c r="U32" s="5">
        <f>HISTOJANV25!U32+HISTOFEV25!U32+HISTOMARS25!U32+HISTOAVRIL25!U32+HISTOMAI25!U32+HISTOJUIN25!U32+HISTOJUIL25!U32+HISTOAOUT25!U32+HISTOSEPT25!U32+HISTOOCT25!U32+HISTONOV25!U32+HISTODEC25!U32</f>
        <v>7670500</v>
      </c>
      <c r="V32" s="5">
        <f>HISTOJANV25!V32+HISTOFEV25!V32+HISTOMARS25!V32+HISTOAVRIL25!V32+HISTOMAI25!V32+HISTOJUIN25!V32+HISTOJUIL25!V32+HISTOAOUT25!V32+HISTOSEPT25!V32+HISTOOCT25!V32+HISTONOV25!V32+HISTODEC25!V32</f>
        <v>0</v>
      </c>
      <c r="W32" s="5">
        <f>HISTOJANV25!W32+HISTOFEV25!W32+HISTOMARS25!W32+HISTOAVRIL25!W32+HISTOMAI25!W32+HISTOJUIN25!W32+HISTOJUIL25!W32+HISTOAOUT25!W32+HISTOSEPT25!W32+HISTOOCT25!W32+HISTONOV25!W32+HISTODEC25!W32</f>
        <v>0</v>
      </c>
      <c r="X32" s="5">
        <f>HISTOJANV25!X32+HISTOFEV25!X32+HISTOMARS25!X32+HISTOAVRIL25!X32+HISTOMAI25!X32+HISTOJUIN25!X32+HISTOJUIL25!X32+HISTOAOUT25!X32+HISTOSEPT25!X32+HISTOOCT25!X32+HISTONOV25!X32+HISTODEC25!X32</f>
        <v>0</v>
      </c>
      <c r="Y32" s="5">
        <f>HISTOJANV25!Y32+HISTOFEV25!Y32+HISTOMARS25!Y32+HISTOAVRIL25!Y32+HISTOMAI25!Y32+HISTOJUIN25!Y32+HISTOJUIL25!Y32+HISTOAOUT25!Y32+HISTOSEPT25!Y32+HISTOOCT25!Y32+HISTONOV25!Y32+HISTODEC25!Y32</f>
        <v>3000000</v>
      </c>
      <c r="Z32" s="5">
        <f>HISTOJANV25!Z32+HISTOFEV25!Z32+HISTOMARS25!Z32+HISTOAVRIL25!Z32+HISTOMAI25!Z32+HISTOJUIN25!Z32+HISTOJUIL25!Z32+HISTOAOUT25!Z32+HISTOSEPT25!Z32+HISTOOCT25!Z32+HISTONOV25!Z32+HISTODEC25!Z32</f>
        <v>4000000</v>
      </c>
      <c r="AA32" s="5"/>
      <c r="AB32" s="5">
        <f>HISTOJANV25!AB32+HISTOFEV25!AB32+HISTOMARS25!AB32+HISTOAVRIL25!AB32+HISTOMAI25!AB32+HISTOJUIN25!AB32+HISTOJUIL25!AB32+HISTOAOUT25!AB32+HISTOSEPT25!AB32+HISTOOCT25!AB32+HISTONOV25!AB32+HISTODEC25!AB32</f>
        <v>0</v>
      </c>
      <c r="AC32" s="5">
        <f>HISTOJANV25!AC32+HISTOFEV25!AC32+HISTOMARS25!AC32+HISTOAVRIL25!AC32+HISTOMAI25!AC32+HISTOJUIN25!AC32+HISTOJUIL25!AC32+HISTOAOUT25!AC32+HISTOSEPT25!AC32+HISTOOCT25!AC32+HISTONOV25!AC32+HISTODEC25!AC32</f>
        <v>5500</v>
      </c>
      <c r="AD32" s="5">
        <f>HISTOJANV25!AD32+HISTOFEV25!AD32+HISTOMARS25!AD32+HISTOAVRIL25!AD32+HISTOMAI25!AD32+HISTOJUIN25!AD32+HISTOJUIL25!AD32+HISTOAOUT25!AD32+HISTOSEPT25!AD32+HISTOOCT25!AD32+HISTONOV25!AD32+HISTODEC25!AD32</f>
        <v>0</v>
      </c>
      <c r="AE32" s="5">
        <f>HISTOJANV25!AE32+HISTOFEV25!AE32+HISTOMARS25!AE32+HISTOAVRIL25!AE32+HISTOMAI25!AE32+HISTOJUIN25!AE32+HISTOJUIL25!AE32+HISTOAOUT25!AE32+HISTOSEPT25!AE32+HISTOOCT25!AE32+HISTONOV25!AE32+HISTODEC25!AE32</f>
        <v>30000</v>
      </c>
      <c r="AF32" s="5"/>
      <c r="AG32" s="5">
        <f>HISTOJANV25!AG32+HISTOFEV25!AG32+HISTOMARS25!AG32+HISTOAVRIL25!AG32+HISTOMAI25!AG32+HISTOJUIN25!AG32+HISTOJUIL25!AG32+HISTOAOUT25!AG32+HISTOSEPT25!AG32+HISTOOCT25!AG32+HISTONOV25!AG32+HISTODEC25!AG32</f>
        <v>0</v>
      </c>
      <c r="AH32" s="5">
        <f>HISTOJANV25!AH32+HISTOFEV25!AH32+HISTOMARS25!AH32+HISTOAVRIL25!AH32+HISTOMAI25!AH32+HISTOJUIN25!AH32+HISTOJUIL25!AH32+HISTOAOUT25!AH32+HISTOSEPT25!AH32+HISTOOCT25!AH32+HISTONOV25!AH32+HISTODEC25!AH32</f>
        <v>0</v>
      </c>
      <c r="AI32" s="5">
        <f>HISTOJANV25!AI32+HISTOFEV25!AI32+HISTOMARS25!AI32+HISTOAVRIL25!AI32+HISTOMAI25!AI32+HISTOJUIN25!AI32+HISTOJUIL25!AI32+HISTOAOUT25!AI32+HISTOSEPT25!AI32+HISTOOCT25!AI32+HISTONOV25!AI32+HISTODEC25!AI32</f>
        <v>50000</v>
      </c>
      <c r="AJ32" s="5">
        <f>HISTOJANV25!AJ32+HISTOFEV25!AJ32+HISTOMARS25!AJ32+HISTOAVRIL25!AJ32+HISTOMAI25!AJ32+HISTOJUIN25!AJ32+HISTOJUIL25!AJ32+HISTOAOUT25!AJ32+HISTOSEPT25!AJ32+HISTOOCT25!AJ32+HISTONOV25!AJ32+HISTODEC25!AJ32</f>
        <v>0</v>
      </c>
      <c r="AK32" s="5">
        <f>HISTOJANV25!AK32+HISTOFEV25!AK32+HISTOMARS25!AK32+HISTOAVRIL25!AK32+HISTOMAI25!AK32+HISTOJUIN25!AK32+HISTOJUIL25!AK32+HISTOAOUT25!AK32+HISTOSEPT25!AK32+HISTOOCT25!AK32+HISTONOV25!AK32+HISTODEC25!AK32</f>
        <v>600000</v>
      </c>
      <c r="AL32" s="5">
        <f>HISTOJANV25!AL32+HISTOFEV25!AL32+HISTOMARS25!AL32+HISTOAVRIL25!AL32+HISTOMAI25!AL32+HISTOJUIN25!AL32+HISTOJUIL25!AL32+HISTOAOUT25!AL32+HISTOSEPT25!AL32+HISTOOCT25!AL32+HISTONOV25!AL32+HISTODEC25!AL32</f>
        <v>1000</v>
      </c>
      <c r="AM32" s="5">
        <f>HISTOJANV25!AM32+HISTOFEV25!AM32+HISTOMARS25!AM32+HISTOAVRIL25!AM32+HISTOMAI25!AM32+HISTOJUIN25!AM32+HISTOJUIL25!AM32+HISTOAOUT25!AM32+HISTOSEPT25!AM32+HISTOOCT25!AM32+HISTONOV25!AM32+HISTODEC25!AM32</f>
        <v>0</v>
      </c>
      <c r="AN32" s="5">
        <f>HISTOJANV25!AN32+HISTOFEV25!AN32+HISTOMARS25!AN32+HISTOAVRIL25!AN32+HISTOMAI25!AN32+HISTOJUIN25!AN32+HISTOJUIL25!AN32+HISTOAOUT25!AN32+HISTOSEPT25!AN32+HISTOOCT25!AN32+HISTONOV25!AN32+HISTODEC25!AN32</f>
        <v>13500</v>
      </c>
      <c r="AO32" s="5">
        <f>HISTOJANV25!AO32+HISTOFEV25!AO32+HISTOMARS25!AO32+HISTOAVRIL25!AO32+HISTOMAI25!AO32+HISTOJUIN25!AO32+HISTOJUIL25!AO32+HISTOAOUT25!AO32+HISTOSEPT25!AO32+HISTOOCT25!AO32+HISTONOV25!AO32+HISTODEC25!AO32</f>
        <v>0</v>
      </c>
      <c r="AP32" s="5"/>
      <c r="AQ32" s="5">
        <f>HISTOJANV25!AQ32+HISTOFEV25!AQ32+HISTOMARS25!AQ32+HISTOAVRIL25!AQ32+HISTOMAI25!AQ32+HISTOJUIN25!AQ32+HISTOJUIL25!AQ32+HISTOAOUT25!AQ32+HISTOSEPT25!AQ32+HISTOOCT25!AQ32+HISTONOV25!AQ32+HISTODEC25!AQ32</f>
        <v>0</v>
      </c>
      <c r="AR32" s="5">
        <f>HISTOJANV25!AR32+HISTOFEV25!AR32+HISTOMARS25!AR32+HISTOAVRIL25!AR32+HISTOMAI25!AR32+HISTOJUIN25!AR32+HISTOJUIL25!AR32+HISTOAOUT25!AR32+HISTOSEPT25!AR32+HISTOOCT25!AR32+HISTONOV25!AR32+HISTODEC25!AR32</f>
        <v>0</v>
      </c>
      <c r="AS32" s="5">
        <f>HISTOJANV25!AS32+HISTOFEV25!AS32+HISTOMARS25!AS32+HISTOAVRIL25!AS32+HISTOMAI25!AS32+HISTOJUIN25!AS32+HISTOJUIL25!AS32+HISTOAOUT25!AS32+HISTOSEPT25!AS32+HISTOOCT25!AS32+HISTONOV25!AS32+HISTODEC25!AS32</f>
        <v>300000</v>
      </c>
      <c r="AT32" s="5">
        <f>HISTOJANV25!AT32+HISTOFEV25!AT32+HISTOMARS25!AT32+HISTOAVRIL25!AT32+HISTOMAI25!AT32+HISTOJUIN25!AT32+HISTOJUIL25!AT32+HISTOAOUT25!AT32+HISTOSEPT25!AT32+HISTOOCT25!AT32+HISTONOV25!AT32+HISTODEC25!AT32</f>
        <v>0</v>
      </c>
      <c r="AU32" s="5">
        <f>HISTOJANV25!AU32+HISTOFEV25!AU32+HISTOMARS25!AU32+HISTOAVRIL25!AU32+HISTOMAI25!AU32+HISTOJUIN25!AU32+HISTOJUIL25!AU32+HISTOAOUT25!AU32+HISTOSEPT25!AU32+HISTOOCT25!AU32+HISTONOV25!AU32+HISTODEC25!AU32</f>
        <v>0</v>
      </c>
      <c r="AV32" s="5">
        <f>HISTOJANV25!AV32+HISTOFEV25!AV32+HISTOMARS25!AV32+HISTOAVRIL25!AV32+HISTOMAI25!AV32+HISTOJUIN25!AV32+HISTOJUIL25!AV32+HISTOAOUT25!AV32+HISTOSEPT25!AV32+HISTOOCT25!AV32+HISTONOV25!AV32+HISTODEC25!AV32</f>
        <v>0</v>
      </c>
      <c r="AW32" s="5">
        <f>HISTOJANV25!AW32+HISTOFEV25!AW32+HISTOMARS25!AW32+HISTOAVRIL25!AW32+HISTOMAI25!AW32+HISTOJUIN25!AW32+HISTOJUIL25!AW32+HISTOAOUT25!AW32+HISTOSEPT25!AW32+HISTOOCT25!AW32+HISTONOV25!AW32+HISTODEC25!AW32</f>
        <v>344500</v>
      </c>
      <c r="AX32" s="5">
        <f>HISTOJANV25!AX32+HISTOFEV25!AX32+HISTOMARS25!AX32+HISTOAVRIL25!AX32+HISTOMAI25!AX32+HISTOJUIN25!AX32+HISTOJUIL25!AX32+HISTOAOUT25!AX32+HISTOSEPT25!AX32+HISTOOCT25!AX32+HISTONOV25!AX32+HISTODEC25!AX32</f>
        <v>0</v>
      </c>
      <c r="AY32" s="5">
        <f>HISTOJANV25!AY32+HISTOFEV25!AY32+HISTOMARS25!AY32+HISTOAVRIL25!AY32+HISTOMAI25!AY32+HISTOJUIN25!AY32+HISTOJUIL25!AY32+HISTOAOUT25!AY32+HISTOSEPT25!AY32+HISTOOCT25!AY32+HISTONOV25!AY32+HISTODEC25!AY32</f>
        <v>2970000</v>
      </c>
      <c r="AZ32" s="5">
        <f>HISTOJANV25!AZ32+HISTOFEV25!AZ32+HISTOMARS25!AZ32+HISTOAVRIL25!AZ32+HISTOMAI25!AZ32+HISTOJUIN25!AZ32+HISTOJUIL25!AZ32+HISTOAOUT25!AZ32+HISTOSEPT25!AZ32+HISTOOCT25!AZ32+HISTONOV25!AZ32+HISTODEC25!AZ32</f>
        <v>7294500</v>
      </c>
      <c r="BA32" s="5">
        <f>HISTOJANV25!BA32+HISTOFEV25!BA32+HISTOMARS25!BA32+HISTOAVRIL25!BA32+HISTOMAI25!BA32+HISTOJUIN25!BA32+HISTOJUIL25!BA32+HISTOAOUT25!BA32+HISTOSEPT25!BA32+HISTOOCT25!BA32+HISTONOV25!BA32+HISTODEC25!BA32</f>
        <v>1220000</v>
      </c>
      <c r="BB32" s="5">
        <f>HISTOJANV25!BB32+HISTOFEV25!BB32+HISTOMARS25!BB32+HISTOAVRIL25!BB32+HISTOMAI25!BB32+HISTOJUIN25!BB32+HISTOJUIL25!BB32+HISTOAOUT25!BB32+HISTOSEPT25!BB32+HISTOOCT25!BB32+HISTONOV25!BB32+HISTODEC25!BB32</f>
        <v>0</v>
      </c>
      <c r="BC32" s="5">
        <f>HISTOJANV25!BC32+HISTOFEV25!BC32+HISTOMARS25!BC32+HISTOAVRIL25!BC32+HISTOMAI25!BC32+HISTOJUIN25!BC32+HISTOJUIL25!BC32+HISTOAOUT25!BC32+HISTOSEPT25!BC32+HISTOOCT25!BC32+HISTONOV25!BC32+HISTODEC25!BC32</f>
        <v>0</v>
      </c>
      <c r="BD32" s="5">
        <f>HISTOJANV25!BD32+HISTOFEV25!BD32+HISTOMARS25!BD32+HISTOAVRIL25!BD32+HISTOMAI25!BD32+HISTOJUIN25!BD32+HISTOJUIL25!BD32+HISTOAOUT25!BD32+HISTOSEPT25!BD32+HISTOOCT25!BD32+HISTONOV25!BD32+HISTODEC25!BD32</f>
        <v>5104500</v>
      </c>
      <c r="BE32" s="5"/>
      <c r="BF32" s="5">
        <f>HISTOJANV25!BF32+HISTOFEV25!BF32+HISTOMARS25!BF32+HISTOAVRIL25!BF32+HISTOMAI25!BF32+HISTOJUIN25!BF32+HISTOJUIL25!BF32+HISTOAOUT25!BF32+HISTOSEPT25!BF32+HISTOOCT25!BF32+HISTONOV25!BF32+HISTODEC25!BF32</f>
        <v>120000</v>
      </c>
      <c r="BG32" s="5">
        <f>HISTOJANV25!BG32+HISTOFEV25!BG32+HISTOMARS25!BG32+HISTOAVRIL25!BG32+HISTOMAI25!BG32+HISTOJUIN25!BG32+HISTOJUIL25!BG32+HISTOAOUT25!BG32+HISTOSEPT25!BG32+HISTOOCT25!BG32+HISTONOV25!BG32+HISTODEC25!BG32</f>
        <v>61</v>
      </c>
      <c r="BH32" s="5">
        <f>HISTOJANV25!BH32+HISTOFEV25!BH32+HISTOMARS25!BH32+HISTOAVRIL25!BH32+HISTOMAI25!BH32+HISTOJUIN25!BH32+HISTOJUIL25!BH32+HISTOAOUT25!BH32+HISTOSEPT25!BH32+HISTOOCT25!BH32+HISTONOV25!BH32+HISTODEC25!BH32</f>
        <v>0</v>
      </c>
      <c r="BI32" s="5">
        <f>HISTOJANV25!BI32+HISTOFEV25!BI32+HISTOMARS25!BI32+HISTOAVRIL25!BI32+HISTOMAI25!BI32+HISTOJUIN25!BI32+HISTOJUIL25!BI32+HISTOAOUT25!BI32+HISTOSEPT25!BI32+HISTOOCT25!BI32+HISTONOV25!BI32+HISTODEC25!BI32</f>
        <v>0</v>
      </c>
      <c r="BJ32" s="5">
        <f>HISTOJANV25!BJ32+HISTOFEV25!BJ32+HISTOMARS25!BJ32+HISTOAVRIL25!BJ32+HISTOMAI25!BJ32+HISTOJUIN25!BJ32+HISTOJUIL25!BJ32+HISTOAOUT25!BJ32+HISTOSEPT25!BJ32+HISTOOCT25!BJ32+HISTONOV25!BJ32+HISTODEC25!BJ32</f>
        <v>0</v>
      </c>
      <c r="BK32" s="5">
        <f>HISTOJANV25!BK32+HISTOFEV25!BK32+HISTOMARS25!BK32+HISTOAVRIL25!BK32+HISTOMAI25!BK32+HISTOJUIN25!BK32+HISTOJUIL25!BK32+HISTOAOUT25!BK32+HISTOSEPT25!BK32+HISTOOCT25!BK32+HISTONOV25!BK32+HISTODEC25!BK32</f>
        <v>100000</v>
      </c>
      <c r="BL32" s="5">
        <f>HISTOJANV25!BL32+HISTOFEV25!BL32+HISTOMARS25!BL32+HISTOAVRIL25!BL32+HISTOMAI25!BL32+HISTOJUIN25!BL32+HISTOJUIL25!BL32+HISTOAOUT25!BL32+HISTOSEPT25!BL32+HISTOOCT25!BL32+HISTONOV25!BL32+HISTODEC25!BL32</f>
        <v>0</v>
      </c>
      <c r="BM32" s="5">
        <f>HISTOJANV25!BM32+HISTOFEV25!BM32+HISTOMARS25!BM32+HISTOAVRIL25!BM32+HISTOMAI25!BM32+HISTOJUIN25!BM32+HISTOJUIL25!BM32+HISTOAOUT25!BM32+HISTOSEPT25!BM32+HISTOOCT25!BM32+HISTONOV25!BM32+HISTODEC25!BM32</f>
        <v>0</v>
      </c>
      <c r="BN32" s="5">
        <f>HISTOJANV25!BN32+HISTOFEV25!BN32+HISTOMARS25!BN32+HISTOAVRIL25!BN32+HISTOMAI25!BN32+HISTOJUIN25!BN32+HISTOJUIL25!BN32+HISTOAOUT25!BN32+HISTOSEPT25!BN32+HISTOOCT25!BN32+HISTONOV25!BN32+HISTODEC25!BN32</f>
        <v>0</v>
      </c>
      <c r="BO32" t="s">
        <v>128</v>
      </c>
      <c r="BP32" t="s">
        <v>50</v>
      </c>
      <c r="BQ32" s="6"/>
    </row>
    <row r="33" spans="1:69" ht="17.5" x14ac:dyDescent="0.35">
      <c r="A33" s="21" t="s">
        <v>33</v>
      </c>
      <c r="B33" s="1" t="str">
        <f>VLOOKUP(A33,[5]LISTADHERENT!A$5:H$50,3,0)</f>
        <v>SIMO FONGANG ERIC</v>
      </c>
      <c r="C33" s="5">
        <f>HISTOJANV25!C33+HISTOFEV25!C33+HISTOMARS25!C33+HISTOAVRIL25!C33+HISTOMAI25!C33+HISTOJUIN25!C33+HISTOJUIL25!C33+HISTOAOUT25!C33+HISTOSEPT25!C33+HISTOOCT25!C33+HISTONOV25!C33+HISTODEC25!C33</f>
        <v>-291500</v>
      </c>
      <c r="D33" s="5">
        <f>HISTOJANV25!D33+HISTOFEV25!D33+HISTOMARS25!D33+HISTOAVRIL25!D33+HISTOMAI25!D33+HISTOJUIN25!D33+HISTOJUIL25!D33+HISTOAOUT25!D33+HISTOSEPT25!D33+HISTOOCT25!D33+HISTONOV25!D33+HISTODEC25!D33</f>
        <v>300000</v>
      </c>
      <c r="E33" s="5">
        <f>HISTOJANV25!E33+HISTOFEV25!E33+HISTOMARS25!E33+HISTOAVRIL25!E33+HISTOMAI25!E33+HISTOJUIN25!E33+HISTOJUIL25!E33+HISTOAOUT25!E33+HISTOSEPT25!E33+HISTOOCT25!E33+HISTONOV25!E33+HISTODEC25!E33</f>
        <v>313000</v>
      </c>
      <c r="F33" s="5">
        <f>HISTOJANV25!F33+HISTOFEV25!F33+HISTOMARS25!F33+HISTOAVRIL25!F33+HISTOMAI25!F33+HISTOJUIN25!F33+HISTOJUIL25!F33+HISTOAOUT25!F33+HISTOSEPT25!F33+HISTOOCT25!F33+HISTONOV25!F33+HISTODEC25!F33</f>
        <v>0</v>
      </c>
      <c r="G33" s="5">
        <f>HISTOJANV25!G33+HISTOFEV25!G33+HISTOMARS25!G33+HISTOAVRIL25!G33+HISTOMAI25!G33+HISTOJUIN25!G33+HISTOJUIL25!G33+HISTOAOUT25!G33+HISTOSEPT25!G33+HISTOOCT25!G33+HISTONOV25!G33+HISTODEC25!G33</f>
        <v>292500</v>
      </c>
      <c r="H33" s="5">
        <f>HISTOJANV25!H33+HISTOFEV25!H33+HISTOMARS25!H33+HISTOAVRIL25!H33+HISTOMAI25!H33+HISTOJUIN25!H33+HISTOJUIL25!H33+HISTOAOUT25!H33+HISTOSEPT25!H33+HISTOOCT25!H33+HISTONOV25!H33+HISTODEC25!H33</f>
        <v>15000</v>
      </c>
      <c r="I33" s="5"/>
      <c r="J33" s="5">
        <f>HISTOJANV25!J33+HISTOFEV25!J33+HISTOMARS25!J33+HISTOAVRIL25!J33+HISTOMAI25!J33+HISTOJUIN25!J33+HISTOJUIL25!J33+HISTOAOUT25!J33+HISTOSEPT25!J33+HISTOOCT25!J33+HISTONOV25!J33+HISTODEC25!J33</f>
        <v>12</v>
      </c>
      <c r="K33" s="5">
        <f>HISTOJANV25!K33+HISTOFEV25!K33+HISTOMARS25!K33+HISTOAVRIL25!K33+HISTOMAI25!K33+HISTOJUIN25!K33+HISTOJUIL25!K33+HISTOAOUT25!K33+HISTOSEPT25!K33+HISTOOCT25!K33+HISTONOV25!K33+HISTODEC25!K33</f>
        <v>600000</v>
      </c>
      <c r="L33" s="5">
        <f>HISTOJANV25!L33+HISTOFEV25!L33+HISTOMARS25!L33+HISTOAVRIL25!L33+HISTOMAI25!L33+HISTOJUIN25!L33+HISTOJUIL25!L33+HISTOAOUT25!L33+HISTOSEPT25!L33+HISTOOCT25!L33+HISTONOV25!L33+HISTODEC25!L33</f>
        <v>0</v>
      </c>
      <c r="M33" s="5">
        <f>HISTOJANV25!M33+HISTOFEV25!M33+HISTOMARS25!M33+HISTOAVRIL25!M33+HISTOMAI25!M33+HISTOJUIN25!M33+HISTOJUIL25!M33+HISTOAOUT25!M33+HISTOSEPT25!M33+HISTOOCT25!M33+HISTONOV25!M33+HISTODEC25!M33</f>
        <v>0</v>
      </c>
      <c r="N33" s="5">
        <f>HISTOJANV25!N33+HISTOFEV25!N33+HISTOMARS25!N33+HISTOAVRIL25!N33+HISTOMAI25!N33+HISTOJUIN25!N33+HISTOJUIL25!N33+HISTOAOUT25!N33+HISTOSEPT25!N33+HISTOOCT25!N33+HISTONOV25!N33+HISTODEC25!N33</f>
        <v>0</v>
      </c>
      <c r="O33" s="5">
        <f>HISTOJANV25!O33+HISTOFEV25!O33+HISTOMARS25!O33+HISTOAVRIL25!O33+HISTOMAI25!O33+HISTOJUIN25!O33+HISTOJUIL25!O33+HISTOAOUT25!O33+HISTOSEPT25!O33+HISTOOCT25!O33+HISTONOV25!O33+HISTODEC25!O33</f>
        <v>0</v>
      </c>
      <c r="P33" s="5">
        <f>HISTOJANV25!P33+HISTOFEV25!P33+HISTOMARS25!P33+HISTOAVRIL25!P33+HISTOMAI25!P33+HISTOJUIN25!P33+HISTOJUIL25!P33+HISTOAOUT25!P33+HISTOSEPT25!P33+HISTOOCT25!P33+HISTONOV25!P33+HISTODEC25!P33</f>
        <v>0</v>
      </c>
      <c r="Q33" s="5">
        <f>HISTOJANV25!Q33+HISTOFEV25!Q33+HISTOMARS25!Q33+HISTOAVRIL25!Q33+HISTOMAI25!Q33+HISTOJUIN25!Q33+HISTOJUIL25!Q33+HISTOAOUT25!Q33+HISTOSEPT25!Q33+HISTOOCT25!Q33+HISTONOV25!Q33+HISTODEC25!Q33</f>
        <v>0</v>
      </c>
      <c r="R33" s="5">
        <f>HISTOJANV25!R33+HISTOFEV25!R33+HISTOMARS25!R33+HISTOAVRIL25!R33+HISTOMAI25!R33+HISTOJUIN25!R33+HISTOJUIL25!R33+HISTOAOUT25!R33+HISTOSEPT25!R33+HISTOOCT25!R33+HISTONOV25!R33+HISTODEC25!R33</f>
        <v>0</v>
      </c>
      <c r="S33" s="5">
        <f>HISTOJANV25!S33+HISTOFEV25!S33+HISTOMARS25!S33+HISTOAVRIL25!S33+HISTOMAI25!S33+HISTOJUIN25!S33+HISTOJUIL25!S33+HISTOAOUT25!S33+HISTOSEPT25!S33+HISTOOCT25!S33+HISTONOV25!S33+HISTODEC25!S33</f>
        <v>0</v>
      </c>
      <c r="T33" s="5"/>
      <c r="U33" s="5">
        <f>HISTOJANV25!U33+HISTOFEV25!U33+HISTOMARS25!U33+HISTOAVRIL25!U33+HISTOMAI25!U33+HISTOJUIN25!U33+HISTOJUIL25!U33+HISTOAOUT25!U33+HISTOSEPT25!U33+HISTOOCT25!U33+HISTONOV25!U33+HISTODEC25!U33</f>
        <v>907500</v>
      </c>
      <c r="V33" s="5">
        <f>HISTOJANV25!V33+HISTOFEV25!V33+HISTOMARS25!V33+HISTOAVRIL25!V33+HISTOMAI25!V33+HISTOJUIN25!V33+HISTOJUIL25!V33+HISTOAOUT25!V33+HISTOSEPT25!V33+HISTOOCT25!V33+HISTONOV25!V33+HISTODEC25!V33</f>
        <v>0</v>
      </c>
      <c r="W33" s="5">
        <f>HISTOJANV25!W33+HISTOFEV25!W33+HISTOMARS25!W33+HISTOAVRIL25!W33+HISTOMAI25!W33+HISTOJUIN25!W33+HISTOJUIL25!W33+HISTOAOUT25!W33+HISTOSEPT25!W33+HISTOOCT25!W33+HISTONOV25!W33+HISTODEC25!W33</f>
        <v>0</v>
      </c>
      <c r="X33" s="5">
        <f>HISTOJANV25!X33+HISTOFEV25!X33+HISTOMARS25!X33+HISTOAVRIL25!X33+HISTOMAI25!X33+HISTOJUIN25!X33+HISTOJUIL25!X33+HISTOAOUT25!X33+HISTOSEPT25!X33+HISTOOCT25!X33+HISTONOV25!X33+HISTODEC25!X33</f>
        <v>0</v>
      </c>
      <c r="Y33" s="5">
        <f>HISTOJANV25!Y33+HISTOFEV25!Y33+HISTOMARS25!Y33+HISTOAVRIL25!Y33+HISTOMAI25!Y33+HISTOJUIN25!Y33+HISTOJUIL25!Y33+HISTOAOUT25!Y33+HISTOSEPT25!Y33+HISTOOCT25!Y33+HISTONOV25!Y33+HISTODEC25!Y33</f>
        <v>600000</v>
      </c>
      <c r="Z33" s="5">
        <f>HISTOJANV25!Z33+HISTOFEV25!Z33+HISTOMARS25!Z33+HISTOAVRIL25!Z33+HISTOMAI25!Z33+HISTOJUIN25!Z33+HISTOJUIL25!Z33+HISTOAOUT25!Z33+HISTOSEPT25!Z33+HISTOOCT25!Z33+HISTONOV25!Z33+HISTODEC25!Z33</f>
        <v>0</v>
      </c>
      <c r="AA33" s="5"/>
      <c r="AB33" s="5">
        <f>HISTOJANV25!AB33+HISTOFEV25!AB33+HISTOMARS25!AB33+HISTOAVRIL25!AB33+HISTOMAI25!AB33+HISTOJUIN25!AB33+HISTOJUIL25!AB33+HISTOAOUT25!AB33+HISTOSEPT25!AB33+HISTOOCT25!AB33+HISTONOV25!AB33+HISTODEC25!AB33</f>
        <v>0</v>
      </c>
      <c r="AC33" s="5">
        <f>HISTOJANV25!AC33+HISTOFEV25!AC33+HISTOMARS25!AC33+HISTOAVRIL25!AC33+HISTOMAI25!AC33+HISTOJUIN25!AC33+HISTOJUIL25!AC33+HISTOAOUT25!AC33+HISTOSEPT25!AC33+HISTOOCT25!AC33+HISTONOV25!AC33+HISTODEC25!AC33</f>
        <v>2500</v>
      </c>
      <c r="AD33" s="5">
        <f>HISTOJANV25!AD33+HISTOFEV25!AD33+HISTOMARS25!AD33+HISTOAVRIL25!AD33+HISTOMAI25!AD33+HISTOJUIN25!AD33+HISTOJUIL25!AD33+HISTOAOUT25!AD33+HISTOSEPT25!AD33+HISTOOCT25!AD33+HISTONOV25!AD33+HISTODEC25!AD33</f>
        <v>0</v>
      </c>
      <c r="AE33" s="5">
        <f>HISTOJANV25!AE33+HISTOFEV25!AE33+HISTOMARS25!AE33+HISTOAVRIL25!AE33+HISTOMAI25!AE33+HISTOJUIN25!AE33+HISTOJUIL25!AE33+HISTOAOUT25!AE33+HISTOSEPT25!AE33+HISTOOCT25!AE33+HISTONOV25!AE33+HISTODEC25!AE33</f>
        <v>0</v>
      </c>
      <c r="AF33" s="5"/>
      <c r="AG33" s="5">
        <f>HISTOJANV25!AG33+HISTOFEV25!AG33+HISTOMARS25!AG33+HISTOAVRIL25!AG33+HISTOMAI25!AG33+HISTOJUIN25!AG33+HISTOJUIL25!AG33+HISTOAOUT25!AG33+HISTOSEPT25!AG33+HISTOOCT25!AG33+HISTONOV25!AG33+HISTODEC25!AG33</f>
        <v>0</v>
      </c>
      <c r="AH33" s="5">
        <f>HISTOJANV25!AH33+HISTOFEV25!AH33+HISTOMARS25!AH33+HISTOAVRIL25!AH33+HISTOMAI25!AH33+HISTOJUIN25!AH33+HISTOJUIL25!AH33+HISTOAOUT25!AH33+HISTOSEPT25!AH33+HISTOOCT25!AH33+HISTONOV25!AH33+HISTODEC25!AH33</f>
        <v>0</v>
      </c>
      <c r="AI33" s="5">
        <f>HISTOJANV25!AI33+HISTOFEV25!AI33+HISTOMARS25!AI33+HISTOAVRIL25!AI33+HISTOMAI25!AI33+HISTOJUIN25!AI33+HISTOJUIL25!AI33+HISTOAOUT25!AI33+HISTOSEPT25!AI33+HISTOOCT25!AI33+HISTONOV25!AI33+HISTODEC25!AI33</f>
        <v>0</v>
      </c>
      <c r="AJ33" s="5">
        <f>HISTOJANV25!AJ33+HISTOFEV25!AJ33+HISTOMARS25!AJ33+HISTOAVRIL25!AJ33+HISTOMAI25!AJ33+HISTOJUIN25!AJ33+HISTOJUIL25!AJ33+HISTOAOUT25!AJ33+HISTOSEPT25!AJ33+HISTOOCT25!AJ33+HISTONOV25!AJ33+HISTODEC25!AJ33</f>
        <v>0</v>
      </c>
      <c r="AK33" s="5">
        <f>HISTOJANV25!AK33+HISTOFEV25!AK33+HISTOMARS25!AK33+HISTOAVRIL25!AK33+HISTOMAI25!AK33+HISTOJUIN25!AK33+HISTOJUIL25!AK33+HISTOAOUT25!AK33+HISTOSEPT25!AK33+HISTOOCT25!AK33+HISTONOV25!AK33+HISTODEC25!AK33</f>
        <v>0</v>
      </c>
      <c r="AL33" s="5">
        <f>HISTOJANV25!AL33+HISTOFEV25!AL33+HISTOMARS25!AL33+HISTOAVRIL25!AL33+HISTOMAI25!AL33+HISTOJUIN25!AL33+HISTOJUIL25!AL33+HISTOAOUT25!AL33+HISTOSEPT25!AL33+HISTOOCT25!AL33+HISTONOV25!AL33+HISTODEC25!AL33</f>
        <v>0</v>
      </c>
      <c r="AM33" s="5">
        <f>HISTOJANV25!AM33+HISTOFEV25!AM33+HISTOMARS25!AM33+HISTOAVRIL25!AM33+HISTOMAI25!AM33+HISTOJUIN25!AM33+HISTOJUIL25!AM33+HISTOAOUT25!AM33+HISTOSEPT25!AM33+HISTOOCT25!AM33+HISTONOV25!AM33+HISTODEC25!AM33</f>
        <v>0</v>
      </c>
      <c r="AN33" s="5">
        <f>HISTOJANV25!AN33+HISTOFEV25!AN33+HISTOMARS25!AN33+HISTOAVRIL25!AN33+HISTOMAI25!AN33+HISTOJUIN25!AN33+HISTOJUIL25!AN33+HISTOAOUT25!AN33+HISTOSEPT25!AN33+HISTOOCT25!AN33+HISTONOV25!AN33+HISTODEC25!AN33</f>
        <v>0</v>
      </c>
      <c r="AO33" s="5">
        <f>HISTOJANV25!AO33+HISTOFEV25!AO33+HISTOMARS25!AO33+HISTOAVRIL25!AO33+HISTOMAI25!AO33+HISTOJUIN25!AO33+HISTOJUIL25!AO33+HISTOAOUT25!AO33+HISTOSEPT25!AO33+HISTOOCT25!AO33+HISTONOV25!AO33+HISTODEC25!AO33</f>
        <v>0</v>
      </c>
      <c r="AP33" s="5"/>
      <c r="AQ33" s="5">
        <f>HISTOJANV25!AQ33+HISTOFEV25!AQ33+HISTOMARS25!AQ33+HISTOAVRIL25!AQ33+HISTOMAI25!AQ33+HISTOJUIN25!AQ33+HISTOJUIL25!AQ33+HISTOAOUT25!AQ33+HISTOSEPT25!AQ33+HISTOOCT25!AQ33+HISTONOV25!AQ33+HISTODEC25!AQ33</f>
        <v>0</v>
      </c>
      <c r="AR33" s="5">
        <f>HISTOJANV25!AR33+HISTOFEV25!AR33+HISTOMARS25!AR33+HISTOAVRIL25!AR33+HISTOMAI25!AR33+HISTOJUIN25!AR33+HISTOJUIL25!AR33+HISTOAOUT25!AR33+HISTOSEPT25!AR33+HISTOOCT25!AR33+HISTONOV25!AR33+HISTODEC25!AR33</f>
        <v>0</v>
      </c>
      <c r="AS33" s="5">
        <f>HISTOJANV25!AS33+HISTOFEV25!AS33+HISTOMARS25!AS33+HISTOAVRIL25!AS33+HISTOMAI25!AS33+HISTOJUIN25!AS33+HISTOJUIL25!AS33+HISTOAOUT25!AS33+HISTOSEPT25!AS33+HISTOOCT25!AS33+HISTONOV25!AS33+HISTODEC25!AS33</f>
        <v>592500</v>
      </c>
      <c r="AT33" s="5">
        <f>HISTOJANV25!AT33+HISTOFEV25!AT33+HISTOMARS25!AT33+HISTOAVRIL25!AT33+HISTOMAI25!AT33+HISTOJUIN25!AT33+HISTOJUIL25!AT33+HISTOAOUT25!AT33+HISTOSEPT25!AT33+HISTOOCT25!AT33+HISTONOV25!AT33+HISTODEC25!AT33</f>
        <v>0</v>
      </c>
      <c r="AU33" s="5">
        <f>HISTOJANV25!AU33+HISTOFEV25!AU33+HISTOMARS25!AU33+HISTOAVRIL25!AU33+HISTOMAI25!AU33+HISTOJUIN25!AU33+HISTOJUIL25!AU33+HISTOAOUT25!AU33+HISTOSEPT25!AU33+HISTOOCT25!AU33+HISTONOV25!AU33+HISTODEC25!AU33</f>
        <v>0</v>
      </c>
      <c r="AV33" s="5">
        <f>HISTOJANV25!AV33+HISTOFEV25!AV33+HISTOMARS25!AV33+HISTOAVRIL25!AV33+HISTOMAI25!AV33+HISTOJUIN25!AV33+HISTOJUIL25!AV33+HISTOAOUT25!AV33+HISTOSEPT25!AV33+HISTOOCT25!AV33+HISTONOV25!AV33+HISTODEC25!AV33</f>
        <v>0</v>
      </c>
      <c r="AW33" s="5">
        <f>HISTOJANV25!AW33+HISTOFEV25!AW33+HISTOMARS25!AW33+HISTOAVRIL25!AW33+HISTOMAI25!AW33+HISTOJUIN25!AW33+HISTOJUIL25!AW33+HISTOAOUT25!AW33+HISTOSEPT25!AW33+HISTOOCT25!AW33+HISTONOV25!AW33+HISTODEC25!AW33</f>
        <v>297500</v>
      </c>
      <c r="AX33" s="5">
        <f>HISTOJANV25!AX33+HISTOFEV25!AX33+HISTOMARS25!AX33+HISTOAVRIL25!AX33+HISTOMAI25!AX33+HISTOJUIN25!AX33+HISTOJUIL25!AX33+HISTOAOUT25!AX33+HISTOSEPT25!AX33+HISTOOCT25!AX33+HISTONOV25!AX33+HISTODEC25!AX33</f>
        <v>0</v>
      </c>
      <c r="AY33" s="5">
        <f>HISTOJANV25!AY33+HISTOFEV25!AY33+HISTOMARS25!AY33+HISTOAVRIL25!AY33+HISTOMAI25!AY33+HISTOJUIN25!AY33+HISTOJUIL25!AY33+HISTOAOUT25!AY33+HISTOSEPT25!AY33+HISTOOCT25!AY33+HISTONOV25!AY33+HISTODEC25!AY33</f>
        <v>0</v>
      </c>
      <c r="AZ33" s="5">
        <f>HISTOJANV25!AZ33+HISTOFEV25!AZ33+HISTOMARS25!AZ33+HISTOAVRIL25!AZ33+HISTOMAI25!AZ33+HISTOJUIN25!AZ33+HISTOJUIL25!AZ33+HISTOAOUT25!AZ33+HISTOSEPT25!AZ33+HISTOOCT25!AZ33+HISTONOV25!AZ33+HISTODEC25!AZ33</f>
        <v>297500</v>
      </c>
      <c r="BA33" s="5">
        <f>HISTOJANV25!BA33+HISTOFEV25!BA33+HISTOMARS25!BA33+HISTOAVRIL25!BA33+HISTOMAI25!BA33+HISTOJUIN25!BA33+HISTOJUIL25!BA33+HISTOAOUT25!BA33+HISTOSEPT25!BA33+HISTOOCT25!BA33+HISTONOV25!BA33+HISTODEC25!BA33</f>
        <v>0</v>
      </c>
      <c r="BB33" s="5">
        <f>HISTOJANV25!BB33+HISTOFEV25!BB33+HISTOMARS25!BB33+HISTOAVRIL25!BB33+HISTOMAI25!BB33+HISTOJUIN25!BB33+HISTOJUIL25!BB33+HISTOAOUT25!BB33+HISTOSEPT25!BB33+HISTOOCT25!BB33+HISTONOV25!BB33+HISTODEC25!BB33</f>
        <v>300000</v>
      </c>
      <c r="BC33" s="5">
        <f>HISTOJANV25!BC33+HISTOFEV25!BC33+HISTOMARS25!BC33+HISTOAVRIL25!BC33+HISTOMAI25!BC33+HISTOJUIN25!BC33+HISTOJUIL25!BC33+HISTOAOUT25!BC33+HISTOSEPT25!BC33+HISTOOCT25!BC33+HISTONOV25!BC33+HISTODEC25!BC33</f>
        <v>0</v>
      </c>
      <c r="BD33" s="5">
        <f>HISTOJANV25!BD33+HISTOFEV25!BD33+HISTOMARS25!BD33+HISTOAVRIL25!BD33+HISTOMAI25!BD33+HISTOJUIN25!BD33+HISTOJUIL25!BD33+HISTOAOUT25!BD33+HISTOSEPT25!BD33+HISTOOCT25!BD33+HISTONOV25!BD33+HISTODEC25!BD33</f>
        <v>297500</v>
      </c>
      <c r="BE33" s="5"/>
      <c r="BF33" s="5">
        <f>HISTOJANV25!BF33+HISTOFEV25!BF33+HISTOMARS25!BF33+HISTOAVRIL25!BF33+HISTOMAI25!BF33+HISTOJUIN25!BF33+HISTOJUIL25!BF33+HISTOAOUT25!BF33+HISTOSEPT25!BF33+HISTOOCT25!BF33+HISTONOV25!BF33+HISTODEC25!BF33</f>
        <v>0</v>
      </c>
      <c r="BG33" s="5">
        <f>HISTOJANV25!BG33+HISTOFEV25!BG33+HISTOMARS25!BG33+HISTOAVRIL25!BG33+HISTOMAI25!BG33+HISTOJUIN25!BG33+HISTOJUIL25!BG33+HISTOAOUT25!BG33+HISTOSEPT25!BG33+HISTOOCT25!BG33+HISTONOV25!BG33+HISTODEC25!BG33</f>
        <v>67</v>
      </c>
      <c r="BH33" s="5">
        <f>HISTOJANV25!BH33+HISTOFEV25!BH33+HISTOMARS25!BH33+HISTOAVRIL25!BH33+HISTOMAI25!BH33+HISTOJUIN25!BH33+HISTOJUIL25!BH33+HISTOAOUT25!BH33+HISTOSEPT25!BH33+HISTOOCT25!BH33+HISTONOV25!BH33+HISTODEC25!BH33</f>
        <v>0</v>
      </c>
      <c r="BI33" s="5">
        <f>HISTOJANV25!BI33+HISTOFEV25!BI33+HISTOMARS25!BI33+HISTOAVRIL25!BI33+HISTOMAI25!BI33+HISTOJUIN25!BI33+HISTOJUIL25!BI33+HISTOAOUT25!BI33+HISTOSEPT25!BI33+HISTOOCT25!BI33+HISTONOV25!BI33+HISTODEC25!BI33</f>
        <v>0</v>
      </c>
      <c r="BJ33" s="5">
        <f>HISTOJANV25!BJ33+HISTOFEV25!BJ33+HISTOMARS25!BJ33+HISTOAVRIL25!BJ33+HISTOMAI25!BJ33+HISTOJUIN25!BJ33+HISTOJUIL25!BJ33+HISTOAOUT25!BJ33+HISTOSEPT25!BJ33+HISTOOCT25!BJ33+HISTONOV25!BJ33+HISTODEC25!BJ33</f>
        <v>0</v>
      </c>
      <c r="BK33" s="5">
        <f>HISTOJANV25!BK33+HISTOFEV25!BK33+HISTOMARS25!BK33+HISTOAVRIL25!BK33+HISTOMAI25!BK33+HISTOJUIN25!BK33+HISTOJUIL25!BK33+HISTOAOUT25!BK33+HISTOSEPT25!BK33+HISTOOCT25!BK33+HISTONOV25!BK33+HISTODEC25!BK33</f>
        <v>0</v>
      </c>
      <c r="BL33" s="5">
        <f>HISTOJANV25!BL33+HISTOFEV25!BL33+HISTOMARS25!BL33+HISTOAVRIL25!BL33+HISTOMAI25!BL33+HISTOJUIN25!BL33+HISTOJUIL25!BL33+HISTOAOUT25!BL33+HISTOSEPT25!BL33+HISTOOCT25!BL33+HISTONOV25!BL33+HISTODEC25!BL33</f>
        <v>0</v>
      </c>
      <c r="BM33" s="5">
        <f>HISTOJANV25!BM33+HISTOFEV25!BM33+HISTOMARS25!BM33+HISTOAVRIL25!BM33+HISTOMAI25!BM33+HISTOJUIN25!BM33+HISTOJUIL25!BM33+HISTOAOUT25!BM33+HISTOSEPT25!BM33+HISTOOCT25!BM33+HISTONOV25!BM33+HISTODEC25!BM33</f>
        <v>0</v>
      </c>
      <c r="BN33" s="5">
        <f>HISTOJANV25!BN33+HISTOFEV25!BN33+HISTOMARS25!BN33+HISTOAVRIL25!BN33+HISTOMAI25!BN33+HISTOJUIN25!BN33+HISTOJUIL25!BN33+HISTOAOUT25!BN33+HISTOSEPT25!BN33+HISTOOCT25!BN33+HISTONOV25!BN33+HISTODEC25!BN33</f>
        <v>0</v>
      </c>
      <c r="BQ33" s="6"/>
    </row>
    <row r="34" spans="1:69" ht="17.5" x14ac:dyDescent="0.35">
      <c r="A34" s="1" t="s">
        <v>37</v>
      </c>
      <c r="B34" s="1" t="str">
        <f>VLOOKUP(A34,[5]LISTADHERENT!A$5:H$50,3,0)</f>
        <v>SIMO PIERRE</v>
      </c>
      <c r="C34" s="5">
        <f>HISTOJANV25!C34+HISTOFEV25!C34+HISTOMARS25!C34+HISTOAVRIL25!C34+HISTOMAI25!C34+HISTOJUIN25!C34+HISTOJUIL25!C34+HISTOAOUT25!C34+HISTOSEPT25!C34+HISTOOCT25!C34+HISTONOV25!C34+HISTODEC25!C34</f>
        <v>-55500</v>
      </c>
      <c r="D34" s="5">
        <f>HISTOJANV25!D34+HISTOFEV25!D34+HISTOMARS25!D34+HISTOAVRIL25!D34+HISTOMAI25!D34+HISTOJUIN25!D34+HISTOJUIL25!D34+HISTOAOUT25!D34+HISTOSEPT25!D34+HISTOOCT25!D34+HISTONOV25!D34+HISTODEC25!D34</f>
        <v>1241000</v>
      </c>
      <c r="E34" s="5">
        <f>HISTOJANV25!E34+HISTOFEV25!E34+HISTOMARS25!E34+HISTOAVRIL25!E34+HISTOMAI25!E34+HISTOJUIN25!E34+HISTOJUIL25!E34+HISTOAOUT25!E34+HISTOSEPT25!E34+HISTOOCT25!E34+HISTONOV25!E34+HISTODEC25!E34</f>
        <v>500000</v>
      </c>
      <c r="F34" s="5">
        <f>HISTOJANV25!F34+HISTOFEV25!F34+HISTOMARS25!F34+HISTOAVRIL25!F34+HISTOMAI25!F34+HISTOJUIN25!F34+HISTOJUIL25!F34+HISTOAOUT25!F34+HISTOSEPT25!F34+HISTOOCT25!F34+HISTONOV25!F34+HISTODEC25!F34</f>
        <v>530500</v>
      </c>
      <c r="G34" s="5">
        <f>HISTOJANV25!G34+HISTOFEV25!G34+HISTOMARS25!G34+HISTOAVRIL25!G34+HISTOMAI25!G34+HISTOJUIN25!G34+HISTOJUIL25!G34+HISTOAOUT25!G34+HISTOSEPT25!G34+HISTOOCT25!G34+HISTONOV25!G34+HISTODEC25!G34</f>
        <v>5000</v>
      </c>
      <c r="H34" s="5">
        <f>HISTOJANV25!H34+HISTOFEV25!H34+HISTOMARS25!H34+HISTOAVRIL25!H34+HISTOMAI25!H34+HISTOJUIN25!H34+HISTOJUIL25!H34+HISTOAOUT25!H34+HISTOSEPT25!H34+HISTOOCT25!H34+HISTONOV25!H34+HISTODEC25!H34</f>
        <v>0</v>
      </c>
      <c r="I34" s="5"/>
      <c r="J34" s="5">
        <f>HISTOJANV25!J34+HISTOFEV25!J34+HISTOMARS25!J34+HISTOAVRIL25!J34+HISTOMAI25!J34+HISTOJUIN25!J34+HISTOJUIL25!J34+HISTOAOUT25!J34+HISTOSEPT25!J34+HISTOOCT25!J34+HISTONOV25!J34+HISTODEC25!J34</f>
        <v>11</v>
      </c>
      <c r="K34" s="5">
        <f>HISTOJANV25!K34+HISTOFEV25!K34+HISTOMARS25!K34+HISTOAVRIL25!K34+HISTOMAI25!K34+HISTOJUIN25!K34+HISTOJUIL25!K34+HISTOAOUT25!K34+HISTOSEPT25!K34+HISTOOCT25!K34+HISTONOV25!K34+HISTODEC25!K34</f>
        <v>400000</v>
      </c>
      <c r="L34" s="5">
        <f>HISTOJANV25!L34+HISTOFEV25!L34+HISTOMARS25!L34+HISTOAVRIL25!L34+HISTOMAI25!L34+HISTOJUIN25!L34+HISTOJUIL25!L34+HISTOAOUT25!L34+HISTOSEPT25!L34+HISTOOCT25!L34+HISTONOV25!L34+HISTODEC25!L34</f>
        <v>0</v>
      </c>
      <c r="M34" s="5">
        <f>HISTOJANV25!M34+HISTOFEV25!M34+HISTOMARS25!M34+HISTOAVRIL25!M34+HISTOMAI25!M34+HISTOJUIN25!M34+HISTOJUIL25!M34+HISTOAOUT25!M34+HISTOSEPT25!M34+HISTOOCT25!M34+HISTONOV25!M34+HISTODEC25!M34</f>
        <v>0</v>
      </c>
      <c r="N34" s="5">
        <f>HISTOJANV25!N34+HISTOFEV25!N34+HISTOMARS25!N34+HISTOAVRIL25!N34+HISTOMAI25!N34+HISTOJUIN25!N34+HISTOJUIL25!N34+HISTOAOUT25!N34+HISTOSEPT25!N34+HISTOOCT25!N34+HISTONOV25!N34+HISTODEC25!N34</f>
        <v>11</v>
      </c>
      <c r="O34" s="5">
        <f>HISTOJANV25!O34+HISTOFEV25!O34+HISTOMARS25!O34+HISTOAVRIL25!O34+HISTOMAI25!O34+HISTOJUIN25!O34+HISTOJUIL25!O34+HISTOAOUT25!O34+HISTOSEPT25!O34+HISTOOCT25!O34+HISTONOV25!O34+HISTODEC25!O34</f>
        <v>800000</v>
      </c>
      <c r="P34" s="5">
        <f>HISTOJANV25!P34+HISTOFEV25!P34+HISTOMARS25!P34+HISTOAVRIL25!P34+HISTOMAI25!P34+HISTOJUIN25!P34+HISTOJUIL25!P34+HISTOAOUT25!P34+HISTOSEPT25!P34+HISTOOCT25!P34+HISTONOV25!P34+HISTODEC25!P34</f>
        <v>183000</v>
      </c>
      <c r="Q34" s="5">
        <f>HISTOJANV25!Q34+HISTOFEV25!Q34+HISTOMARS25!Q34+HISTOAVRIL25!Q34+HISTOMAI25!Q34+HISTOJUIN25!Q34+HISTOJUIL25!Q34+HISTOAOUT25!Q34+HISTOSEPT25!Q34+HISTOOCT25!Q34+HISTONOV25!Q34+HISTODEC25!Q34</f>
        <v>0</v>
      </c>
      <c r="R34" s="5">
        <f>HISTOJANV25!R34+HISTOFEV25!R34+HISTOMARS25!R34+HISTOAVRIL25!R34+HISTOMAI25!R34+HISTOJUIN25!R34+HISTOJUIL25!R34+HISTOAOUT25!R34+HISTOSEPT25!R34+HISTOOCT25!R34+HISTONOV25!R34+HISTODEC25!R34</f>
        <v>0</v>
      </c>
      <c r="S34" s="5">
        <f>HISTOJANV25!S34+HISTOFEV25!S34+HISTOMARS25!S34+HISTOAVRIL25!S34+HISTOMAI25!S34+HISTOJUIN25!S34+HISTOJUIL25!S34+HISTOAOUT25!S34+HISTOSEPT25!S34+HISTOOCT25!S34+HISTONOV25!S34+HISTODEC25!S34</f>
        <v>1000000</v>
      </c>
      <c r="T34" s="5"/>
      <c r="U34" s="5">
        <f>HISTOJANV25!U34+HISTOFEV25!U34+HISTOMARS25!U34+HISTOAVRIL25!U34+HISTOMAI25!U34+HISTOJUIN25!U34+HISTOJUIL25!U34+HISTOAOUT25!U34+HISTOSEPT25!U34+HISTOOCT25!U34+HISTONOV25!U34+HISTODEC25!U34</f>
        <v>2388000</v>
      </c>
      <c r="V34" s="5">
        <f>HISTOJANV25!V34+HISTOFEV25!V34+HISTOMARS25!V34+HISTOAVRIL25!V34+HISTOMAI25!V34+HISTOJUIN25!V34+HISTOJUIL25!V34+HISTOAOUT25!V34+HISTOSEPT25!V34+HISTOOCT25!V34+HISTONOV25!V34+HISTODEC25!V34</f>
        <v>0</v>
      </c>
      <c r="W34" s="5">
        <f>HISTOJANV25!W34+HISTOFEV25!W34+HISTOMARS25!W34+HISTOAVRIL25!W34+HISTOMAI25!W34+HISTOJUIN25!W34+HISTOJUIL25!W34+HISTOAOUT25!W34+HISTOSEPT25!W34+HISTOOCT25!W34+HISTONOV25!W34+HISTODEC25!W34</f>
        <v>0</v>
      </c>
      <c r="X34" s="5">
        <f>HISTOJANV25!X34+HISTOFEV25!X34+HISTOMARS25!X34+HISTOAVRIL25!X34+HISTOMAI25!X34+HISTOJUIN25!X34+HISTOJUIL25!X34+HISTOAOUT25!X34+HISTOSEPT25!X34+HISTOOCT25!X34+HISTONOV25!X34+HISTODEC25!X34</f>
        <v>0</v>
      </c>
      <c r="Y34" s="5">
        <f>HISTOJANV25!Y34+HISTOFEV25!Y34+HISTOMARS25!Y34+HISTOAVRIL25!Y34+HISTOMAI25!Y34+HISTOJUIN25!Y34+HISTOJUIL25!Y34+HISTOAOUT25!Y34+HISTOSEPT25!Y34+HISTOOCT25!Y34+HISTONOV25!Y34+HISTODEC25!Y34</f>
        <v>1200000</v>
      </c>
      <c r="Z34" s="5">
        <f>HISTOJANV25!Z34+HISTOFEV25!Z34+HISTOMARS25!Z34+HISTOAVRIL25!Z34+HISTOMAI25!Z34+HISTOJUIN25!Z34+HISTOJUIL25!Z34+HISTOAOUT25!Z34+HISTOSEPT25!Z34+HISTOOCT25!Z34+HISTONOV25!Z34+HISTODEC25!Z34</f>
        <v>0</v>
      </c>
      <c r="AA34" s="5"/>
      <c r="AB34" s="5">
        <f>HISTOJANV25!AB34+HISTOFEV25!AB34+HISTOMARS25!AB34+HISTOAVRIL25!AB34+HISTOMAI25!AB34+HISTOJUIN25!AB34+HISTOJUIL25!AB34+HISTOAOUT25!AB34+HISTOSEPT25!AB34+HISTOOCT25!AB34+HISTONOV25!AB34+HISTODEC25!AB34</f>
        <v>0</v>
      </c>
      <c r="AC34" s="5">
        <f>HISTOJANV25!AC34+HISTOFEV25!AC34+HISTOMARS25!AC34+HISTOAVRIL25!AC34+HISTOMAI25!AC34+HISTOJUIN25!AC34+HISTOJUIL25!AC34+HISTOAOUT25!AC34+HISTOSEPT25!AC34+HISTOOCT25!AC34+HISTONOV25!AC34+HISTODEC25!AC34</f>
        <v>3500</v>
      </c>
      <c r="AD34" s="5">
        <f>HISTOJANV25!AD34+HISTOFEV25!AD34+HISTOMARS25!AD34+HISTOAVRIL25!AD34+HISTOMAI25!AD34+HISTOJUIN25!AD34+HISTOJUIL25!AD34+HISTOAOUT25!AD34+HISTOSEPT25!AD34+HISTOOCT25!AD34+HISTONOV25!AD34+HISTODEC25!AD34</f>
        <v>0</v>
      </c>
      <c r="AE34" s="5">
        <f>HISTOJANV25!AE34+HISTOFEV25!AE34+HISTOMARS25!AE34+HISTOAVRIL25!AE34+HISTOMAI25!AE34+HISTOJUIN25!AE34+HISTOJUIL25!AE34+HISTOAOUT25!AE34+HISTOSEPT25!AE34+HISTOOCT25!AE34+HISTONOV25!AE34+HISTODEC25!AE34</f>
        <v>70000</v>
      </c>
      <c r="AF34" s="5"/>
      <c r="AG34" s="5">
        <f>HISTOJANV25!AG34+HISTOFEV25!AG34+HISTOMARS25!AG34+HISTOAVRIL25!AG34+HISTOMAI25!AG34+HISTOJUIN25!AG34+HISTOJUIL25!AG34+HISTOAOUT25!AG34+HISTOSEPT25!AG34+HISTOOCT25!AG34+HISTONOV25!AG34+HISTODEC25!AG34</f>
        <v>0</v>
      </c>
      <c r="AH34" s="5">
        <f>HISTOJANV25!AH34+HISTOFEV25!AH34+HISTOMARS25!AH34+HISTOAVRIL25!AH34+HISTOMAI25!AH34+HISTOJUIN25!AH34+HISTOJUIL25!AH34+HISTOAOUT25!AH34+HISTOSEPT25!AH34+HISTOOCT25!AH34+HISTONOV25!AH34+HISTODEC25!AH34</f>
        <v>0</v>
      </c>
      <c r="AI34" s="5">
        <f>HISTOJANV25!AI34+HISTOFEV25!AI34+HISTOMARS25!AI34+HISTOAVRIL25!AI34+HISTOMAI25!AI34+HISTOJUIN25!AI34+HISTOJUIL25!AI34+HISTOAOUT25!AI34+HISTOSEPT25!AI34+HISTOOCT25!AI34+HISTONOV25!AI34+HISTODEC25!AI34</f>
        <v>181500</v>
      </c>
      <c r="AJ34" s="5">
        <f>HISTOJANV25!AJ34+HISTOFEV25!AJ34+HISTOMARS25!AJ34+HISTOAVRIL25!AJ34+HISTOMAI25!AJ34+HISTOJUIN25!AJ34+HISTOJUIL25!AJ34+HISTOAOUT25!AJ34+HISTOSEPT25!AJ34+HISTOOCT25!AJ34+HISTONOV25!AJ34+HISTODEC25!AJ34</f>
        <v>0</v>
      </c>
      <c r="AK34" s="5">
        <f>HISTOJANV25!AK34+HISTOFEV25!AK34+HISTOMARS25!AK34+HISTOAVRIL25!AK34+HISTOMAI25!AK34+HISTOJUIN25!AK34+HISTOJUIL25!AK34+HISTOAOUT25!AK34+HISTOSEPT25!AK34+HISTOOCT25!AK34+HISTONOV25!AK34+HISTODEC25!AK34</f>
        <v>0</v>
      </c>
      <c r="AL34" s="5">
        <f>HISTOJANV25!AL34+HISTOFEV25!AL34+HISTOMARS25!AL34+HISTOAVRIL25!AL34+HISTOMAI25!AL34+HISTOJUIN25!AL34+HISTOJUIL25!AL34+HISTOAOUT25!AL34+HISTOSEPT25!AL34+HISTOOCT25!AL34+HISTONOV25!AL34+HISTODEC25!AL34</f>
        <v>1500</v>
      </c>
      <c r="AM34" s="5">
        <f>HISTOJANV25!AM34+HISTOFEV25!AM34+HISTOMARS25!AM34+HISTOAVRIL25!AM34+HISTOMAI25!AM34+HISTOJUIN25!AM34+HISTOJUIL25!AM34+HISTOAOUT25!AM34+HISTOSEPT25!AM34+HISTOOCT25!AM34+HISTONOV25!AM34+HISTODEC25!AM34</f>
        <v>0</v>
      </c>
      <c r="AN34" s="5">
        <f>HISTOJANV25!AN34+HISTOFEV25!AN34+HISTOMARS25!AN34+HISTOAVRIL25!AN34+HISTOMAI25!AN34+HISTOJUIN25!AN34+HISTOJUIL25!AN34+HISTOAOUT25!AN34+HISTOSEPT25!AN34+HISTOOCT25!AN34+HISTONOV25!AN34+HISTODEC25!AN34</f>
        <v>0</v>
      </c>
      <c r="AO34" s="5">
        <f>HISTOJANV25!AO34+HISTOFEV25!AO34+HISTOMARS25!AO34+HISTOAVRIL25!AO34+HISTOMAI25!AO34+HISTOJUIN25!AO34+HISTOJUIL25!AO34+HISTOAOUT25!AO34+HISTOSEPT25!AO34+HISTOOCT25!AO34+HISTONOV25!AO34+HISTODEC25!AO34</f>
        <v>0</v>
      </c>
      <c r="AP34" s="5"/>
      <c r="AQ34" s="5">
        <f>HISTOJANV25!AQ34+HISTOFEV25!AQ34+HISTOMARS25!AQ34+HISTOAVRIL25!AQ34+HISTOMAI25!AQ34+HISTOJUIN25!AQ34+HISTOJUIL25!AQ34+HISTOAOUT25!AQ34+HISTOSEPT25!AQ34+HISTOOCT25!AQ34+HISTONOV25!AQ34+HISTODEC25!AQ34</f>
        <v>0</v>
      </c>
      <c r="AR34" s="5">
        <f>HISTOJANV25!AR34+HISTOFEV25!AR34+HISTOMARS25!AR34+HISTOAVRIL25!AR34+HISTOMAI25!AR34+HISTOJUIN25!AR34+HISTOJUIL25!AR34+HISTOAOUT25!AR34+HISTOSEPT25!AR34+HISTOOCT25!AR34+HISTONOV25!AR34+HISTODEC25!AR34</f>
        <v>0</v>
      </c>
      <c r="AS34" s="5">
        <f>HISTOJANV25!AS34+HISTOFEV25!AS34+HISTOMARS25!AS34+HISTOAVRIL25!AS34+HISTOMAI25!AS34+HISTOJUIN25!AS34+HISTOJUIL25!AS34+HISTOAOUT25!AS34+HISTOSEPT25!AS34+HISTOOCT25!AS34+HISTONOV25!AS34+HISTODEC25!AS34</f>
        <v>180000</v>
      </c>
      <c r="AT34" s="5">
        <f>HISTOJANV25!AT34+HISTOFEV25!AT34+HISTOMARS25!AT34+HISTOAVRIL25!AT34+HISTOMAI25!AT34+HISTOJUIN25!AT34+HISTOJUIL25!AT34+HISTOAOUT25!AT34+HISTOSEPT25!AT34+HISTOOCT25!AT34+HISTONOV25!AT34+HISTODEC25!AT34</f>
        <v>0</v>
      </c>
      <c r="AU34" s="5">
        <f>HISTOJANV25!AU34+HISTOFEV25!AU34+HISTOMARS25!AU34+HISTOAVRIL25!AU34+HISTOMAI25!AU34+HISTOJUIN25!AU34+HISTOJUIL25!AU34+HISTOAOUT25!AU34+HISTOSEPT25!AU34+HISTOOCT25!AU34+HISTONOV25!AU34+HISTODEC25!AU34</f>
        <v>0</v>
      </c>
      <c r="AV34" s="5">
        <f>HISTOJANV25!AV34+HISTOFEV25!AV34+HISTOMARS25!AV34+HISTOAVRIL25!AV34+HISTOMAI25!AV34+HISTOJUIN25!AV34+HISTOJUIL25!AV34+HISTOAOUT25!AV34+HISTOSEPT25!AV34+HISTOOCT25!AV34+HISTONOV25!AV34+HISTODEC25!AV34</f>
        <v>0</v>
      </c>
      <c r="AW34" s="5">
        <f>HISTOJANV25!AW34+HISTOFEV25!AW34+HISTOMARS25!AW34+HISTOAVRIL25!AW34+HISTOMAI25!AW34+HISTOJUIN25!AW34+HISTOJUIL25!AW34+HISTOAOUT25!AW34+HISTOSEPT25!AW34+HISTOOCT25!AW34+HISTONOV25!AW34+HISTODEC25!AW34</f>
        <v>478000</v>
      </c>
      <c r="AX34" s="5">
        <f>HISTOJANV25!AX34+HISTOFEV25!AX34+HISTOMARS25!AX34+HISTOAVRIL25!AX34+HISTOMAI25!AX34+HISTOJUIN25!AX34+HISTOJUIL25!AX34+HISTOAOUT25!AX34+HISTOSEPT25!AX34+HISTOOCT25!AX34+HISTONOV25!AX34+HISTODEC25!AX34</f>
        <v>0</v>
      </c>
      <c r="AY34" s="5">
        <f>HISTOJANV25!AY34+HISTOFEV25!AY34+HISTOMARS25!AY34+HISTOAVRIL25!AY34+HISTOMAI25!AY34+HISTOJUIN25!AY34+HISTOJUIL25!AY34+HISTOAOUT25!AY34+HISTOSEPT25!AY34+HISTOOCT25!AY34+HISTONOV25!AY34+HISTODEC25!AY34</f>
        <v>1130000</v>
      </c>
      <c r="AZ34" s="5">
        <f>HISTOJANV25!AZ34+HISTOFEV25!AZ34+HISTOMARS25!AZ34+HISTOAVRIL25!AZ34+HISTOMAI25!AZ34+HISTOJUIN25!AZ34+HISTOJUIL25!AZ34+HISTOAOUT25!AZ34+HISTOSEPT25!AZ34+HISTOOCT25!AZ34+HISTONOV25!AZ34+HISTODEC25!AZ34</f>
        <v>1708000</v>
      </c>
      <c r="BA34" s="5">
        <f>HISTOJANV25!BA34+HISTOFEV25!BA34+HISTOMARS25!BA34+HISTOAVRIL25!BA34+HISTOMAI25!BA34+HISTOJUIN25!BA34+HISTOJUIL25!BA34+HISTOAOUT25!BA34+HISTOSEPT25!BA34+HISTOOCT25!BA34+HISTONOV25!BA34+HISTODEC25!BA34</f>
        <v>30000</v>
      </c>
      <c r="BB34" s="5">
        <f>HISTOJANV25!BB34+HISTOFEV25!BB34+HISTOMARS25!BB34+HISTOAVRIL25!BB34+HISTOMAI25!BB34+HISTOJUIN25!BB34+HISTOJUIL25!BB34+HISTOAOUT25!BB34+HISTOSEPT25!BB34+HISTOOCT25!BB34+HISTONOV25!BB34+HISTODEC25!BB34</f>
        <v>0</v>
      </c>
      <c r="BC34" s="5">
        <f>HISTOJANV25!BC34+HISTOFEV25!BC34+HISTOMARS25!BC34+HISTOAVRIL25!BC34+HISTOMAI25!BC34+HISTOJUIN25!BC34+HISTOJUIL25!BC34+HISTOAOUT25!BC34+HISTOSEPT25!BC34+HISTOOCT25!BC34+HISTONOV25!BC34+HISTODEC25!BC34</f>
        <v>530500</v>
      </c>
      <c r="BD34" s="5">
        <f>HISTOJANV25!BD34+HISTOFEV25!BD34+HISTOMARS25!BD34+HISTOAVRIL25!BD34+HISTOMAI25!BD34+HISTOJUIN25!BD34+HISTOJUIL25!BD34+HISTOAOUT25!BD34+HISTOSEPT25!BD34+HISTOOCT25!BD34+HISTONOV25!BD34+HISTODEC25!BD34</f>
        <v>1147500</v>
      </c>
      <c r="BE34" s="5"/>
      <c r="BF34" s="5">
        <f>HISTOJANV25!BF34+HISTOFEV25!BF34+HISTOMARS25!BF34+HISTOAVRIL25!BF34+HISTOMAI25!BF34+HISTOJUIN25!BF34+HISTOJUIL25!BF34+HISTOAOUT25!BF34+HISTOSEPT25!BF34+HISTOOCT25!BF34+HISTONOV25!BF34+HISTODEC25!BF34</f>
        <v>0</v>
      </c>
      <c r="BG34" s="5">
        <f>HISTOJANV25!BG34+HISTOFEV25!BG34+HISTOMARS25!BG34+HISTOAVRIL25!BG34+HISTOMAI25!BG34+HISTOJUIN25!BG34+HISTOJUIL25!BG34+HISTOAOUT25!BG34+HISTOSEPT25!BG34+HISTOOCT25!BG34+HISTONOV25!BG34+HISTODEC25!BG34</f>
        <v>67</v>
      </c>
      <c r="BH34" s="5">
        <f>HISTOJANV25!BH34+HISTOFEV25!BH34+HISTOMARS25!BH34+HISTOAVRIL25!BH34+HISTOMAI25!BH34+HISTOJUIN25!BH34+HISTOJUIL25!BH34+HISTOAOUT25!BH34+HISTOSEPT25!BH34+HISTOOCT25!BH34+HISTONOV25!BH34+HISTODEC25!BH34</f>
        <v>0</v>
      </c>
      <c r="BI34" s="5">
        <f>HISTOJANV25!BI34+HISTOFEV25!BI34+HISTOMARS25!BI34+HISTOAVRIL25!BI34+HISTOMAI25!BI34+HISTOJUIN25!BI34+HISTOJUIL25!BI34+HISTOAOUT25!BI34+HISTOSEPT25!BI34+HISTOOCT25!BI34+HISTONOV25!BI34+HISTODEC25!BI34</f>
        <v>0</v>
      </c>
      <c r="BJ34" s="5">
        <f>HISTOJANV25!BJ34+HISTOFEV25!BJ34+HISTOMARS25!BJ34+HISTOAVRIL25!BJ34+HISTOMAI25!BJ34+HISTOJUIN25!BJ34+HISTOJUIL25!BJ34+HISTOAOUT25!BJ34+HISTOSEPT25!BJ34+HISTOOCT25!BJ34+HISTONOV25!BJ34+HISTODEC25!BJ34</f>
        <v>0</v>
      </c>
      <c r="BK34" s="5">
        <f>HISTOJANV25!BK34+HISTOFEV25!BK34+HISTOMARS25!BK34+HISTOAVRIL25!BK34+HISTOMAI25!BK34+HISTOJUIN25!BK34+HISTOJUIL25!BK34+HISTOAOUT25!BK34+HISTOSEPT25!BK34+HISTOOCT25!BK34+HISTONOV25!BK34+HISTODEC25!BK34</f>
        <v>0</v>
      </c>
      <c r="BL34" s="5">
        <f>HISTOJANV25!BL34+HISTOFEV25!BL34+HISTOMARS25!BL34+HISTOAVRIL25!BL34+HISTOMAI25!BL34+HISTOJUIN25!BL34+HISTOJUIL25!BL34+HISTOAOUT25!BL34+HISTOSEPT25!BL34+HISTOOCT25!BL34+HISTONOV25!BL34+HISTODEC25!BL34</f>
        <v>0</v>
      </c>
      <c r="BM34" s="5">
        <f>HISTOJANV25!BM34+HISTOFEV25!BM34+HISTOMARS25!BM34+HISTOAVRIL25!BM34+HISTOMAI25!BM34+HISTOJUIN25!BM34+HISTOJUIL25!BM34+HISTOAOUT25!BM34+HISTOSEPT25!BM34+HISTOOCT25!BM34+HISTONOV25!BM34+HISTODEC25!BM34</f>
        <v>0</v>
      </c>
      <c r="BN34" s="5">
        <f>HISTOJANV25!BN34+HISTOFEV25!BN34+HISTOMARS25!BN34+HISTOAVRIL25!BN34+HISTOMAI25!BN34+HISTOJUIN25!BN34+HISTOJUIL25!BN34+HISTOAOUT25!BN34+HISTOSEPT25!BN34+HISTOOCT25!BN34+HISTONOV25!BN34+HISTODEC25!BN34</f>
        <v>0</v>
      </c>
      <c r="BQ34" s="6"/>
    </row>
    <row r="35" spans="1:69" ht="17.5" x14ac:dyDescent="0.35">
      <c r="A35" s="1" t="s">
        <v>38</v>
      </c>
      <c r="B35" s="1" t="str">
        <f>VLOOKUP(A35,[5]LISTADHERENT!A$5:H$50,3,0)</f>
        <v>TCHOUAMOU MATHIEU</v>
      </c>
      <c r="C35" s="5">
        <f>HISTOJANV25!C35+HISTOFEV25!C35+HISTOMARS25!C35+HISTOAVRIL25!C35+HISTOMAI25!C35+HISTOJUIN25!C35+HISTOJUIL25!C35+HISTOAOUT25!C35+HISTOSEPT25!C35+HISTOOCT25!C35+HISTONOV25!C35+HISTODEC25!C35</f>
        <v>-153000</v>
      </c>
      <c r="D35" s="5">
        <f>HISTOJANV25!D35+HISTOFEV25!D35+HISTOMARS25!D35+HISTOAVRIL25!D35+HISTOMAI25!D35+HISTOJUIN25!D35+HISTOJUIL25!D35+HISTOAOUT25!D35+HISTOSEPT25!D35+HISTOOCT25!D35+HISTONOV25!D35+HISTODEC25!D35</f>
        <v>2058000</v>
      </c>
      <c r="E35" s="5">
        <f>HISTOJANV25!E35+HISTOFEV25!E35+HISTOMARS25!E35+HISTOAVRIL25!E35+HISTOMAI25!E35+HISTOJUIN25!E35+HISTOJUIL25!E35+HISTOAOUT25!E35+HISTOSEPT25!E35+HISTOOCT25!E35+HISTONOV25!E35+HISTODEC25!E35</f>
        <v>1304500</v>
      </c>
      <c r="F35" s="5">
        <f>HISTOJANV25!F35+HISTOFEV25!F35+HISTOMARS25!F35+HISTOAVRIL25!F35+HISTOMAI25!F35+HISTOJUIN25!F35+HISTOJUIL25!F35+HISTOAOUT25!F35+HISTOSEPT25!F35+HISTOOCT25!F35+HISTONOV25!F35+HISTODEC25!F35</f>
        <v>0</v>
      </c>
      <c r="G35" s="5">
        <f>HISTOJANV25!G35+HISTOFEV25!G35+HISTOMARS25!G35+HISTOAVRIL25!G35+HISTOMAI25!G35+HISTOJUIN25!G35+HISTOJUIL25!G35+HISTOAOUT25!G35+HISTOSEPT25!G35+HISTOOCT25!G35+HISTONOV25!G35+HISTODEC25!G35</f>
        <v>0</v>
      </c>
      <c r="H35" s="5">
        <f>HISTOJANV25!H35+HISTOFEV25!H35+HISTOMARS25!H35+HISTOAVRIL25!H35+HISTOMAI25!H35+HISTOJUIN25!H35+HISTOJUIL25!H35+HISTOAOUT25!H35+HISTOSEPT25!H35+HISTOOCT25!H35+HISTONOV25!H35+HISTODEC25!H35</f>
        <v>0</v>
      </c>
      <c r="I35" s="5"/>
      <c r="J35" s="5">
        <f>HISTOJANV25!J35+HISTOFEV25!J35+HISTOMARS25!J35+HISTOAVRIL25!J35+HISTOMAI25!J35+HISTOJUIN25!J35+HISTOJUIL25!J35+HISTOAOUT25!J35+HISTOSEPT25!J35+HISTOOCT25!J35+HISTONOV25!J35+HISTODEC25!J35</f>
        <v>12</v>
      </c>
      <c r="K35" s="5">
        <f>HISTOJANV25!K35+HISTOFEV25!K35+HISTOMARS25!K35+HISTOAVRIL25!K35+HISTOMAI25!K35+HISTOJUIN25!K35+HISTOJUIL25!K35+HISTOAOUT25!K35+HISTOSEPT25!K35+HISTOOCT25!K35+HISTONOV25!K35+HISTODEC25!K35</f>
        <v>600000</v>
      </c>
      <c r="L35" s="5">
        <f>HISTOJANV25!L35+HISTOFEV25!L35+HISTOMARS25!L35+HISTOAVRIL25!L35+HISTOMAI25!L35+HISTOJUIN25!L35+HISTOJUIL25!L35+HISTOAOUT25!L35+HISTOSEPT25!L35+HISTOOCT25!L35+HISTONOV25!L35+HISTODEC25!L35</f>
        <v>12</v>
      </c>
      <c r="M35" s="5">
        <f>HISTOJANV25!M35+HISTOFEV25!M35+HISTOMARS25!M35+HISTOAVRIL25!M35+HISTOMAI25!M35+HISTOJUIN25!M35+HISTOJUIL25!M35+HISTOAOUT25!M35+HISTOSEPT25!M35+HISTOOCT25!M35+HISTONOV25!M35+HISTODEC25!M35</f>
        <v>900000</v>
      </c>
      <c r="N35" s="5">
        <f>HISTOJANV25!N35+HISTOFEV25!N35+HISTOMARS25!N35+HISTOAVRIL25!N35+HISTOMAI25!N35+HISTOJUIN25!N35+HISTOJUIL25!N35+HISTOAOUT25!N35+HISTOSEPT25!N35+HISTOOCT25!N35+HISTONOV25!N35+HISTODEC25!N35</f>
        <v>0</v>
      </c>
      <c r="O35" s="5">
        <f>HISTOJANV25!O35+HISTOFEV25!O35+HISTOMARS25!O35+HISTOAVRIL25!O35+HISTOMAI25!O35+HISTOJUIN25!O35+HISTOJUIL25!O35+HISTOAOUT25!O35+HISTOSEPT25!O35+HISTOOCT25!O35+HISTONOV25!O35+HISTODEC25!O35</f>
        <v>0</v>
      </c>
      <c r="P35" s="5">
        <f>HISTOJANV25!P35+HISTOFEV25!P35+HISTOMARS25!P35+HISTOAVRIL25!P35+HISTOMAI25!P35+HISTOJUIN25!P35+HISTOJUIL25!P35+HISTOAOUT25!P35+HISTOSEPT25!P35+HISTOOCT25!P35+HISTONOV25!P35+HISTODEC25!P35</f>
        <v>51000</v>
      </c>
      <c r="Q35" s="5">
        <f>HISTOJANV25!Q35+HISTOFEV25!Q35+HISTOMARS25!Q35+HISTOAVRIL25!Q35+HISTOMAI25!Q35+HISTOJUIN25!Q35+HISTOJUIL25!Q35+HISTOAOUT25!Q35+HISTOSEPT25!Q35+HISTOOCT25!Q35+HISTONOV25!Q35+HISTODEC25!Q35</f>
        <v>964500</v>
      </c>
      <c r="R35" s="5">
        <f>HISTOJANV25!R35+HISTOFEV25!R35+HISTOMARS25!R35+HISTOAVRIL25!R35+HISTOMAI25!R35+HISTOJUIN25!R35+HISTOJUIL25!R35+HISTOAOUT25!R35+HISTOSEPT25!R35+HISTOOCT25!R35+HISTONOV25!R35+HISTODEC25!R35</f>
        <v>0</v>
      </c>
      <c r="S35" s="5">
        <f>HISTOJANV25!S35+HISTOFEV25!S35+HISTOMARS25!S35+HISTOAVRIL25!S35+HISTOMAI25!S35+HISTOJUIN25!S35+HISTOJUIL25!S35+HISTOAOUT25!S35+HISTOSEPT25!S35+HISTOOCT25!S35+HISTONOV25!S35+HISTODEC25!S35</f>
        <v>1000000</v>
      </c>
      <c r="T35" s="5"/>
      <c r="U35" s="5">
        <f>HISTOJANV25!U35+HISTOFEV25!U35+HISTOMARS25!U35+HISTOAVRIL25!U35+HISTOMAI25!U35+HISTOJUIN25!U35+HISTOJUIL25!U35+HISTOAOUT25!U35+HISTOSEPT25!U35+HISTOOCT25!U35+HISTONOV25!U35+HISTODEC25!U35</f>
        <v>3515500</v>
      </c>
      <c r="V35" s="5">
        <f>HISTOJANV25!V35+HISTOFEV25!V35+HISTOMARS25!V35+HISTOAVRIL25!V35+HISTOMAI25!V35+HISTOJUIN25!V35+HISTOJUIL25!V35+HISTOAOUT25!V35+HISTOSEPT25!V35+HISTOOCT25!V35+HISTONOV25!V35+HISTODEC25!V35</f>
        <v>0</v>
      </c>
      <c r="W35" s="5">
        <f>HISTOJANV25!W35+HISTOFEV25!W35+HISTOMARS25!W35+HISTOAVRIL25!W35+HISTOMAI25!W35+HISTOJUIN25!W35+HISTOJUIL25!W35+HISTOAOUT25!W35+HISTOSEPT25!W35+HISTOOCT25!W35+HISTONOV25!W35+HISTODEC25!W35</f>
        <v>0</v>
      </c>
      <c r="X35" s="5">
        <f>HISTOJANV25!X35+HISTOFEV25!X35+HISTOMARS25!X35+HISTOAVRIL25!X35+HISTOMAI25!X35+HISTOJUIN25!X35+HISTOJUIL25!X35+HISTOAOUT25!X35+HISTOSEPT25!X35+HISTOOCT25!X35+HISTONOV25!X35+HISTODEC25!X35</f>
        <v>0</v>
      </c>
      <c r="Y35" s="5">
        <f>HISTOJANV25!Y35+HISTOFEV25!Y35+HISTOMARS25!Y35+HISTOAVRIL25!Y35+HISTOMAI25!Y35+HISTOJUIN25!Y35+HISTOJUIL25!Y35+HISTOAOUT25!Y35+HISTOSEPT25!Y35+HISTOOCT25!Y35+HISTONOV25!Y35+HISTODEC25!Y35</f>
        <v>1500000</v>
      </c>
      <c r="Z35" s="5">
        <f>HISTOJANV25!Z35+HISTOFEV25!Z35+HISTOMARS25!Z35+HISTOAVRIL25!Z35+HISTOMAI25!Z35+HISTOJUIN25!Z35+HISTOJUIL25!Z35+HISTOAOUT25!Z35+HISTOSEPT25!Z35+HISTOOCT25!Z35+HISTONOV25!Z35+HISTODEC25!Z35</f>
        <v>1000000</v>
      </c>
      <c r="AA35" s="5"/>
      <c r="AB35" s="5">
        <f>HISTOJANV25!AB35+HISTOFEV25!AB35+HISTOMARS25!AB35+HISTOAVRIL25!AB35+HISTOMAI25!AB35+HISTOJUIN25!AB35+HISTOJUIL25!AB35+HISTOAOUT25!AB35+HISTOSEPT25!AB35+HISTOOCT25!AB35+HISTONOV25!AB35+HISTODEC25!AB35</f>
        <v>0</v>
      </c>
      <c r="AC35" s="5">
        <f>HISTOJANV25!AC35+HISTOFEV25!AC35+HISTOMARS25!AC35+HISTOAVRIL25!AC35+HISTOMAI25!AC35+HISTOJUIN25!AC35+HISTOJUIL25!AC35+HISTOAOUT25!AC35+HISTOSEPT25!AC35+HISTOOCT25!AC35+HISTONOV25!AC35+HISTODEC25!AC35</f>
        <v>2500</v>
      </c>
      <c r="AD35" s="5">
        <f>HISTOJANV25!AD35+HISTOFEV25!AD35+HISTOMARS25!AD35+HISTOAVRIL25!AD35+HISTOMAI25!AD35+HISTOJUIN25!AD35+HISTOJUIL25!AD35+HISTOAOUT25!AD35+HISTOSEPT25!AD35+HISTOOCT25!AD35+HISTONOV25!AD35+HISTODEC25!AD35</f>
        <v>7500</v>
      </c>
      <c r="AE35" s="5">
        <f>HISTOJANV25!AE35+HISTOFEV25!AE35+HISTOMARS25!AE35+HISTOAVRIL25!AE35+HISTOMAI25!AE35+HISTOJUIN25!AE35+HISTOJUIL25!AE35+HISTOAOUT25!AE35+HISTOSEPT25!AE35+HISTOOCT25!AE35+HISTONOV25!AE35+HISTODEC25!AE35</f>
        <v>0</v>
      </c>
      <c r="AF35" s="5"/>
      <c r="AG35" s="5">
        <f>HISTOJANV25!AG35+HISTOFEV25!AG35+HISTOMARS25!AG35+HISTOAVRIL25!AG35+HISTOMAI25!AG35+HISTOJUIN25!AG35+HISTOJUIL25!AG35+HISTOAOUT25!AG35+HISTOSEPT25!AG35+HISTOOCT25!AG35+HISTONOV25!AG35+HISTODEC25!AG35</f>
        <v>0</v>
      </c>
      <c r="AH35" s="5">
        <f>HISTOJANV25!AH35+HISTOFEV25!AH35+HISTOMARS25!AH35+HISTOAVRIL25!AH35+HISTOMAI25!AH35+HISTOJUIN25!AH35+HISTOJUIL25!AH35+HISTOAOUT25!AH35+HISTOSEPT25!AH35+HISTOOCT25!AH35+HISTONOV25!AH35+HISTODEC25!AH35</f>
        <v>0</v>
      </c>
      <c r="AI35" s="5">
        <f>HISTOJANV25!AI35+HISTOFEV25!AI35+HISTOMARS25!AI35+HISTOAVRIL25!AI35+HISTOMAI25!AI35+HISTOJUIN25!AI35+HISTOJUIL25!AI35+HISTOAOUT25!AI35+HISTOSEPT25!AI35+HISTOOCT25!AI35+HISTONOV25!AI35+HISTODEC25!AI35</f>
        <v>50000</v>
      </c>
      <c r="AJ35" s="5">
        <f>HISTOJANV25!AJ35+HISTOFEV25!AJ35+HISTOMARS25!AJ35+HISTOAVRIL25!AJ35+HISTOMAI25!AJ35+HISTOJUIN25!AJ35+HISTOJUIL25!AJ35+HISTOAOUT25!AJ35+HISTOSEPT25!AJ35+HISTOOCT25!AJ35+HISTONOV25!AJ35+HISTODEC25!AJ35</f>
        <v>950000</v>
      </c>
      <c r="AK35" s="5">
        <f>HISTOJANV25!AK35+HISTOFEV25!AK35+HISTOMARS25!AK35+HISTOAVRIL25!AK35+HISTOMAI25!AK35+HISTOJUIN25!AK35+HISTOJUIL25!AK35+HISTOAOUT25!AK35+HISTOSEPT25!AK35+HISTOOCT25!AK35+HISTONOV25!AK35+HISTODEC25!AK35</f>
        <v>0</v>
      </c>
      <c r="AL35" s="5">
        <f>HISTOJANV25!AL35+HISTOFEV25!AL35+HISTOMARS25!AL35+HISTOAVRIL25!AL35+HISTOMAI25!AL35+HISTOJUIN25!AL35+HISTOJUIL25!AL35+HISTOAOUT25!AL35+HISTOSEPT25!AL35+HISTOOCT25!AL35+HISTONOV25!AL35+HISTODEC25!AL35</f>
        <v>1000</v>
      </c>
      <c r="AM35" s="5">
        <f>HISTOJANV25!AM35+HISTOFEV25!AM35+HISTOMARS25!AM35+HISTOAVRIL25!AM35+HISTOMAI25!AM35+HISTOJUIN25!AM35+HISTOJUIL25!AM35+HISTOAOUT25!AM35+HISTOSEPT25!AM35+HISTOOCT25!AM35+HISTONOV25!AM35+HISTODEC25!AM35</f>
        <v>14500</v>
      </c>
      <c r="AN35" s="5">
        <f>HISTOJANV25!AN35+HISTOFEV25!AN35+HISTOMARS25!AN35+HISTOAVRIL25!AN35+HISTOMAI25!AN35+HISTOJUIN25!AN35+HISTOJUIL25!AN35+HISTOAOUT25!AN35+HISTOSEPT25!AN35+HISTOOCT25!AN35+HISTONOV25!AN35+HISTODEC25!AN35</f>
        <v>0</v>
      </c>
      <c r="AO35" s="5">
        <f>HISTOJANV25!AO35+HISTOFEV25!AO35+HISTOMARS25!AO35+HISTOAVRIL25!AO35+HISTOMAI25!AO35+HISTOJUIN25!AO35+HISTOJUIL25!AO35+HISTOAOUT25!AO35+HISTOSEPT25!AO35+HISTOOCT25!AO35+HISTONOV25!AO35+HISTODEC25!AO35</f>
        <v>0</v>
      </c>
      <c r="AP35" s="5"/>
      <c r="AQ35" s="5">
        <f>HISTOJANV25!AQ35+HISTOFEV25!AQ35+HISTOMARS25!AQ35+HISTOAVRIL25!AQ35+HISTOMAI25!AQ35+HISTOJUIN25!AQ35+HISTOJUIL25!AQ35+HISTOAOUT25!AQ35+HISTOSEPT25!AQ35+HISTOOCT25!AQ35+HISTONOV25!AQ35+HISTODEC25!AQ35</f>
        <v>0</v>
      </c>
      <c r="AR35" s="5">
        <f>HISTOJANV25!AR35+HISTOFEV25!AR35+HISTOMARS25!AR35+HISTOAVRIL25!AR35+HISTOMAI25!AR35+HISTOJUIN25!AR35+HISTOJUIL25!AR35+HISTOAOUT25!AR35+HISTOSEPT25!AR35+HISTOOCT25!AR35+HISTONOV25!AR35+HISTODEC25!AR35</f>
        <v>0</v>
      </c>
      <c r="AS35" s="5">
        <f>HISTOJANV25!AS35+HISTOFEV25!AS35+HISTOMARS25!AS35+HISTOAVRIL25!AS35+HISTOMAI25!AS35+HISTOJUIN25!AS35+HISTOJUIL25!AS35+HISTOAOUT25!AS35+HISTOSEPT25!AS35+HISTOOCT25!AS35+HISTONOV25!AS35+HISTODEC25!AS35</f>
        <v>300000</v>
      </c>
      <c r="AT35" s="5">
        <f>HISTOJANV25!AT35+HISTOFEV25!AT35+HISTOMARS25!AT35+HISTOAVRIL25!AT35+HISTOMAI25!AT35+HISTOJUIN25!AT35+HISTOJUIL25!AT35+HISTOAOUT25!AT35+HISTOSEPT25!AT35+HISTOOCT25!AT35+HISTONOV25!AT35+HISTODEC25!AT35</f>
        <v>0</v>
      </c>
      <c r="AU35" s="5">
        <f>HISTOJANV25!AU35+HISTOFEV25!AU35+HISTOMARS25!AU35+HISTOAVRIL25!AU35+HISTOMAI25!AU35+HISTOJUIN25!AU35+HISTOJUIL25!AU35+HISTOAOUT25!AU35+HISTOSEPT25!AU35+HISTOOCT25!AU35+HISTONOV25!AU35+HISTODEC25!AU35</f>
        <v>0</v>
      </c>
      <c r="AV35" s="5">
        <f>HISTOJANV25!AV35+HISTOFEV25!AV35+HISTOMARS25!AV35+HISTOAVRIL25!AV35+HISTOMAI25!AV35+HISTOJUIN25!AV35+HISTOJUIL25!AV35+HISTOAOUT25!AV35+HISTOSEPT25!AV35+HISTOOCT25!AV35+HISTONOV25!AV35+HISTODEC25!AV35</f>
        <v>0</v>
      </c>
      <c r="AW35" s="5">
        <f>HISTOJANV25!AW35+HISTOFEV25!AW35+HISTOMARS25!AW35+HISTOAVRIL25!AW35+HISTOMAI25!AW35+HISTOJUIN25!AW35+HISTOJUIL25!AW35+HISTOAOUT25!AW35+HISTOSEPT25!AW35+HISTOOCT25!AW35+HISTONOV25!AW35+HISTODEC25!AW35</f>
        <v>347500</v>
      </c>
      <c r="AX35" s="5">
        <f>HISTOJANV25!AX35+HISTOFEV25!AX35+HISTOMARS25!AX35+HISTOAVRIL25!AX35+HISTOMAI25!AX35+HISTOJUIN25!AX35+HISTOJUIL25!AX35+HISTOAOUT25!AX35+HISTOSEPT25!AX35+HISTOOCT25!AX35+HISTONOV25!AX35+HISTODEC25!AX35</f>
        <v>1842500</v>
      </c>
      <c r="AY35" s="5">
        <f>HISTOJANV25!AY35+HISTOFEV25!AY35+HISTOMARS25!AY35+HISTOAVRIL25!AY35+HISTOMAI25!AY35+HISTOJUIN25!AY35+HISTOJUIL25!AY35+HISTOAOUT25!AY35+HISTOSEPT25!AY35+HISTOOCT25!AY35+HISTONOV25!AY35+HISTODEC25!AY35</f>
        <v>0</v>
      </c>
      <c r="AZ35" s="5">
        <f>HISTOJANV25!AZ35+HISTOFEV25!AZ35+HISTOMARS25!AZ35+HISTOAVRIL25!AZ35+HISTOMAI25!AZ35+HISTOJUIN25!AZ35+HISTOJUIL25!AZ35+HISTOAOUT25!AZ35+HISTOSEPT25!AZ35+HISTOOCT25!AZ35+HISTONOV25!AZ35+HISTODEC25!AZ35</f>
        <v>3130000</v>
      </c>
      <c r="BA35" s="5">
        <f>HISTOJANV25!BA35+HISTOFEV25!BA35+HISTOMARS25!BA35+HISTOAVRIL25!BA35+HISTOMAI25!BA35+HISTOJUIN25!BA35+HISTOJUIL25!BA35+HISTOAOUT25!BA35+HISTOSEPT25!BA35+HISTOOCT25!BA35+HISTONOV25!BA35+HISTODEC25!BA35</f>
        <v>1463500</v>
      </c>
      <c r="BB35" s="5">
        <f>HISTOJANV25!BB35+HISTOFEV25!BB35+HISTOMARS25!BB35+HISTOAVRIL25!BB35+HISTOMAI25!BB35+HISTOJUIN25!BB35+HISTOJUIL25!BB35+HISTOAOUT25!BB35+HISTOSEPT25!BB35+HISTOOCT25!BB35+HISTONOV25!BB35+HISTODEC25!BB35</f>
        <v>0</v>
      </c>
      <c r="BC35" s="5">
        <f>HISTOJANV25!BC35+HISTOFEV25!BC35+HISTOMARS25!BC35+HISTOAVRIL25!BC35+HISTOMAI25!BC35+HISTOJUIN25!BC35+HISTOJUIL25!BC35+HISTOAOUT25!BC35+HISTOSEPT25!BC35+HISTOOCT25!BC35+HISTONOV25!BC35+HISTODEC25!BC35</f>
        <v>0</v>
      </c>
      <c r="BD35" s="5">
        <f>HISTOJANV25!BD35+HISTOFEV25!BD35+HISTOMARS25!BD35+HISTOAVRIL25!BD35+HISTOMAI25!BD35+HISTOJUIN25!BD35+HISTOJUIL25!BD35+HISTOAOUT25!BD35+HISTOSEPT25!BD35+HISTOOCT25!BD35+HISTONOV25!BD35+HISTODEC25!BD35</f>
        <v>1466500</v>
      </c>
      <c r="BE35" s="5"/>
      <c r="BF35" s="5">
        <f>HISTOJANV25!BF35+HISTOFEV25!BF35+HISTOMARS25!BF35+HISTOAVRIL25!BF35+HISTOMAI25!BF35+HISTOJUIN25!BF35+HISTOJUIL25!BF35+HISTOAOUT25!BF35+HISTOSEPT25!BF35+HISTOOCT25!BF35+HISTONOV25!BF35+HISTODEC25!BF35</f>
        <v>60000</v>
      </c>
      <c r="BG35" s="5">
        <f>HISTOJANV25!BG35+HISTOFEV25!BG35+HISTOMARS25!BG35+HISTOAVRIL25!BG35+HISTOMAI25!BG35+HISTOJUIN25!BG35+HISTOJUIL25!BG35+HISTOAOUT25!BG35+HISTOSEPT25!BG35+HISTOOCT25!BG35+HISTONOV25!BG35+HISTODEC25!BG35</f>
        <v>72</v>
      </c>
      <c r="BH35" s="5">
        <f>HISTOJANV25!BH35+HISTOFEV25!BH35+HISTOMARS25!BH35+HISTOAVRIL25!BH35+HISTOMAI25!BH35+HISTOJUIN25!BH35+HISTOJUIL25!BH35+HISTOAOUT25!BH35+HISTOSEPT25!BH35+HISTOOCT25!BH35+HISTONOV25!BH35+HISTODEC25!BH35</f>
        <v>0</v>
      </c>
      <c r="BI35" s="5">
        <f>HISTOJANV25!BI35+HISTOFEV25!BI35+HISTOMARS25!BI35+HISTOAVRIL25!BI35+HISTOMAI25!BI35+HISTOJUIN25!BI35+HISTOJUIL25!BI35+HISTOAOUT25!BI35+HISTOSEPT25!BI35+HISTOOCT25!BI35+HISTONOV25!BI35+HISTODEC25!BI35</f>
        <v>0</v>
      </c>
      <c r="BJ35" s="5">
        <f>HISTOJANV25!BJ35+HISTOFEV25!BJ35+HISTOMARS25!BJ35+HISTOAVRIL25!BJ35+HISTOMAI25!BJ35+HISTOJUIN25!BJ35+HISTOJUIL25!BJ35+HISTOAOUT25!BJ35+HISTOSEPT25!BJ35+HISTOOCT25!BJ35+HISTONOV25!BJ35+HISTODEC25!BJ35</f>
        <v>0</v>
      </c>
      <c r="BK35" s="5">
        <f>HISTOJANV25!BK35+HISTOFEV25!BK35+HISTOMARS25!BK35+HISTOAVRIL25!BK35+HISTOMAI25!BK35+HISTOJUIN25!BK35+HISTOJUIL25!BK35+HISTOAOUT25!BK35+HISTOSEPT25!BK35+HISTOOCT25!BK35+HISTONOV25!BK35+HISTODEC25!BK35</f>
        <v>0</v>
      </c>
      <c r="BL35" s="5">
        <f>HISTOJANV25!BL35+HISTOFEV25!BL35+HISTOMARS25!BL35+HISTOAVRIL25!BL35+HISTOMAI25!BL35+HISTOJUIN25!BL35+HISTOJUIL25!BL35+HISTOAOUT25!BL35+HISTOSEPT25!BL35+HISTOOCT25!BL35+HISTONOV25!BL35+HISTODEC25!BL35</f>
        <v>0</v>
      </c>
      <c r="BM35" s="5">
        <f>HISTOJANV25!BM35+HISTOFEV25!BM35+HISTOMARS25!BM35+HISTOAVRIL25!BM35+HISTOMAI25!BM35+HISTOJUIN25!BM35+HISTOJUIL25!BM35+HISTOAOUT25!BM35+HISTOSEPT25!BM35+HISTOOCT25!BM35+HISTONOV25!BM35+HISTODEC25!BM35</f>
        <v>0</v>
      </c>
      <c r="BN35" s="5">
        <f>HISTOJANV25!BN35+HISTOFEV25!BN35+HISTOMARS25!BN35+HISTOAVRIL25!BN35+HISTOMAI25!BN35+HISTOJUIN25!BN35+HISTOJUIL25!BN35+HISTOAOUT25!BN35+HISTOSEPT25!BN35+HISTOOCT25!BN35+HISTONOV25!BN35+HISTODEC25!BN35</f>
        <v>0</v>
      </c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>HISTOJANV25!C36+HISTOFEV25!C36+HISTOMARS25!C36+HISTOAVRIL25!C36+HISTOMAI25!C36+HISTOJUIN25!C36+HISTOJUIL25!C36+HISTOAOUT25!C36+HISTOSEPT25!C36+HISTOOCT25!C36+HISTONOV25!C36+HISTODEC25!C36</f>
        <v>-99000</v>
      </c>
      <c r="D36" s="5">
        <f>HISTOJANV25!D36+HISTOFEV25!D36+HISTOMARS25!D36+HISTOAVRIL25!D36+HISTOMAI25!D36+HISTOJUIN25!D36+HISTOJUIL25!D36+HISTOAOUT25!D36+HISTOSEPT25!D36+HISTOOCT25!D36+HISTONOV25!D36+HISTODEC25!D36</f>
        <v>2800000</v>
      </c>
      <c r="E36" s="5">
        <f>HISTOJANV25!E36+HISTOFEV25!E36+HISTOMARS25!E36+HISTOAVRIL25!E36+HISTOMAI25!E36+HISTOJUIN25!E36+HISTOJUIL25!E36+HISTOAOUT25!E36+HISTOSEPT25!E36+HISTOOCT25!E36+HISTONOV25!E36+HISTODEC25!E36</f>
        <v>208000</v>
      </c>
      <c r="F36" s="5">
        <f>HISTOJANV25!F36+HISTOFEV25!F36+HISTOMARS25!F36+HISTOAVRIL25!F36+HISTOMAI25!F36+HISTOJUIN25!F36+HISTOJUIL25!F36+HISTOAOUT25!F36+HISTOSEPT25!F36+HISTOOCT25!F36+HISTONOV25!F36+HISTODEC25!F36</f>
        <v>0</v>
      </c>
      <c r="G36" s="5">
        <f>HISTOJANV25!G36+HISTOFEV25!G36+HISTOMARS25!G36+HISTOAVRIL25!G36+HISTOMAI25!G36+HISTOJUIN25!G36+HISTOJUIL25!G36+HISTOAOUT25!G36+HISTOSEPT25!G36+HISTOOCT25!G36+HISTONOV25!G36+HISTODEC25!G36</f>
        <v>0</v>
      </c>
      <c r="H36" s="5">
        <f>HISTOJANV25!H36+HISTOFEV25!H36+HISTOMARS25!H36+HISTOAVRIL25!H36+HISTOMAI25!H36+HISTOJUIN25!H36+HISTOJUIL25!H36+HISTOAOUT25!H36+HISTOSEPT25!H36+HISTOOCT25!H36+HISTONOV25!H36+HISTODEC25!H36</f>
        <v>0</v>
      </c>
      <c r="I36" s="5"/>
      <c r="J36" s="5">
        <f>HISTOJANV25!J36+HISTOFEV25!J36+HISTOMARS25!J36+HISTOAVRIL25!J36+HISTOMAI25!J36+HISTOJUIN25!J36+HISTOJUIL25!J36+HISTOAOUT25!J36+HISTOSEPT25!J36+HISTOOCT25!J36+HISTONOV25!J36+HISTODEC25!J36</f>
        <v>12</v>
      </c>
      <c r="K36" s="5">
        <f>HISTOJANV25!K36+HISTOFEV25!K36+HISTOMARS25!K36+HISTOAVRIL25!K36+HISTOMAI25!K36+HISTOJUIN25!K36+HISTOJUIL25!K36+HISTOAOUT25!K36+HISTOSEPT25!K36+HISTOOCT25!K36+HISTONOV25!K36+HISTODEC25!K36</f>
        <v>600000</v>
      </c>
      <c r="L36" s="5">
        <f>HISTOJANV25!L36+HISTOFEV25!L36+HISTOMARS25!L36+HISTOAVRIL25!L36+HISTOMAI25!L36+HISTOJUIN25!L36+HISTOJUIL25!L36+HISTOAOUT25!L36+HISTOSEPT25!L36+HISTOOCT25!L36+HISTONOV25!L36+HISTODEC25!L36</f>
        <v>0</v>
      </c>
      <c r="M36" s="5">
        <f>HISTOJANV25!M36+HISTOFEV25!M36+HISTOMARS25!M36+HISTOAVRIL25!M36+HISTOMAI25!M36+HISTOJUIN25!M36+HISTOJUIL25!M36+HISTOAOUT25!M36+HISTOSEPT25!M36+HISTOOCT25!M36+HISTONOV25!M36+HISTODEC25!M36</f>
        <v>0</v>
      </c>
      <c r="N36" s="5">
        <f>HISTOJANV25!N36+HISTOFEV25!N36+HISTOMARS25!N36+HISTOAVRIL25!N36+HISTOMAI25!N36+HISTOJUIN25!N36+HISTOJUIL25!N36+HISTOAOUT25!N36+HISTOSEPT25!N36+HISTOOCT25!N36+HISTONOV25!N36+HISTODEC25!N36</f>
        <v>12</v>
      </c>
      <c r="O36" s="5">
        <f>HISTOJANV25!O36+HISTOFEV25!O36+HISTOMARS25!O36+HISTOAVRIL25!O36+HISTOMAI25!O36+HISTOJUIN25!O36+HISTOJUIL25!O36+HISTOAOUT25!O36+HISTOSEPT25!O36+HISTOOCT25!O36+HISTONOV25!O36+HISTODEC25!O36</f>
        <v>1200000</v>
      </c>
      <c r="P36" s="5">
        <f>HISTOJANV25!P36+HISTOFEV25!P36+HISTOMARS25!P36+HISTOAVRIL25!P36+HISTOMAI25!P36+HISTOJUIN25!P36+HISTOJUIL25!P36+HISTOAOUT25!P36+HISTOSEPT25!P36+HISTOOCT25!P36+HISTONOV25!P36+HISTODEC25!P36</f>
        <v>0</v>
      </c>
      <c r="Q36" s="5">
        <f>HISTOJANV25!Q36+HISTOFEV25!Q36+HISTOMARS25!Q36+HISTOAVRIL25!Q36+HISTOMAI25!Q36+HISTOJUIN25!Q36+HISTOJUIL25!Q36+HISTOAOUT25!Q36+HISTOSEPT25!Q36+HISTOOCT25!Q36+HISTONOV25!Q36+HISTODEC25!Q36</f>
        <v>0</v>
      </c>
      <c r="R36" s="5">
        <f>HISTOJANV25!R36+HISTOFEV25!R36+HISTOMARS25!R36+HISTOAVRIL25!R36+HISTOMAI25!R36+HISTOJUIN25!R36+HISTOJUIL25!R36+HISTOAOUT25!R36+HISTOSEPT25!R36+HISTOOCT25!R36+HISTONOV25!R36+HISTODEC25!R36</f>
        <v>307000</v>
      </c>
      <c r="S36" s="5">
        <f>HISTOJANV25!S36+HISTOFEV25!S36+HISTOMARS25!S36+HISTOAVRIL25!S36+HISTOMAI25!S36+HISTOJUIN25!S36+HISTOJUIL25!S36+HISTOAOUT25!S36+HISTOSEPT25!S36+HISTOOCT25!S36+HISTONOV25!S36+HISTODEC25!S36</f>
        <v>1000000</v>
      </c>
      <c r="T36" s="5"/>
      <c r="U36" s="5">
        <f>HISTOJANV25!U36+HISTOFEV25!U36+HISTOMARS25!U36+HISTOAVRIL25!U36+HISTOMAI25!U36+HISTOJUIN25!U36+HISTOJUIL25!U36+HISTOAOUT25!U36+HISTOSEPT25!U36+HISTOOCT25!U36+HISTONOV25!U36+HISTODEC25!U36</f>
        <v>3107000</v>
      </c>
      <c r="V36" s="5">
        <f>HISTOJANV25!V36+HISTOFEV25!V36+HISTOMARS25!V36+HISTOAVRIL25!V36+HISTOMAI25!V36+HISTOJUIN25!V36+HISTOJUIL25!V36+HISTOAOUT25!V36+HISTOSEPT25!V36+HISTOOCT25!V36+HISTONOV25!V36+HISTODEC25!V36</f>
        <v>0</v>
      </c>
      <c r="W36" s="5">
        <f>HISTOJANV25!W36+HISTOFEV25!W36+HISTOMARS25!W36+HISTOAVRIL25!W36+HISTOMAI25!W36+HISTOJUIN25!W36+HISTOJUIL25!W36+HISTOAOUT25!W36+HISTOSEPT25!W36+HISTOOCT25!W36+HISTONOV25!W36+HISTODEC25!W36</f>
        <v>0</v>
      </c>
      <c r="X36" s="5">
        <f>HISTOJANV25!X36+HISTOFEV25!X36+HISTOMARS25!X36+HISTOAVRIL25!X36+HISTOMAI25!X36+HISTOJUIN25!X36+HISTOJUIL25!X36+HISTOAOUT25!X36+HISTOSEPT25!X36+HISTOOCT25!X36+HISTONOV25!X36+HISTODEC25!X36</f>
        <v>0</v>
      </c>
      <c r="Y36" s="5">
        <f>HISTOJANV25!Y36+HISTOFEV25!Y36+HISTOMARS25!Y36+HISTOAVRIL25!Y36+HISTOMAI25!Y36+HISTOJUIN25!Y36+HISTOJUIL25!Y36+HISTOAOUT25!Y36+HISTOSEPT25!Y36+HISTOOCT25!Y36+HISTONOV25!Y36+HISTODEC25!Y36</f>
        <v>1800000</v>
      </c>
      <c r="Z36" s="5">
        <f>HISTOJANV25!Z36+HISTOFEV25!Z36+HISTOMARS25!Z36+HISTOAVRIL25!Z36+HISTOMAI25!Z36+HISTOJUIN25!Z36+HISTOJUIL25!Z36+HISTOAOUT25!Z36+HISTOSEPT25!Z36+HISTOOCT25!Z36+HISTONOV25!Z36+HISTODEC25!Z36</f>
        <v>1000000</v>
      </c>
      <c r="AA36" s="5"/>
      <c r="AB36" s="5">
        <f>HISTOJANV25!AB36+HISTOFEV25!AB36+HISTOMARS25!AB36+HISTOAVRIL25!AB36+HISTOMAI25!AB36+HISTOJUIN25!AB36+HISTOJUIL25!AB36+HISTOAOUT25!AB36+HISTOSEPT25!AB36+HISTOOCT25!AB36+HISTONOV25!AB36+HISTODEC25!AB36</f>
        <v>0</v>
      </c>
      <c r="AC36" s="5">
        <f>HISTOJANV25!AC36+HISTOFEV25!AC36+HISTOMARS25!AC36+HISTOAVRIL25!AC36+HISTOMAI25!AC36+HISTOJUIN25!AC36+HISTOJUIL25!AC36+HISTOAOUT25!AC36+HISTOSEPT25!AC36+HISTOOCT25!AC36+HISTONOV25!AC36+HISTODEC25!AC36</f>
        <v>2500</v>
      </c>
      <c r="AD36" s="5">
        <f>HISTOJANV25!AD36+HISTOFEV25!AD36+HISTOMARS25!AD36+HISTOAVRIL25!AD36+HISTOMAI25!AD36+HISTOJUIN25!AD36+HISTOJUIL25!AD36+HISTOAOUT25!AD36+HISTOSEPT25!AD36+HISTOOCT25!AD36+HISTONOV25!AD36+HISTODEC25!AD36</f>
        <v>0</v>
      </c>
      <c r="AE36" s="5">
        <f>HISTOJANV25!AE36+HISTOFEV25!AE36+HISTOMARS25!AE36+HISTOAVRIL25!AE36+HISTOMAI25!AE36+HISTOJUIN25!AE36+HISTOJUIL25!AE36+HISTOAOUT25!AE36+HISTOSEPT25!AE36+HISTOOCT25!AE36+HISTONOV25!AE36+HISTODEC25!AE36</f>
        <v>65000</v>
      </c>
      <c r="AF36" s="5"/>
      <c r="AG36" s="5">
        <f>HISTOJANV25!AG36+HISTOFEV25!AG36+HISTOMARS25!AG36+HISTOAVRIL25!AG36+HISTOMAI25!AG36+HISTOJUIN25!AG36+HISTOJUIL25!AG36+HISTOAOUT25!AG36+HISTOSEPT25!AG36+HISTOOCT25!AG36+HISTONOV25!AG36+HISTODEC25!AG36</f>
        <v>0</v>
      </c>
      <c r="AH36" s="5">
        <f>HISTOJANV25!AH36+HISTOFEV25!AH36+HISTOMARS25!AH36+HISTOAVRIL25!AH36+HISTOMAI25!AH36+HISTOJUIN25!AH36+HISTOJUIL25!AH36+HISTOAOUT25!AH36+HISTOSEPT25!AH36+HISTOOCT25!AH36+HISTONOV25!AH36+HISTODEC25!AH36</f>
        <v>0</v>
      </c>
      <c r="AI36" s="5">
        <f>HISTOJANV25!AI36+HISTOFEV25!AI36+HISTOMARS25!AI36+HISTOAVRIL25!AI36+HISTOMAI25!AI36+HISTOJUIN25!AI36+HISTOJUIL25!AI36+HISTOAOUT25!AI36+HISTOSEPT25!AI36+HISTOOCT25!AI36+HISTONOV25!AI36+HISTODEC25!AI36</f>
        <v>0</v>
      </c>
      <c r="AJ36" s="5">
        <f>HISTOJANV25!AJ36+HISTOFEV25!AJ36+HISTOMARS25!AJ36+HISTOAVRIL25!AJ36+HISTOMAI25!AJ36+HISTOJUIN25!AJ36+HISTOJUIL25!AJ36+HISTOAOUT25!AJ36+HISTOSEPT25!AJ36+HISTOOCT25!AJ36+HISTONOV25!AJ36+HISTODEC25!AJ36</f>
        <v>0</v>
      </c>
      <c r="AK36" s="5">
        <f>HISTOJANV25!AK36+HISTOFEV25!AK36+HISTOMARS25!AK36+HISTOAVRIL25!AK36+HISTOMAI25!AK36+HISTOJUIN25!AK36+HISTOJUIL25!AK36+HISTOAOUT25!AK36+HISTOSEPT25!AK36+HISTOOCT25!AK36+HISTONOV25!AK36+HISTODEC25!AK36</f>
        <v>300000</v>
      </c>
      <c r="AL36" s="5">
        <f>HISTOJANV25!AL36+HISTOFEV25!AL36+HISTOMARS25!AL36+HISTOAVRIL25!AL36+HISTOMAI25!AL36+HISTOJUIN25!AL36+HISTOJUIL25!AL36+HISTOAOUT25!AL36+HISTOSEPT25!AL36+HISTOOCT25!AL36+HISTONOV25!AL36+HISTODEC25!AL36</f>
        <v>0</v>
      </c>
      <c r="AM36" s="5">
        <f>HISTOJANV25!AM36+HISTOFEV25!AM36+HISTOMARS25!AM36+HISTOAVRIL25!AM36+HISTOMAI25!AM36+HISTOJUIN25!AM36+HISTOJUIL25!AM36+HISTOAOUT25!AM36+HISTOSEPT25!AM36+HISTOOCT25!AM36+HISTONOV25!AM36+HISTODEC25!AM36</f>
        <v>0</v>
      </c>
      <c r="AN36" s="5">
        <f>HISTOJANV25!AN36+HISTOFEV25!AN36+HISTOMARS25!AN36+HISTOAVRIL25!AN36+HISTOMAI25!AN36+HISTOJUIN25!AN36+HISTOJUIL25!AN36+HISTOAOUT25!AN36+HISTOSEPT25!AN36+HISTOOCT25!AN36+HISTONOV25!AN36+HISTODEC25!AN36</f>
        <v>7000</v>
      </c>
      <c r="AO36" s="5">
        <f>HISTOJANV25!AO36+HISTOFEV25!AO36+HISTOMARS25!AO36+HISTOAVRIL25!AO36+HISTOMAI25!AO36+HISTOJUIN25!AO36+HISTOJUIL25!AO36+HISTOAOUT25!AO36+HISTOSEPT25!AO36+HISTOOCT25!AO36+HISTONOV25!AO36+HISTODEC25!AO36</f>
        <v>0</v>
      </c>
      <c r="AP36" s="5"/>
      <c r="AQ36" s="5">
        <f>HISTOJANV25!AQ36+HISTOFEV25!AQ36+HISTOMARS25!AQ36+HISTOAVRIL25!AQ36+HISTOMAI25!AQ36+HISTOJUIN25!AQ36+HISTOJUIL25!AQ36+HISTOAOUT25!AQ36+HISTOSEPT25!AQ36+HISTOOCT25!AQ36+HISTONOV25!AQ36+HISTODEC25!AQ36</f>
        <v>0</v>
      </c>
      <c r="AR36" s="5">
        <f>HISTOJANV25!AR36+HISTOFEV25!AR36+HISTOMARS25!AR36+HISTOAVRIL25!AR36+HISTOMAI25!AR36+HISTOJUIN25!AR36+HISTOJUIL25!AR36+HISTOAOUT25!AR36+HISTOSEPT25!AR36+HISTOOCT25!AR36+HISTONOV25!AR36+HISTODEC25!AR36</f>
        <v>0</v>
      </c>
      <c r="AS36" s="5">
        <f>HISTOJANV25!AS36+HISTOFEV25!AS36+HISTOMARS25!AS36+HISTOAVRIL25!AS36+HISTOMAI25!AS36+HISTOJUIN25!AS36+HISTOJUIL25!AS36+HISTOAOUT25!AS36+HISTOSEPT25!AS36+HISTOOCT25!AS36+HISTONOV25!AS36+HISTODEC25!AS36</f>
        <v>300000</v>
      </c>
      <c r="AT36" s="5">
        <f>HISTOJANV25!AT36+HISTOFEV25!AT36+HISTOMARS25!AT36+HISTOAVRIL25!AT36+HISTOMAI25!AT36+HISTOJUIN25!AT36+HISTOJUIL25!AT36+HISTOAOUT25!AT36+HISTOSEPT25!AT36+HISTOOCT25!AT36+HISTONOV25!AT36+HISTODEC25!AT36</f>
        <v>0</v>
      </c>
      <c r="AU36" s="5">
        <f>HISTOJANV25!AU36+HISTOFEV25!AU36+HISTOMARS25!AU36+HISTOAVRIL25!AU36+HISTOMAI25!AU36+HISTOJUIN25!AU36+HISTOJUIL25!AU36+HISTOAOUT25!AU36+HISTOSEPT25!AU36+HISTOOCT25!AU36+HISTONOV25!AU36+HISTODEC25!AU36</f>
        <v>0</v>
      </c>
      <c r="AV36" s="5">
        <f>HISTOJANV25!AV36+HISTOFEV25!AV36+HISTOMARS25!AV36+HISTOAVRIL25!AV36+HISTOMAI25!AV36+HISTOJUIN25!AV36+HISTOJUIL25!AV36+HISTOAOUT25!AV36+HISTOSEPT25!AV36+HISTOOCT25!AV36+HISTONOV25!AV36+HISTODEC25!AV36</f>
        <v>0</v>
      </c>
      <c r="AW36" s="5">
        <f>HISTOJANV25!AW36+HISTOFEV25!AW36+HISTOMARS25!AW36+HISTOAVRIL25!AW36+HISTOMAI25!AW36+HISTOJUIN25!AW36+HISTOJUIL25!AW36+HISTOAOUT25!AW36+HISTOSEPT25!AW36+HISTOOCT25!AW36+HISTONOV25!AW36+HISTODEC25!AW36</f>
        <v>297500</v>
      </c>
      <c r="AX36" s="5">
        <f>HISTOJANV25!AX36+HISTOFEV25!AX36+HISTOMARS25!AX36+HISTOAVRIL25!AX36+HISTOMAI25!AX36+HISTOJUIN25!AX36+HISTOJUIL25!AX36+HISTOAOUT25!AX36+HISTOSEPT25!AX36+HISTOOCT25!AX36+HISTONOV25!AX36+HISTODEC25!AX36</f>
        <v>0</v>
      </c>
      <c r="AY36" s="5">
        <f>HISTOJANV25!AY36+HISTOFEV25!AY36+HISTOMARS25!AY36+HISTOAVRIL25!AY36+HISTOMAI25!AY36+HISTOJUIN25!AY36+HISTOJUIL25!AY36+HISTOAOUT25!AY36+HISTOSEPT25!AY36+HISTOOCT25!AY36+HISTONOV25!AY36+HISTODEC25!AY36</f>
        <v>1435000</v>
      </c>
      <c r="AZ36" s="5">
        <f>HISTOJANV25!AZ36+HISTOFEV25!AZ36+HISTOMARS25!AZ36+HISTOAVRIL25!AZ36+HISTOMAI25!AZ36+HISTOJUIN25!AZ36+HISTOJUIL25!AZ36+HISTOAOUT25!AZ36+HISTOSEPT25!AZ36+HISTOOCT25!AZ36+HISTONOV25!AZ36+HISTODEC25!AZ36</f>
        <v>2712500</v>
      </c>
      <c r="BA36" s="5">
        <f>HISTOJANV25!BA36+HISTOFEV25!BA36+HISTOMARS25!BA36+HISTOAVRIL25!BA36+HISTOMAI25!BA36+HISTOJUIN25!BA36+HISTOJUIL25!BA36+HISTOAOUT25!BA36+HISTOSEPT25!BA36+HISTOOCT25!BA36+HISTONOV25!BA36+HISTODEC25!BA36</f>
        <v>248500</v>
      </c>
      <c r="BB36" s="5">
        <f>HISTOJANV25!BB36+HISTOFEV25!BB36+HISTOMARS25!BB36+HISTOAVRIL25!BB36+HISTOMAI25!BB36+HISTOJUIN25!BB36+HISTOJUIL25!BB36+HISTOAOUT25!BB36+HISTOSEPT25!BB36+HISTOOCT25!BB36+HISTONOV25!BB36+HISTODEC25!BB36</f>
        <v>0</v>
      </c>
      <c r="BC36" s="5">
        <f>HISTOJANV25!BC36+HISTOFEV25!BC36+HISTOMARS25!BC36+HISTOAVRIL25!BC36+HISTOMAI25!BC36+HISTOJUIN25!BC36+HISTOJUIL25!BC36+HISTOAOUT25!BC36+HISTOSEPT25!BC36+HISTOOCT25!BC36+HISTONOV25!BC36+HISTODEC25!BC36</f>
        <v>0</v>
      </c>
      <c r="BD36" s="5">
        <f>HISTOJANV25!BD36+HISTOFEV25!BD36+HISTOMARS25!BD36+HISTOAVRIL25!BD36+HISTOMAI25!BD36+HISTOJUIN25!BD36+HISTOJUIL25!BD36+HISTOAOUT25!BD36+HISTOSEPT25!BD36+HISTOOCT25!BD36+HISTONOV25!BD36+HISTODEC25!BD36</f>
        <v>2515500</v>
      </c>
      <c r="BE36" s="5"/>
      <c r="BF36" s="5">
        <f>HISTOJANV25!BF36+HISTOFEV25!BF36+HISTOMARS25!BF36+HISTOAVRIL25!BF36+HISTOMAI25!BF36+HISTOJUIN25!BF36+HISTOJUIL25!BF36+HISTOAOUT25!BF36+HISTOSEPT25!BF36+HISTOOCT25!BF36+HISTONOV25!BF36+HISTODEC25!BF36</f>
        <v>120000</v>
      </c>
      <c r="BG36" s="5">
        <f>HISTOJANV25!BG36+HISTOFEV25!BG36+HISTOMARS25!BG36+HISTOAVRIL25!BG36+HISTOMAI25!BG36+HISTOJUIN25!BG36+HISTOJUIL25!BG36+HISTOAOUT25!BG36+HISTOSEPT25!BG36+HISTOOCT25!BG36+HISTONOV25!BG36+HISTODEC25!BG36</f>
        <v>78</v>
      </c>
      <c r="BH36" s="5">
        <f>HISTOJANV25!BH36+HISTOFEV25!BH36+HISTOMARS25!BH36+HISTOAVRIL25!BH36+HISTOMAI25!BH36+HISTOJUIN25!BH36+HISTOJUIL25!BH36+HISTOAOUT25!BH36+HISTOSEPT25!BH36+HISTOOCT25!BH36+HISTONOV25!BH36+HISTODEC25!BH36</f>
        <v>0</v>
      </c>
      <c r="BI36" s="5">
        <f>HISTOJANV25!BI36+HISTOFEV25!BI36+HISTOMARS25!BI36+HISTOAVRIL25!BI36+HISTOMAI25!BI36+HISTOJUIN25!BI36+HISTOJUIL25!BI36+HISTOAOUT25!BI36+HISTOSEPT25!BI36+HISTOOCT25!BI36+HISTONOV25!BI36+HISTODEC25!BI36</f>
        <v>0</v>
      </c>
      <c r="BJ36" s="5">
        <f>HISTOJANV25!BJ36+HISTOFEV25!BJ36+HISTOMARS25!BJ36+HISTOAVRIL25!BJ36+HISTOMAI25!BJ36+HISTOJUIN25!BJ36+HISTOJUIL25!BJ36+HISTOAOUT25!BJ36+HISTOSEPT25!BJ36+HISTOOCT25!BJ36+HISTONOV25!BJ36+HISTODEC25!BJ36</f>
        <v>0</v>
      </c>
      <c r="BK36" s="5">
        <f>HISTOJANV25!BK36+HISTOFEV25!BK36+HISTOMARS25!BK36+HISTOAVRIL25!BK36+HISTOMAI25!BK36+HISTOJUIN25!BK36+HISTOJUIL25!BK36+HISTOAOUT25!BK36+HISTOSEPT25!BK36+HISTOOCT25!BK36+HISTONOV25!BK36+HISTODEC25!BK36</f>
        <v>100000</v>
      </c>
      <c r="BL36" s="5">
        <f>HISTOJANV25!BL36+HISTOFEV25!BL36+HISTOMARS25!BL36+HISTOAVRIL25!BL36+HISTOMAI25!BL36+HISTOJUIN25!BL36+HISTOJUIL25!BL36+HISTOAOUT25!BL36+HISTOSEPT25!BL36+HISTOOCT25!BL36+HISTONOV25!BL36+HISTODEC25!BL36</f>
        <v>0</v>
      </c>
      <c r="BM36" s="5">
        <f>HISTOJANV25!BM36+HISTOFEV25!BM36+HISTOMARS25!BM36+HISTOAVRIL25!BM36+HISTOMAI25!BM36+HISTOJUIN25!BM36+HISTOJUIL25!BM36+HISTOAOUT25!BM36+HISTOSEPT25!BM36+HISTOOCT25!BM36+HISTONOV25!BM36+HISTODEC25!BM36</f>
        <v>0</v>
      </c>
      <c r="BN36" s="5">
        <f>HISTOJANV25!BN36+HISTOFEV25!BN36+HISTOMARS25!BN36+HISTOAVRIL25!BN36+HISTOMAI25!BN36+HISTOJUIN25!BN36+HISTOJUIL25!BN36+HISTOAOUT25!BN36+HISTOSEPT25!BN36+HISTOOCT25!BN36+HISTONOV25!BN36+HISTODEC25!BN36</f>
        <v>0</v>
      </c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>HISTOJANV25!C37+HISTOFEV25!C37+HISTOMARS25!C37+HISTOAVRIL25!C37+HISTOMAI25!C37+HISTOJUIN25!C37+HISTOJUIL25!C37+HISTOAOUT25!C37+HISTOSEPT25!C37+HISTOOCT25!C37+HISTONOV25!C37+HISTODEC25!C37</f>
        <v>-214500</v>
      </c>
      <c r="D37" s="5">
        <f>HISTOJANV25!D37+HISTOFEV25!D37+HISTOMARS25!D37+HISTOAVRIL25!D37+HISTOMAI25!D37+HISTOJUIN25!D37+HISTOJUIL25!D37+HISTOAOUT25!D37+HISTOSEPT25!D37+HISTOOCT25!D37+HISTONOV25!D37+HISTODEC25!D37</f>
        <v>600000</v>
      </c>
      <c r="E37" s="5">
        <f>HISTOJANV25!E37+HISTOFEV25!E37+HISTOMARS25!E37+HISTOAVRIL25!E37+HISTOMAI25!E37+HISTOJUIN25!E37+HISTOJUIL25!E37+HISTOAOUT25!E37+HISTOSEPT25!E37+HISTOOCT25!E37+HISTONOV25!E37+HISTODEC25!E37</f>
        <v>0</v>
      </c>
      <c r="F37" s="5">
        <f>HISTOJANV25!F37+HISTOFEV25!F37+HISTOMARS25!F37+HISTOAVRIL25!F37+HISTOMAI25!F37+HISTOJUIN25!F37+HISTOJUIL25!F37+HISTOAOUT25!F37+HISTOSEPT25!F37+HISTOOCT25!F37+HISTONOV25!F37+HISTODEC25!F37</f>
        <v>0</v>
      </c>
      <c r="G37" s="5">
        <f>HISTOJANV25!G37+HISTOFEV25!G37+HISTOMARS25!G37+HISTOAVRIL25!G37+HISTOMAI25!G37+HISTOJUIN25!G37+HISTOJUIL25!G37+HISTOAOUT25!G37+HISTOSEPT25!G37+HISTOOCT25!G37+HISTONOV25!G37+HISTODEC25!G37</f>
        <v>214500</v>
      </c>
      <c r="H37" s="5">
        <f>HISTOJANV25!H37+HISTOFEV25!H37+HISTOMARS25!H37+HISTOAVRIL25!H37+HISTOMAI25!H37+HISTOJUIN25!H37+HISTOJUIL25!H37+HISTOAOUT25!H37+HISTOSEPT25!H37+HISTOOCT25!H37+HISTONOV25!H37+HISTODEC25!H37</f>
        <v>0</v>
      </c>
      <c r="I37" s="5"/>
      <c r="J37" s="5">
        <f>HISTOJANV25!J37+HISTOFEV25!J37+HISTOMARS25!J37+HISTOAVRIL25!J37+HISTOMAI25!J37+HISTOJUIN25!J37+HISTOJUIL25!J37+HISTOAOUT25!J37+HISTOSEPT25!J37+HISTOOCT25!J37+HISTONOV25!J37+HISTODEC25!J37</f>
        <v>12</v>
      </c>
      <c r="K37" s="5">
        <f>HISTOJANV25!K37+HISTOFEV25!K37+HISTOMARS25!K37+HISTOAVRIL25!K37+HISTOMAI25!K37+HISTOJUIN25!K37+HISTOJUIL25!K37+HISTOAOUT25!K37+HISTOSEPT25!K37+HISTOOCT25!K37+HISTONOV25!K37+HISTODEC25!K37</f>
        <v>600000</v>
      </c>
      <c r="L37" s="5">
        <f>HISTOJANV25!L37+HISTOFEV25!L37+HISTOMARS25!L37+HISTOAVRIL25!L37+HISTOMAI25!L37+HISTOJUIN25!L37+HISTOJUIL25!L37+HISTOAOUT25!L37+HISTOSEPT25!L37+HISTOOCT25!L37+HISTONOV25!L37+HISTODEC25!L37</f>
        <v>0</v>
      </c>
      <c r="M37" s="5">
        <f>HISTOJANV25!M37+HISTOFEV25!M37+HISTOMARS25!M37+HISTOAVRIL25!M37+HISTOMAI25!M37+HISTOJUIN25!M37+HISTOJUIL25!M37+HISTOAOUT25!M37+HISTOSEPT25!M37+HISTOOCT25!M37+HISTONOV25!M37+HISTODEC25!M37</f>
        <v>0</v>
      </c>
      <c r="N37" s="5">
        <f>HISTOJANV25!N37+HISTOFEV25!N37+HISTOMARS25!N37+HISTOAVRIL25!N37+HISTOMAI25!N37+HISTOJUIN25!N37+HISTOJUIL25!N37+HISTOAOUT25!N37+HISTOSEPT25!N37+HISTOOCT25!N37+HISTONOV25!N37+HISTODEC25!N37</f>
        <v>0</v>
      </c>
      <c r="O37" s="5">
        <f>HISTOJANV25!O37+HISTOFEV25!O37+HISTOMARS25!O37+HISTOAVRIL25!O37+HISTOMAI25!O37+HISTOJUIN25!O37+HISTOJUIL25!O37+HISTOAOUT25!O37+HISTOSEPT25!O37+HISTOOCT25!O37+HISTONOV25!O37+HISTODEC25!O37</f>
        <v>0</v>
      </c>
      <c r="P37" s="5">
        <f>HISTOJANV25!P37+HISTOFEV25!P37+HISTOMARS25!P37+HISTOAVRIL25!P37+HISTOMAI25!P37+HISTOJUIN25!P37+HISTOJUIL25!P37+HISTOAOUT25!P37+HISTOSEPT25!P37+HISTOOCT25!P37+HISTONOV25!P37+HISTODEC25!P37</f>
        <v>0</v>
      </c>
      <c r="Q37" s="5">
        <f>HISTOJANV25!Q37+HISTOFEV25!Q37+HISTOMARS25!Q37+HISTOAVRIL25!Q37+HISTOMAI25!Q37+HISTOJUIN25!Q37+HISTOJUIL25!Q37+HISTOAOUT25!Q37+HISTOSEPT25!Q37+HISTOOCT25!Q37+HISTONOV25!Q37+HISTODEC25!Q37</f>
        <v>0</v>
      </c>
      <c r="R37" s="5">
        <f>HISTOJANV25!R37+HISTOFEV25!R37+HISTOMARS25!R37+HISTOAVRIL25!R37+HISTOMAI25!R37+HISTOJUIN25!R37+HISTOJUIL25!R37+HISTOAOUT25!R37+HISTOSEPT25!R37+HISTOOCT25!R37+HISTONOV25!R37+HISTODEC25!R37</f>
        <v>0</v>
      </c>
      <c r="S37" s="5">
        <f>HISTOJANV25!S37+HISTOFEV25!S37+HISTOMARS25!S37+HISTOAVRIL25!S37+HISTOMAI25!S37+HISTOJUIN25!S37+HISTOJUIL25!S37+HISTOAOUT25!S37+HISTOSEPT25!S37+HISTOOCT25!S37+HISTONOV25!S37+HISTODEC25!S37</f>
        <v>0</v>
      </c>
      <c r="T37" s="5"/>
      <c r="U37" s="5">
        <f>HISTOJANV25!U37+HISTOFEV25!U37+HISTOMARS25!U37+HISTOAVRIL25!U37+HISTOMAI25!U37+HISTOJUIN25!U37+HISTOJUIL25!U37+HISTOAOUT25!U37+HISTOSEPT25!U37+HISTOOCT25!U37+HISTONOV25!U37+HISTODEC25!U37</f>
        <v>814500</v>
      </c>
      <c r="V37" s="5">
        <f>HISTOJANV25!V37+HISTOFEV25!V37+HISTOMARS25!V37+HISTOAVRIL25!V37+HISTOMAI25!V37+HISTOJUIN25!V37+HISTOJUIL25!V37+HISTOAOUT25!V37+HISTOSEPT25!V37+HISTOOCT25!V37+HISTONOV25!V37+HISTODEC25!V37</f>
        <v>0</v>
      </c>
      <c r="W37" s="5">
        <f>HISTOJANV25!W37+HISTOFEV25!W37+HISTOMARS25!W37+HISTOAVRIL25!W37+HISTOMAI25!W37+HISTOJUIN25!W37+HISTOJUIL25!W37+HISTOAOUT25!W37+HISTOSEPT25!W37+HISTOOCT25!W37+HISTONOV25!W37+HISTODEC25!W37</f>
        <v>0</v>
      </c>
      <c r="X37" s="5">
        <f>HISTOJANV25!X37+HISTOFEV25!X37+HISTOMARS25!X37+HISTOAVRIL25!X37+HISTOMAI25!X37+HISTOJUIN25!X37+HISTOJUIL25!X37+HISTOAOUT25!X37+HISTOSEPT25!X37+HISTOOCT25!X37+HISTONOV25!X37+HISTODEC25!X37</f>
        <v>0</v>
      </c>
      <c r="Y37" s="5">
        <f>HISTOJANV25!Y37+HISTOFEV25!Y37+HISTOMARS25!Y37+HISTOAVRIL25!Y37+HISTOMAI25!Y37+HISTOJUIN25!Y37+HISTOJUIL25!Y37+HISTOAOUT25!Y37+HISTOSEPT25!Y37+HISTOOCT25!Y37+HISTONOV25!Y37+HISTODEC25!Y37</f>
        <v>600000</v>
      </c>
      <c r="Z37" s="5">
        <f>HISTOJANV25!Z37+HISTOFEV25!Z37+HISTOMARS25!Z37+HISTOAVRIL25!Z37+HISTOMAI25!Z37+HISTOJUIN25!Z37+HISTOJUIL25!Z37+HISTOAOUT25!Z37+HISTOSEPT25!Z37+HISTOOCT25!Z37+HISTONOV25!Z37+HISTODEC25!Z37</f>
        <v>0</v>
      </c>
      <c r="AA37" s="5"/>
      <c r="AB37" s="5">
        <f>HISTOJANV25!AB37+HISTOFEV25!AB37+HISTOMARS25!AB37+HISTOAVRIL25!AB37+HISTOMAI25!AB37+HISTOJUIN25!AB37+HISTOJUIL25!AB37+HISTOAOUT25!AB37+HISTOSEPT25!AB37+HISTOOCT25!AB37+HISTONOV25!AB37+HISTODEC25!AB37</f>
        <v>0</v>
      </c>
      <c r="AC37" s="5">
        <f>HISTOJANV25!AC37+HISTOFEV25!AC37+HISTOMARS25!AC37+HISTOAVRIL25!AC37+HISTOMAI25!AC37+HISTOJUIN25!AC37+HISTOJUIL25!AC37+HISTOAOUT25!AC37+HISTOSEPT25!AC37+HISTOOCT25!AC37+HISTONOV25!AC37+HISTODEC25!AC37</f>
        <v>2500</v>
      </c>
      <c r="AD37" s="5">
        <f>HISTOJANV25!AD37+HISTOFEV25!AD37+HISTOMARS25!AD37+HISTOAVRIL25!AD37+HISTOMAI25!AD37+HISTOJUIN25!AD37+HISTOJUIL25!AD37+HISTOAOUT25!AD37+HISTOSEPT25!AD37+HISTOOCT25!AD37+HISTONOV25!AD37+HISTODEC25!AD37</f>
        <v>0</v>
      </c>
      <c r="AE37" s="5">
        <f>HISTOJANV25!AE37+HISTOFEV25!AE37+HISTOMARS25!AE37+HISTOAVRIL25!AE37+HISTOMAI25!AE37+HISTOJUIN25!AE37+HISTOJUIL25!AE37+HISTOAOUT25!AE37+HISTOSEPT25!AE37+HISTOOCT25!AE37+HISTONOV25!AE37+HISTODEC25!AE37</f>
        <v>0</v>
      </c>
      <c r="AF37" s="5"/>
      <c r="AG37" s="5">
        <f>HISTOJANV25!AG37+HISTOFEV25!AG37+HISTOMARS25!AG37+HISTOAVRIL25!AG37+HISTOMAI25!AG37+HISTOJUIN25!AG37+HISTOJUIL25!AG37+HISTOAOUT25!AG37+HISTOSEPT25!AG37+HISTOOCT25!AG37+HISTONOV25!AG37+HISTODEC25!AG37</f>
        <v>0</v>
      </c>
      <c r="AH37" s="5">
        <f>HISTOJANV25!AH37+HISTOFEV25!AH37+HISTOMARS25!AH37+HISTOAVRIL25!AH37+HISTOMAI25!AH37+HISTOJUIN25!AH37+HISTOJUIL25!AH37+HISTOAOUT25!AH37+HISTOSEPT25!AH37+HISTOOCT25!AH37+HISTONOV25!AH37+HISTODEC25!AH37</f>
        <v>0</v>
      </c>
      <c r="AI37" s="5">
        <f>HISTOJANV25!AI37+HISTOFEV25!AI37+HISTOMARS25!AI37+HISTOAVRIL25!AI37+HISTOMAI25!AI37+HISTOJUIN25!AI37+HISTOJUIL25!AI37+HISTOAOUT25!AI37+HISTOSEPT25!AI37+HISTOOCT25!AI37+HISTONOV25!AI37+HISTODEC25!AI37</f>
        <v>0</v>
      </c>
      <c r="AJ37" s="5">
        <f>HISTOJANV25!AJ37+HISTOFEV25!AJ37+HISTOMARS25!AJ37+HISTOAVRIL25!AJ37+HISTOMAI25!AJ37+HISTOJUIN25!AJ37+HISTOJUIL25!AJ37+HISTOAOUT25!AJ37+HISTOSEPT25!AJ37+HISTOOCT25!AJ37+HISTONOV25!AJ37+HISTODEC25!AJ37</f>
        <v>0</v>
      </c>
      <c r="AK37" s="5">
        <f>HISTOJANV25!AK37+HISTOFEV25!AK37+HISTOMARS25!AK37+HISTOAVRIL25!AK37+HISTOMAI25!AK37+HISTOJUIN25!AK37+HISTOJUIL25!AK37+HISTOAOUT25!AK37+HISTOSEPT25!AK37+HISTOOCT25!AK37+HISTONOV25!AK37+HISTODEC25!AK37</f>
        <v>0</v>
      </c>
      <c r="AL37" s="5">
        <f>HISTOJANV25!AL37+HISTOFEV25!AL37+HISTOMARS25!AL37+HISTOAVRIL25!AL37+HISTOMAI25!AL37+HISTOJUIN25!AL37+HISTOJUIL25!AL37+HISTOAOUT25!AL37+HISTOSEPT25!AL37+HISTOOCT25!AL37+HISTONOV25!AL37+HISTODEC25!AL37</f>
        <v>0</v>
      </c>
      <c r="AM37" s="5">
        <f>HISTOJANV25!AM37+HISTOFEV25!AM37+HISTOMARS25!AM37+HISTOAVRIL25!AM37+HISTOMAI25!AM37+HISTOJUIN25!AM37+HISTOJUIL25!AM37+HISTOAOUT25!AM37+HISTOSEPT25!AM37+HISTOOCT25!AM37+HISTONOV25!AM37+HISTODEC25!AM37</f>
        <v>0</v>
      </c>
      <c r="AN37" s="5">
        <f>HISTOJANV25!AN37+HISTOFEV25!AN37+HISTOMARS25!AN37+HISTOAVRIL25!AN37+HISTOMAI25!AN37+HISTOJUIN25!AN37+HISTOJUIL25!AN37+HISTOAOUT25!AN37+HISTOSEPT25!AN37+HISTOOCT25!AN37+HISTONOV25!AN37+HISTODEC25!AN37</f>
        <v>0</v>
      </c>
      <c r="AO37" s="5">
        <f>HISTOJANV25!AO37+HISTOFEV25!AO37+HISTOMARS25!AO37+HISTOAVRIL25!AO37+HISTOMAI25!AO37+HISTOJUIN25!AO37+HISTOJUIL25!AO37+HISTOAOUT25!AO37+HISTOSEPT25!AO37+HISTOOCT25!AO37+HISTONOV25!AO37+HISTODEC25!AO37</f>
        <v>0</v>
      </c>
      <c r="AP37" s="5"/>
      <c r="AQ37" s="5">
        <f>HISTOJANV25!AQ37+HISTOFEV25!AQ37+HISTOMARS25!AQ37+HISTOAVRIL25!AQ37+HISTOMAI25!AQ37+HISTOJUIN25!AQ37+HISTOJUIL25!AQ37+HISTOAOUT25!AQ37+HISTOSEPT25!AQ37+HISTOOCT25!AQ37+HISTONOV25!AQ37+HISTODEC25!AQ37</f>
        <v>0</v>
      </c>
      <c r="AR37" s="5">
        <f>HISTOJANV25!AR37+HISTOFEV25!AR37+HISTOMARS25!AR37+HISTOAVRIL25!AR37+HISTOMAI25!AR37+HISTOJUIN25!AR37+HISTOJUIL25!AR37+HISTOAOUT25!AR37+HISTOSEPT25!AR37+HISTOOCT25!AR37+HISTONOV25!AR37+HISTODEC25!AR37</f>
        <v>0</v>
      </c>
      <c r="AS37" s="5">
        <f>HISTOJANV25!AS37+HISTOFEV25!AS37+HISTOMARS25!AS37+HISTOAVRIL25!AS37+HISTOMAI25!AS37+HISTOJUIN25!AS37+HISTOJUIL25!AS37+HISTOAOUT25!AS37+HISTOSEPT25!AS37+HISTOOCT25!AS37+HISTONOV25!AS37+HISTODEC25!AS37</f>
        <v>514500</v>
      </c>
      <c r="AT37" s="5">
        <f>HISTOJANV25!AT37+HISTOFEV25!AT37+HISTOMARS25!AT37+HISTOAVRIL25!AT37+HISTOMAI25!AT37+HISTOJUIN25!AT37+HISTOJUIL25!AT37+HISTOAOUT25!AT37+HISTOSEPT25!AT37+HISTOOCT25!AT37+HISTONOV25!AT37+HISTODEC25!AT37</f>
        <v>0</v>
      </c>
      <c r="AU37" s="5">
        <f>HISTOJANV25!AU37+HISTOFEV25!AU37+HISTOMARS25!AU37+HISTOAVRIL25!AU37+HISTOMAI25!AU37+HISTOJUIN25!AU37+HISTOJUIL25!AU37+HISTOAOUT25!AU37+HISTOSEPT25!AU37+HISTOOCT25!AU37+HISTONOV25!AU37+HISTODEC25!AU37</f>
        <v>0</v>
      </c>
      <c r="AV37" s="5">
        <f>HISTOJANV25!AV37+HISTOFEV25!AV37+HISTOMARS25!AV37+HISTOAVRIL25!AV37+HISTOMAI25!AV37+HISTOJUIN25!AV37+HISTOJUIL25!AV37+HISTOAOUT25!AV37+HISTOSEPT25!AV37+HISTOOCT25!AV37+HISTONOV25!AV37+HISTODEC25!AV37</f>
        <v>0</v>
      </c>
      <c r="AW37" s="5">
        <f>HISTOJANV25!AW37+HISTOFEV25!AW37+HISTOMARS25!AW37+HISTOAVRIL25!AW37+HISTOMAI25!AW37+HISTOJUIN25!AW37+HISTOJUIL25!AW37+HISTOAOUT25!AW37+HISTOSEPT25!AW37+HISTOOCT25!AW37+HISTONOV25!AW37+HISTODEC25!AW37</f>
        <v>297500</v>
      </c>
      <c r="AX37" s="5">
        <f>HISTOJANV25!AX37+HISTOFEV25!AX37+HISTOMARS25!AX37+HISTOAVRIL25!AX37+HISTOMAI25!AX37+HISTOJUIN25!AX37+HISTOJUIL25!AX37+HISTOAOUT25!AX37+HISTOSEPT25!AX37+HISTOOCT25!AX37+HISTONOV25!AX37+HISTODEC25!AX37</f>
        <v>0</v>
      </c>
      <c r="AY37" s="5">
        <f>HISTOJANV25!AY37+HISTOFEV25!AY37+HISTOMARS25!AY37+HISTOAVRIL25!AY37+HISTOMAI25!AY37+HISTOJUIN25!AY37+HISTOJUIL25!AY37+HISTOAOUT25!AY37+HISTOSEPT25!AY37+HISTOOCT25!AY37+HISTONOV25!AY37+HISTODEC25!AY37</f>
        <v>0</v>
      </c>
      <c r="AZ37" s="5">
        <f>HISTOJANV25!AZ37+HISTOFEV25!AZ37+HISTOMARS25!AZ37+HISTOAVRIL25!AZ37+HISTOMAI25!AZ37+HISTOJUIN25!AZ37+HISTOJUIL25!AZ37+HISTOAOUT25!AZ37+HISTOSEPT25!AZ37+HISTOOCT25!AZ37+HISTONOV25!AZ37+HISTODEC25!AZ37</f>
        <v>397500</v>
      </c>
      <c r="BA37" s="5">
        <f>HISTOJANV25!BA37+HISTOFEV25!BA37+HISTOMARS25!BA37+HISTOAVRIL25!BA37+HISTOMAI25!BA37+HISTOJUIN25!BA37+HISTOJUIL25!BA37+HISTOAOUT25!BA37+HISTOSEPT25!BA37+HISTOOCT25!BA37+HISTONOV25!BA37+HISTODEC25!BA37</f>
        <v>80000</v>
      </c>
      <c r="BB37" s="5">
        <f>HISTOJANV25!BB37+HISTOFEV25!BB37+HISTOMARS25!BB37+HISTOAVRIL25!BB37+HISTOMAI25!BB37+HISTOJUIN25!BB37+HISTOJUIL25!BB37+HISTOAOUT25!BB37+HISTOSEPT25!BB37+HISTOOCT25!BB37+HISTONOV25!BB37+HISTODEC25!BB37</f>
        <v>0</v>
      </c>
      <c r="BC37" s="5">
        <f>HISTOJANV25!BC37+HISTOFEV25!BC37+HISTOMARS25!BC37+HISTOAVRIL25!BC37+HISTOMAI25!BC37+HISTOJUIN25!BC37+HISTOJUIL25!BC37+HISTOAOUT25!BC37+HISTOSEPT25!BC37+HISTOOCT25!BC37+HISTONOV25!BC37+HISTODEC25!BC37</f>
        <v>0</v>
      </c>
      <c r="BD37" s="5">
        <f>HISTOJANV25!BD37+HISTOFEV25!BD37+HISTOMARS25!BD37+HISTOAVRIL25!BD37+HISTOMAI25!BD37+HISTOJUIN25!BD37+HISTOJUIL25!BD37+HISTOAOUT25!BD37+HISTOSEPT25!BD37+HISTOOCT25!BD37+HISTONOV25!BD37+HISTODEC25!BD37</f>
        <v>100000</v>
      </c>
      <c r="BE37" s="5"/>
      <c r="BF37" s="5">
        <f>HISTOJANV25!BF37+HISTOFEV25!BF37+HISTOMARS25!BF37+HISTOAVRIL25!BF37+HISTOMAI25!BF37+HISTOJUIN25!BF37+HISTOJUIL25!BF37+HISTOAOUT25!BF37+HISTOSEPT25!BF37+HISTOOCT25!BF37+HISTONOV25!BF37+HISTODEC25!BF37</f>
        <v>0</v>
      </c>
      <c r="BG37" s="5">
        <f>HISTOJANV25!BG37+HISTOFEV25!BG37+HISTOMARS25!BG37+HISTOAVRIL25!BG37+HISTOMAI25!BG37+HISTOJUIN25!BG37+HISTOJUIL25!BG37+HISTOAOUT25!BG37+HISTOSEPT25!BG37+HISTOOCT25!BG37+HISTONOV25!BG37+HISTODEC25!BG37</f>
        <v>67</v>
      </c>
      <c r="BH37" s="5">
        <f>HISTOJANV25!BH37+HISTOFEV25!BH37+HISTOMARS25!BH37+HISTOAVRIL25!BH37+HISTOMAI25!BH37+HISTOJUIN25!BH37+HISTOJUIL25!BH37+HISTOAOUT25!BH37+HISTOSEPT25!BH37+HISTOOCT25!BH37+HISTONOV25!BH37+HISTODEC25!BH37</f>
        <v>0</v>
      </c>
      <c r="BI37" s="5">
        <f>HISTOJANV25!BI37+HISTOFEV25!BI37+HISTOMARS25!BI37+HISTOAVRIL25!BI37+HISTOMAI25!BI37+HISTOJUIN25!BI37+HISTOJUIL25!BI37+HISTOAOUT25!BI37+HISTOSEPT25!BI37+HISTOOCT25!BI37+HISTONOV25!BI37+HISTODEC25!BI37</f>
        <v>0</v>
      </c>
      <c r="BJ37" s="5">
        <f>HISTOJANV25!BJ37+HISTOFEV25!BJ37+HISTOMARS25!BJ37+HISTOAVRIL25!BJ37+HISTOMAI25!BJ37+HISTOJUIN25!BJ37+HISTOJUIL25!BJ37+HISTOAOUT25!BJ37+HISTOSEPT25!BJ37+HISTOOCT25!BJ37+HISTONOV25!BJ37+HISTODEC25!BJ37</f>
        <v>0</v>
      </c>
      <c r="BK37" s="5">
        <f>HISTOJANV25!BK37+HISTOFEV25!BK37+HISTOMARS25!BK37+HISTOAVRIL25!BK37+HISTOMAI25!BK37+HISTOJUIN25!BK37+HISTOJUIL25!BK37+HISTOAOUT25!BK37+HISTOSEPT25!BK37+HISTOOCT25!BK37+HISTONOV25!BK37+HISTODEC25!BK37</f>
        <v>100000</v>
      </c>
      <c r="BL37" s="5">
        <f>HISTOJANV25!BL37+HISTOFEV25!BL37+HISTOMARS25!BL37+HISTOAVRIL25!BL37+HISTOMAI25!BL37+HISTOJUIN25!BL37+HISTOJUIL25!BL37+HISTOAOUT25!BL37+HISTOSEPT25!BL37+HISTOOCT25!BL37+HISTONOV25!BL37+HISTODEC25!BL37</f>
        <v>0</v>
      </c>
      <c r="BM37" s="5">
        <f>HISTOJANV25!BM37+HISTOFEV25!BM37+HISTOMARS25!BM37+HISTOAVRIL25!BM37+HISTOMAI25!BM37+HISTOJUIN25!BM37+HISTOJUIL25!BM37+HISTOAOUT25!BM37+HISTOSEPT25!BM37+HISTOOCT25!BM37+HISTONOV25!BM37+HISTODEC25!BM37</f>
        <v>0</v>
      </c>
      <c r="BN37" s="5">
        <f>HISTOJANV25!BN37+HISTOFEV25!BN37+HISTOMARS25!BN37+HISTOAVRIL25!BN37+HISTOMAI25!BN37+HISTOJUIN25!BN37+HISTOJUIL25!BN37+HISTOAOUT25!BN37+HISTOSEPT25!BN37+HISTOOCT25!BN37+HISTONOV25!BN37+HISTODEC25!BN37</f>
        <v>0</v>
      </c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>HISTOJANV25!C38+HISTOFEV25!C38+HISTOMARS25!C38+HISTOAVRIL25!C38+HISTOMAI25!C38+HISTOJUIN25!C38+HISTOJUIL25!C38+HISTOAOUT25!C38+HISTOSEPT25!C38+HISTOOCT25!C38+HISTONOV25!C38+HISTODEC25!C38</f>
        <v>-284200</v>
      </c>
      <c r="D38" s="5">
        <f>HISTOJANV25!D38+HISTOFEV25!D38+HISTOMARS25!D38+HISTOAVRIL25!D38+HISTOMAI25!D38+HISTOJUIN25!D38+HISTOJUIL25!D38+HISTOAOUT25!D38+HISTOSEPT25!D38+HISTOOCT25!D38+HISTONOV25!D38+HISTODEC25!D38</f>
        <v>150000</v>
      </c>
      <c r="E38" s="5">
        <f>HISTOJANV25!E38+HISTOFEV25!E38+HISTOMARS25!E38+HISTOAVRIL25!E38+HISTOMAI25!E38+HISTOJUIN25!E38+HISTOJUIL25!E38+HISTOAOUT25!E38+HISTOSEPT25!E38+HISTOOCT25!E38+HISTONOV25!E38+HISTODEC25!E38</f>
        <v>466300</v>
      </c>
      <c r="F38" s="5">
        <f>HISTOJANV25!F38+HISTOFEV25!F38+HISTOMARS25!F38+HISTOAVRIL25!F38+HISTOMAI25!F38+HISTOJUIN25!F38+HISTOJUIL25!F38+HISTOAOUT25!F38+HISTOSEPT25!F38+HISTOOCT25!F38+HISTONOV25!F38+HISTODEC25!F38</f>
        <v>0</v>
      </c>
      <c r="G38" s="5">
        <f>HISTOJANV25!G38+HISTOFEV25!G38+HISTOMARS25!G38+HISTOAVRIL25!G38+HISTOMAI25!G38+HISTOJUIN25!G38+HISTOJUIL25!G38+HISTOAOUT25!G38+HISTOSEPT25!G38+HISTOOCT25!G38+HISTONOV25!G38+HISTODEC25!G38</f>
        <v>279500</v>
      </c>
      <c r="H38" s="5">
        <f>HISTOJANV25!H38+HISTOFEV25!H38+HISTOMARS25!H38+HISTOAVRIL25!H38+HISTOMAI25!H38+HISTOJUIN25!H38+HISTOJUIL25!H38+HISTOAOUT25!H38+HISTOSEPT25!H38+HISTOOCT25!H38+HISTONOV25!H38+HISTODEC25!H38</f>
        <v>21000</v>
      </c>
      <c r="I38" s="5"/>
      <c r="J38" s="5">
        <f>HISTOJANV25!J38+HISTOFEV25!J38+HISTOMARS25!J38+HISTOAVRIL25!J38+HISTOMAI25!J38+HISTOJUIN25!J38+HISTOJUIL25!J38+HISTOAOUT25!J38+HISTOSEPT25!J38+HISTOOCT25!J38+HISTONOV25!J38+HISTODEC25!J38</f>
        <v>12</v>
      </c>
      <c r="K38" s="5">
        <f>HISTOJANV25!K38+HISTOFEV25!K38+HISTOMARS25!K38+HISTOAVRIL25!K38+HISTOMAI25!K38+HISTOJUIN25!K38+HISTOJUIL25!K38+HISTOAOUT25!K38+HISTOSEPT25!K38+HISTOOCT25!K38+HISTONOV25!K38+HISTODEC25!K38</f>
        <v>600000</v>
      </c>
      <c r="L38" s="5">
        <f>HISTOJANV25!L38+HISTOFEV25!L38+HISTOMARS25!L38+HISTOAVRIL25!L38+HISTOMAI25!L38+HISTOJUIN25!L38+HISTOJUIL25!L38+HISTOAOUT25!L38+HISTOSEPT25!L38+HISTOOCT25!L38+HISTONOV25!L38+HISTODEC25!L38</f>
        <v>0</v>
      </c>
      <c r="M38" s="5">
        <f>HISTOJANV25!M38+HISTOFEV25!M38+HISTOMARS25!M38+HISTOAVRIL25!M38+HISTOMAI25!M38+HISTOJUIN25!M38+HISTOJUIL25!M38+HISTOAOUT25!M38+HISTOSEPT25!M38+HISTOOCT25!M38+HISTONOV25!M38+HISTODEC25!M38</f>
        <v>0</v>
      </c>
      <c r="N38" s="5">
        <f>HISTOJANV25!N38+HISTOFEV25!N38+HISTOMARS25!N38+HISTOAVRIL25!N38+HISTOMAI25!N38+HISTOJUIN25!N38+HISTOJUIL25!N38+HISTOAOUT25!N38+HISTOSEPT25!N38+HISTOOCT25!N38+HISTONOV25!N38+HISTODEC25!N38</f>
        <v>0</v>
      </c>
      <c r="O38" s="5">
        <f>HISTOJANV25!O38+HISTOFEV25!O38+HISTOMARS25!O38+HISTOAVRIL25!O38+HISTOMAI25!O38+HISTOJUIN25!O38+HISTOJUIL25!O38+HISTOAOUT25!O38+HISTOSEPT25!O38+HISTOOCT25!O38+HISTONOV25!O38+HISTODEC25!O38</f>
        <v>0</v>
      </c>
      <c r="P38" s="5">
        <f>HISTOJANV25!P38+HISTOFEV25!P38+HISTOMARS25!P38+HISTOAVRIL25!P38+HISTOMAI25!P38+HISTOJUIN25!P38+HISTOJUIL25!P38+HISTOAOUT25!P38+HISTOSEPT25!P38+HISTOOCT25!P38+HISTONOV25!P38+HISTODEC25!P38</f>
        <v>0</v>
      </c>
      <c r="Q38" s="5">
        <f>HISTOJANV25!Q38+HISTOFEV25!Q38+HISTOMARS25!Q38+HISTOAVRIL25!Q38+HISTOMAI25!Q38+HISTOJUIN25!Q38+HISTOJUIL25!Q38+HISTOAOUT25!Q38+HISTOSEPT25!Q38+HISTOOCT25!Q38+HISTONOV25!Q38+HISTODEC25!Q38</f>
        <v>0</v>
      </c>
      <c r="R38" s="5">
        <f>HISTOJANV25!R38+HISTOFEV25!R38+HISTOMARS25!R38+HISTOAVRIL25!R38+HISTOMAI25!R38+HISTOJUIN25!R38+HISTOJUIL25!R38+HISTOAOUT25!R38+HISTOSEPT25!R38+HISTOOCT25!R38+HISTONOV25!R38+HISTODEC25!R38</f>
        <v>0</v>
      </c>
      <c r="S38" s="5">
        <f>HISTOJANV25!S38+HISTOFEV25!S38+HISTOMARS25!S38+HISTOAVRIL25!S38+HISTOMAI25!S38+HISTOJUIN25!S38+HISTOJUIL25!S38+HISTOAOUT25!S38+HISTOSEPT25!S38+HISTOOCT25!S38+HISTONOV25!S38+HISTODEC25!S38</f>
        <v>0</v>
      </c>
      <c r="T38" s="5"/>
      <c r="U38" s="5">
        <f>HISTOJANV25!U38+HISTOFEV25!U38+HISTOMARS25!U38+HISTOAVRIL25!U38+HISTOMAI25!U38+HISTOJUIN25!U38+HISTOJUIL25!U38+HISTOAOUT25!U38+HISTOSEPT25!U38+HISTOOCT25!U38+HISTONOV25!U38+HISTODEC25!U38</f>
        <v>900500</v>
      </c>
      <c r="V38" s="5">
        <f>HISTOJANV25!V38+HISTOFEV25!V38+HISTOMARS25!V38+HISTOAVRIL25!V38+HISTOMAI25!V38+HISTOJUIN25!V38+HISTOJUIL25!V38+HISTOAOUT25!V38+HISTOSEPT25!V38+HISTOOCT25!V38+HISTONOV25!V38+HISTODEC25!V38</f>
        <v>0</v>
      </c>
      <c r="W38" s="5">
        <f>HISTOJANV25!W38+HISTOFEV25!W38+HISTOMARS25!W38+HISTOAVRIL25!W38+HISTOMAI25!W38+HISTOJUIN25!W38+HISTOJUIL25!W38+HISTOAOUT25!W38+HISTOSEPT25!W38+HISTOOCT25!W38+HISTONOV25!W38+HISTODEC25!W38</f>
        <v>0</v>
      </c>
      <c r="X38" s="5">
        <f>HISTOJANV25!X38+HISTOFEV25!X38+HISTOMARS25!X38+HISTOAVRIL25!X38+HISTOMAI25!X38+HISTOJUIN25!X38+HISTOJUIL25!X38+HISTOAOUT25!X38+HISTOSEPT25!X38+HISTOOCT25!X38+HISTONOV25!X38+HISTODEC25!X38</f>
        <v>0</v>
      </c>
      <c r="Y38" s="5">
        <f>HISTOJANV25!Y38+HISTOFEV25!Y38+HISTOMARS25!Y38+HISTOAVRIL25!Y38+HISTOMAI25!Y38+HISTOJUIN25!Y38+HISTOJUIL25!Y38+HISTOAOUT25!Y38+HISTOSEPT25!Y38+HISTOOCT25!Y38+HISTONOV25!Y38+HISTODEC25!Y38</f>
        <v>600000</v>
      </c>
      <c r="Z38" s="5">
        <f>HISTOJANV25!Z38+HISTOFEV25!Z38+HISTOMARS25!Z38+HISTOAVRIL25!Z38+HISTOMAI25!Z38+HISTOJUIN25!Z38+HISTOJUIL25!Z38+HISTOAOUT25!Z38+HISTOSEPT25!Z38+HISTOOCT25!Z38+HISTONOV25!Z38+HISTODEC25!Z38</f>
        <v>0</v>
      </c>
      <c r="AA38" s="5"/>
      <c r="AB38" s="5">
        <f>HISTOJANV25!AB38+HISTOFEV25!AB38+HISTOMARS25!AB38+HISTOAVRIL25!AB38+HISTOMAI25!AB38+HISTOJUIN25!AB38+HISTOJUIL25!AB38+HISTOAOUT25!AB38+HISTOSEPT25!AB38+HISTOOCT25!AB38+HISTONOV25!AB38+HISTODEC25!AB38</f>
        <v>0</v>
      </c>
      <c r="AC38" s="5">
        <f>HISTOJANV25!AC38+HISTOFEV25!AC38+HISTOMARS25!AC38+HISTOAVRIL25!AC38+HISTOMAI25!AC38+HISTOJUIN25!AC38+HISTOJUIL25!AC38+HISTOAOUT25!AC38+HISTOSEPT25!AC38+HISTOOCT25!AC38+HISTONOV25!AC38+HISTODEC25!AC38</f>
        <v>2500</v>
      </c>
      <c r="AD38" s="5">
        <f>HISTOJANV25!AD38+HISTOFEV25!AD38+HISTOMARS25!AD38+HISTOAVRIL25!AD38+HISTOMAI25!AD38+HISTOJUIN25!AD38+HISTOJUIL25!AD38+HISTOAOUT25!AD38+HISTOSEPT25!AD38+HISTOOCT25!AD38+HISTONOV25!AD38+HISTODEC25!AD38</f>
        <v>0</v>
      </c>
      <c r="AE38" s="5">
        <f>HISTOJANV25!AE38+HISTOFEV25!AE38+HISTOMARS25!AE38+HISTOAVRIL25!AE38+HISTOMAI25!AE38+HISTOJUIN25!AE38+HISTOJUIL25!AE38+HISTOAOUT25!AE38+HISTOSEPT25!AE38+HISTOOCT25!AE38+HISTONOV25!AE38+HISTODEC25!AE38</f>
        <v>0</v>
      </c>
      <c r="AF38" s="5"/>
      <c r="AG38" s="5">
        <f>HISTOJANV25!AG38+HISTOFEV25!AG38+HISTOMARS25!AG38+HISTOAVRIL25!AG38+HISTOMAI25!AG38+HISTOJUIN25!AG38+HISTOJUIL25!AG38+HISTOAOUT25!AG38+HISTOSEPT25!AG38+HISTOOCT25!AG38+HISTONOV25!AG38+HISTODEC25!AG38</f>
        <v>0</v>
      </c>
      <c r="AH38" s="5">
        <f>HISTOJANV25!AH38+HISTOFEV25!AH38+HISTOMARS25!AH38+HISTOAVRIL25!AH38+HISTOMAI25!AH38+HISTOJUIN25!AH38+HISTOJUIL25!AH38+HISTOAOUT25!AH38+HISTOSEPT25!AH38+HISTOOCT25!AH38+HISTONOV25!AH38+HISTODEC25!AH38</f>
        <v>0</v>
      </c>
      <c r="AI38" s="5">
        <f>HISTOJANV25!AI38+HISTOFEV25!AI38+HISTOMARS25!AI38+HISTOAVRIL25!AI38+HISTOMAI25!AI38+HISTOJUIN25!AI38+HISTOJUIL25!AI38+HISTOAOUT25!AI38+HISTOSEPT25!AI38+HISTOOCT25!AI38+HISTONOV25!AI38+HISTODEC25!AI38</f>
        <v>0</v>
      </c>
      <c r="AJ38" s="5">
        <f>HISTOJANV25!AJ38+HISTOFEV25!AJ38+HISTOMARS25!AJ38+HISTOAVRIL25!AJ38+HISTOMAI25!AJ38+HISTOJUIN25!AJ38+HISTOJUIL25!AJ38+HISTOAOUT25!AJ38+HISTOSEPT25!AJ38+HISTOOCT25!AJ38+HISTONOV25!AJ38+HISTODEC25!AJ38</f>
        <v>0</v>
      </c>
      <c r="AK38" s="5">
        <f>HISTOJANV25!AK38+HISTOFEV25!AK38+HISTOMARS25!AK38+HISTOAVRIL25!AK38+HISTOMAI25!AK38+HISTOJUIN25!AK38+HISTOJUIL25!AK38+HISTOAOUT25!AK38+HISTOSEPT25!AK38+HISTOOCT25!AK38+HISTONOV25!AK38+HISTODEC25!AK38</f>
        <v>0</v>
      </c>
      <c r="AL38" s="5">
        <f>HISTOJANV25!AL38+HISTOFEV25!AL38+HISTOMARS25!AL38+HISTOAVRIL25!AL38+HISTOMAI25!AL38+HISTOJUIN25!AL38+HISTOJUIL25!AL38+HISTOAOUT25!AL38+HISTOSEPT25!AL38+HISTOOCT25!AL38+HISTONOV25!AL38+HISTODEC25!AL38</f>
        <v>0</v>
      </c>
      <c r="AM38" s="5">
        <f>HISTOJANV25!AM38+HISTOFEV25!AM38+HISTOMARS25!AM38+HISTOAVRIL25!AM38+HISTOMAI25!AM38+HISTOJUIN25!AM38+HISTOJUIL25!AM38+HISTOAOUT25!AM38+HISTOSEPT25!AM38+HISTOOCT25!AM38+HISTONOV25!AM38+HISTODEC25!AM38</f>
        <v>0</v>
      </c>
      <c r="AN38" s="5">
        <f>HISTOJANV25!AN38+HISTOFEV25!AN38+HISTOMARS25!AN38+HISTOAVRIL25!AN38+HISTOMAI25!AN38+HISTOJUIN25!AN38+HISTOJUIL25!AN38+HISTOAOUT25!AN38+HISTOSEPT25!AN38+HISTOOCT25!AN38+HISTONOV25!AN38+HISTODEC25!AN38</f>
        <v>0</v>
      </c>
      <c r="AO38" s="5">
        <f>HISTOJANV25!AO38+HISTOFEV25!AO38+HISTOMARS25!AO38+HISTOAVRIL25!AO38+HISTOMAI25!AO38+HISTOJUIN25!AO38+HISTOJUIL25!AO38+HISTOAOUT25!AO38+HISTOSEPT25!AO38+HISTOOCT25!AO38+HISTONOV25!AO38+HISTODEC25!AO38</f>
        <v>0</v>
      </c>
      <c r="AP38" s="5"/>
      <c r="AQ38" s="5">
        <f>HISTOJANV25!AQ38+HISTOFEV25!AQ38+HISTOMARS25!AQ38+HISTOAVRIL25!AQ38+HISTOMAI25!AQ38+HISTOJUIN25!AQ38+HISTOJUIL25!AQ38+HISTOAOUT25!AQ38+HISTOSEPT25!AQ38+HISTOOCT25!AQ38+HISTONOV25!AQ38+HISTODEC25!AQ38</f>
        <v>0</v>
      </c>
      <c r="AR38" s="5">
        <f>HISTOJANV25!AR38+HISTOFEV25!AR38+HISTOMARS25!AR38+HISTOAVRIL25!AR38+HISTOMAI25!AR38+HISTOJUIN25!AR38+HISTOJUIL25!AR38+HISTOAOUT25!AR38+HISTOSEPT25!AR38+HISTOOCT25!AR38+HISTONOV25!AR38+HISTODEC25!AR38</f>
        <v>0</v>
      </c>
      <c r="AS38" s="5">
        <f>HISTOJANV25!AS38+HISTOFEV25!AS38+HISTOMARS25!AS38+HISTOAVRIL25!AS38+HISTOMAI25!AS38+HISTOJUIN25!AS38+HISTOJUIL25!AS38+HISTOAOUT25!AS38+HISTOSEPT25!AS38+HISTOOCT25!AS38+HISTONOV25!AS38+HISTODEC25!AS38</f>
        <v>579500</v>
      </c>
      <c r="AT38" s="5">
        <f>HISTOJANV25!AT38+HISTOFEV25!AT38+HISTOMARS25!AT38+HISTOAVRIL25!AT38+HISTOMAI25!AT38+HISTOJUIN25!AT38+HISTOJUIL25!AT38+HISTOAOUT25!AT38+HISTOSEPT25!AT38+HISTOOCT25!AT38+HISTONOV25!AT38+HISTODEC25!AT38</f>
        <v>0</v>
      </c>
      <c r="AU38" s="5">
        <f>HISTOJANV25!AU38+HISTOFEV25!AU38+HISTOMARS25!AU38+HISTOAVRIL25!AU38+HISTOMAI25!AU38+HISTOJUIN25!AU38+HISTOJUIL25!AU38+HISTOAOUT25!AU38+HISTOSEPT25!AU38+HISTOOCT25!AU38+HISTONOV25!AU38+HISTODEC25!AU38</f>
        <v>0</v>
      </c>
      <c r="AV38" s="5">
        <f>HISTOJANV25!AV38+HISTOFEV25!AV38+HISTOMARS25!AV38+HISTOAVRIL25!AV38+HISTOMAI25!AV38+HISTOJUIN25!AV38+HISTOJUIL25!AV38+HISTOAOUT25!AV38+HISTOSEPT25!AV38+HISTOOCT25!AV38+HISTONOV25!AV38+HISTODEC25!AV38</f>
        <v>0</v>
      </c>
      <c r="AW38" s="5">
        <f>HISTOJANV25!AW38+HISTOFEV25!AW38+HISTOMARS25!AW38+HISTOAVRIL25!AW38+HISTOMAI25!AW38+HISTOJUIN25!AW38+HISTOJUIL25!AW38+HISTOAOUT25!AW38+HISTOSEPT25!AW38+HISTOOCT25!AW38+HISTONOV25!AW38+HISTODEC25!AW38</f>
        <v>297500</v>
      </c>
      <c r="AX38" s="5">
        <f>HISTOJANV25!AX38+HISTOFEV25!AX38+HISTOMARS25!AX38+HISTOAVRIL25!AX38+HISTOMAI25!AX38+HISTOJUIN25!AX38+HISTOJUIL25!AX38+HISTOAOUT25!AX38+HISTOSEPT25!AX38+HISTOOCT25!AX38+HISTONOV25!AX38+HISTODEC25!AX38</f>
        <v>0</v>
      </c>
      <c r="AY38" s="5">
        <f>HISTOJANV25!AY38+HISTOFEV25!AY38+HISTOMARS25!AY38+HISTOAVRIL25!AY38+HISTOMAI25!AY38+HISTOJUIN25!AY38+HISTOJUIL25!AY38+HISTOAOUT25!AY38+HISTOSEPT25!AY38+HISTOOCT25!AY38+HISTONOV25!AY38+HISTODEC25!AY38</f>
        <v>0</v>
      </c>
      <c r="AZ38" s="5">
        <f>HISTOJANV25!AZ38+HISTOFEV25!AZ38+HISTOMARS25!AZ38+HISTOAVRIL25!AZ38+HISTOMAI25!AZ38+HISTOJUIN25!AZ38+HISTOJUIL25!AZ38+HISTOAOUT25!AZ38+HISTOSEPT25!AZ38+HISTOOCT25!AZ38+HISTONOV25!AZ38+HISTODEC25!AZ38</f>
        <v>297500</v>
      </c>
      <c r="BA38" s="5">
        <f>HISTOJANV25!BA38+HISTOFEV25!BA38+HISTOMARS25!BA38+HISTOAVRIL25!BA38+HISTOMAI25!BA38+HISTOJUIN25!BA38+HISTOJUIL25!BA38+HISTOAOUT25!BA38+HISTOSEPT25!BA38+HISTOOCT25!BA38+HISTONOV25!BA38+HISTODEC25!BA38</f>
        <v>0</v>
      </c>
      <c r="BB38" s="5">
        <f>HISTOJANV25!BB38+HISTOFEV25!BB38+HISTOMARS25!BB38+HISTOAVRIL25!BB38+HISTOMAI25!BB38+HISTOJUIN25!BB38+HISTOJUIL25!BB38+HISTOAOUT25!BB38+HISTOSEPT25!BB38+HISTOOCT25!BB38+HISTONOV25!BB38+HISTODEC25!BB38</f>
        <v>0</v>
      </c>
      <c r="BC38" s="5">
        <f>HISTOJANV25!BC38+HISTOFEV25!BC38+HISTOMARS25!BC38+HISTOAVRIL25!BC38+HISTOMAI25!BC38+HISTOJUIN25!BC38+HISTOJUIL25!BC38+HISTOAOUT25!BC38+HISTOSEPT25!BC38+HISTOOCT25!BC38+HISTONOV25!BC38+HISTODEC25!BC38</f>
        <v>0</v>
      </c>
      <c r="BD38" s="5">
        <f>HISTOJANV25!BD38+HISTOFEV25!BD38+HISTOMARS25!BD38+HISTOAVRIL25!BD38+HISTOMAI25!BD38+HISTOJUIN25!BD38+HISTOJUIL25!BD38+HISTOAOUT25!BD38+HISTOSEPT25!BD38+HISTOOCT25!BD38+HISTONOV25!BD38+HISTODEC25!BD38</f>
        <v>297500</v>
      </c>
      <c r="BE38" s="5"/>
      <c r="BF38" s="5">
        <f>HISTOJANV25!BF38+HISTOFEV25!BF38+HISTOMARS25!BF38+HISTOAVRIL25!BF38+HISTOMAI25!BF38+HISTOJUIN25!BF38+HISTOJUIL25!BF38+HISTOAOUT25!BF38+HISTOSEPT25!BF38+HISTOOCT25!BF38+HISTONOV25!BF38+HISTODEC25!BF38</f>
        <v>0</v>
      </c>
      <c r="BG38" s="5">
        <f>HISTOJANV25!BG38+HISTOFEV25!BG38+HISTOMARS25!BG38+HISTOAVRIL25!BG38+HISTOMAI25!BG38+HISTOJUIN25!BG38+HISTOJUIL25!BG38+HISTOAOUT25!BG38+HISTOSEPT25!BG38+HISTOOCT25!BG38+HISTONOV25!BG38+HISTODEC25!BG38</f>
        <v>67</v>
      </c>
      <c r="BH38" s="5">
        <f>HISTOJANV25!BH38+HISTOFEV25!BH38+HISTOMARS25!BH38+HISTOAVRIL25!BH38+HISTOMAI25!BH38+HISTOJUIN25!BH38+HISTOJUIL25!BH38+HISTOAOUT25!BH38+HISTOSEPT25!BH38+HISTOOCT25!BH38+HISTONOV25!BH38+HISTODEC25!BH38</f>
        <v>0</v>
      </c>
      <c r="BI38" s="5">
        <f>HISTOJANV25!BI38+HISTOFEV25!BI38+HISTOMARS25!BI38+HISTOAVRIL25!BI38+HISTOMAI25!BI38+HISTOJUIN25!BI38+HISTOJUIL25!BI38+HISTOAOUT25!BI38+HISTOSEPT25!BI38+HISTOOCT25!BI38+HISTONOV25!BI38+HISTODEC25!BI38</f>
        <v>0</v>
      </c>
      <c r="BJ38" s="5">
        <f>HISTOJANV25!BJ38+HISTOFEV25!BJ38+HISTOMARS25!BJ38+HISTOAVRIL25!BJ38+HISTOMAI25!BJ38+HISTOJUIN25!BJ38+HISTOJUIL25!BJ38+HISTOAOUT25!BJ38+HISTOSEPT25!BJ38+HISTOOCT25!BJ38+HISTONOV25!BJ38+HISTODEC25!BJ38</f>
        <v>0</v>
      </c>
      <c r="BK38" s="5">
        <f>HISTOJANV25!BK38+HISTOFEV25!BK38+HISTOMARS25!BK38+HISTOAVRIL25!BK38+HISTOMAI25!BK38+HISTOJUIN25!BK38+HISTOJUIL25!BK38+HISTOAOUT25!BK38+HISTOSEPT25!BK38+HISTOOCT25!BK38+HISTONOV25!BK38+HISTODEC25!BK38</f>
        <v>0</v>
      </c>
      <c r="BL38" s="5">
        <f>HISTOJANV25!BL38+HISTOFEV25!BL38+HISTOMARS25!BL38+HISTOAVRIL25!BL38+HISTOMAI25!BL38+HISTOJUIN25!BL38+HISTOJUIL25!BL38+HISTOAOUT25!BL38+HISTOSEPT25!BL38+HISTOOCT25!BL38+HISTONOV25!BL38+HISTODEC25!BL38</f>
        <v>0</v>
      </c>
      <c r="BM38" s="5">
        <f>HISTOJANV25!BM38+HISTOFEV25!BM38+HISTOMARS25!BM38+HISTOAVRIL25!BM38+HISTOMAI25!BM38+HISTOJUIN25!BM38+HISTOJUIL25!BM38+HISTOAOUT25!BM38+HISTOSEPT25!BM38+HISTOOCT25!BM38+HISTONOV25!BM38+HISTODEC25!BM38</f>
        <v>0</v>
      </c>
      <c r="BN38" s="5">
        <f>HISTOJANV25!BN38+HISTOFEV25!BN38+HISTOMARS25!BN38+HISTOAVRIL25!BN38+HISTOMAI25!BN38+HISTOJUIN25!BN38+HISTOJUIL25!BN38+HISTOAOUT25!BN38+HISTOSEPT25!BN38+HISTOOCT25!BN38+HISTONOV25!BN38+HISTODEC25!BN38</f>
        <v>0</v>
      </c>
      <c r="BO38" s="62"/>
      <c r="BQ38" s="62"/>
    </row>
    <row r="39" spans="1:69" ht="17.5" x14ac:dyDescent="0.35">
      <c r="A39" s="21" t="s">
        <v>160</v>
      </c>
      <c r="B39" s="1" t="str">
        <f>VLOOKUP(A39,[5]LISTADHERENT!A$5:H$50,3,0)</f>
        <v>YANTCHOU GERVAIS</v>
      </c>
      <c r="C39" s="5">
        <f>HISTOJANV25!C39+HISTOFEV25!C39+HISTOMARS25!C39+HISTOAVRIL25!C39+HISTOMAI25!C39+HISTOJUIN25!C39+HISTOJUIL25!C39+HISTOAOUT25!C39+HISTOSEPT25!C39+HISTOOCT25!C39+HISTONOV25!C39+HISTODEC25!C39</f>
        <v>-994500</v>
      </c>
      <c r="D39" s="5">
        <f>HISTOJANV25!D39+HISTOFEV25!D39+HISTOMARS25!D39+HISTOAVRIL25!D39+HISTOMAI25!D39+HISTOJUIN25!D39+HISTOJUIL25!D39+HISTOAOUT25!D39+HISTOSEPT25!D39+HISTOOCT25!D39+HISTONOV25!D39+HISTODEC25!D39</f>
        <v>1796500</v>
      </c>
      <c r="E39" s="5">
        <f>HISTOJANV25!E39+HISTOFEV25!E39+HISTOMARS25!E39+HISTOAVRIL25!E39+HISTOMAI25!E39+HISTOJUIN25!E39+HISTOJUIL25!E39+HISTOAOUT25!E39+HISTOSEPT25!E39+HISTOOCT25!E39+HISTONOV25!E39+HISTODEC25!E39</f>
        <v>177500</v>
      </c>
      <c r="F39" s="5">
        <f>HISTOJANV25!F39+HISTOFEV25!F39+HISTOMARS25!F39+HISTOAVRIL25!F39+HISTOMAI25!F39+HISTOJUIN25!F39+HISTOJUIL25!F39+HISTOAOUT25!F39+HISTOSEPT25!F39+HISTOOCT25!F39+HISTONOV25!F39+HISTODEC25!F39</f>
        <v>0</v>
      </c>
      <c r="G39" s="5">
        <f>HISTOJANV25!G39+HISTOFEV25!G39+HISTOMARS25!G39+HISTOAVRIL25!G39+HISTOMAI25!G39+HISTOJUIN25!G39+HISTOJUIL25!G39+HISTOAOUT25!G39+HISTOSEPT25!G39+HISTOOCT25!G39+HISTONOV25!G39+HISTODEC25!G39</f>
        <v>10000</v>
      </c>
      <c r="H39" s="5">
        <f>HISTOJANV25!H39+HISTOFEV25!H39+HISTOMARS25!H39+HISTOAVRIL25!H39+HISTOMAI25!H39+HISTOJUIN25!H39+HISTOJUIL25!H39+HISTOAOUT25!H39+HISTOSEPT25!H39+HISTOOCT25!H39+HISTONOV25!H39+HISTODEC25!H39</f>
        <v>0</v>
      </c>
      <c r="I39" s="5"/>
      <c r="J39" s="5">
        <f>HISTOJANV25!J39+HISTOFEV25!J39+HISTOMARS25!J39+HISTOAVRIL25!J39+HISTOMAI25!J39+HISTOJUIN25!J39+HISTOJUIL25!J39+HISTOAOUT25!J39+HISTOSEPT25!J39+HISTOOCT25!J39+HISTONOV25!J39+HISTODEC25!J39</f>
        <v>12</v>
      </c>
      <c r="K39" s="5">
        <f>HISTOJANV25!K39+HISTOFEV25!K39+HISTOMARS25!K39+HISTOAVRIL25!K39+HISTOMAI25!K39+HISTOJUIN25!K39+HISTOJUIL25!K39+HISTOAOUT25!K39+HISTOSEPT25!K39+HISTOOCT25!K39+HISTONOV25!K39+HISTODEC25!K39</f>
        <v>600000</v>
      </c>
      <c r="L39" s="5">
        <f>HISTOJANV25!L39+HISTOFEV25!L39+HISTOMARS25!L39+HISTOAVRIL25!L39+HISTOMAI25!L39+HISTOJUIN25!L39+HISTOJUIL25!L39+HISTOAOUT25!L39+HISTOSEPT25!L39+HISTOOCT25!L39+HISTONOV25!L39+HISTODEC25!L39</f>
        <v>12</v>
      </c>
      <c r="M39" s="5">
        <f>HISTOJANV25!M39+HISTOFEV25!M39+HISTOMARS25!M39+HISTOAVRIL25!M39+HISTOMAI25!M39+HISTOJUIN25!M39+HISTOJUIL25!M39+HISTOAOUT25!M39+HISTOSEPT25!M39+HISTOOCT25!M39+HISTONOV25!M39+HISTODEC25!M39</f>
        <v>900000</v>
      </c>
      <c r="N39" s="5">
        <f>HISTOJANV25!N39+HISTOFEV25!N39+HISTOMARS25!N39+HISTOAVRIL25!N39+HISTOMAI25!N39+HISTOJUIN25!N39+HISTOJUIL25!N39+HISTOAOUT25!N39+HISTOSEPT25!N39+HISTOOCT25!N39+HISTONOV25!N39+HISTODEC25!N39</f>
        <v>0</v>
      </c>
      <c r="O39" s="5">
        <f>HISTOJANV25!O39+HISTOFEV25!O39+HISTOMARS25!O39+HISTOAVRIL25!O39+HISTOMAI25!O39+HISTOJUIN25!O39+HISTOJUIL25!O39+HISTOAOUT25!O39+HISTOSEPT25!O39+HISTOOCT25!O39+HISTONOV25!O39+HISTODEC25!O39</f>
        <v>0</v>
      </c>
      <c r="P39" s="5">
        <f>HISTOJANV25!P39+HISTOFEV25!P39+HISTOMARS25!P39+HISTOAVRIL25!P39+HISTOMAI25!P39+HISTOJUIN25!P39+HISTOJUIL25!P39+HISTOAOUT25!P39+HISTOSEPT25!P39+HISTOOCT25!P39+HISTONOV25!P39+HISTODEC25!P39</f>
        <v>51000</v>
      </c>
      <c r="Q39" s="5">
        <f>HISTOJANV25!Q39+HISTOFEV25!Q39+HISTOMARS25!Q39+HISTOAVRIL25!Q39+HISTOMAI25!Q39+HISTOJUIN25!Q39+HISTOJUIL25!Q39+HISTOAOUT25!Q39+HISTOSEPT25!Q39+HISTOOCT25!Q39+HISTONOV25!Q39+HISTODEC25!Q39</f>
        <v>407500</v>
      </c>
      <c r="R39" s="5">
        <f>HISTOJANV25!R39+HISTOFEV25!R39+HISTOMARS25!R39+HISTOAVRIL25!R39+HISTOMAI25!R39+HISTOJUIN25!R39+HISTOJUIL25!R39+HISTOAOUT25!R39+HISTOSEPT25!R39+HISTOOCT25!R39+HISTONOV25!R39+HISTODEC25!R39</f>
        <v>0</v>
      </c>
      <c r="S39" s="5">
        <f>HISTOJANV25!S39+HISTOFEV25!S39+HISTOMARS25!S39+HISTOAVRIL25!S39+HISTOMAI25!S39+HISTOJUIN25!S39+HISTOJUIL25!S39+HISTOAOUT25!S39+HISTOSEPT25!S39+HISTOOCT25!S39+HISTONOV25!S39+HISTODEC25!S39</f>
        <v>1000000</v>
      </c>
      <c r="T39" s="5"/>
      <c r="U39" s="5">
        <f>HISTOJANV25!U39+HISTOFEV25!U39+HISTOMARS25!U39+HISTOAVRIL25!U39+HISTOMAI25!U39+HISTOJUIN25!U39+HISTOJUIL25!U39+HISTOAOUT25!U39+HISTOSEPT25!U39+HISTOOCT25!U39+HISTONOV25!U39+HISTODEC25!U39</f>
        <v>2968500</v>
      </c>
      <c r="V39" s="5">
        <f>HISTOJANV25!V39+HISTOFEV25!V39+HISTOMARS25!V39+HISTOAVRIL25!V39+HISTOMAI25!V39+HISTOJUIN25!V39+HISTOJUIL25!V39+HISTOAOUT25!V39+HISTOSEPT25!V39+HISTOOCT25!V39+HISTONOV25!V39+HISTODEC25!V39</f>
        <v>0</v>
      </c>
      <c r="W39" s="5">
        <f>HISTOJANV25!W39+HISTOFEV25!W39+HISTOMARS25!W39+HISTOAVRIL25!W39+HISTOMAI25!W39+HISTOJUIN25!W39+HISTOJUIL25!W39+HISTOAOUT25!W39+HISTOSEPT25!W39+HISTOOCT25!W39+HISTONOV25!W39+HISTODEC25!W39</f>
        <v>0</v>
      </c>
      <c r="X39" s="5">
        <f>HISTOJANV25!X39+HISTOFEV25!X39+HISTOMARS25!X39+HISTOAVRIL25!X39+HISTOMAI25!X39+HISTOJUIN25!X39+HISTOJUIL25!X39+HISTOAOUT25!X39+HISTOSEPT25!X39+HISTOOCT25!X39+HISTONOV25!X39+HISTODEC25!X39</f>
        <v>0</v>
      </c>
      <c r="Y39" s="5">
        <f>HISTOJANV25!Y39+HISTOFEV25!Y39+HISTOMARS25!Y39+HISTOAVRIL25!Y39+HISTOMAI25!Y39+HISTOJUIN25!Y39+HISTOJUIL25!Y39+HISTOAOUT25!Y39+HISTOSEPT25!Y39+HISTOOCT25!Y39+HISTONOV25!Y39+HISTODEC25!Y39</f>
        <v>1500000</v>
      </c>
      <c r="Z39" s="5">
        <f>HISTOJANV25!Z39+HISTOFEV25!Z39+HISTOMARS25!Z39+HISTOAVRIL25!Z39+HISTOMAI25!Z39+HISTOJUIN25!Z39+HISTOJUIL25!Z39+HISTOAOUT25!Z39+HISTOSEPT25!Z39+HISTOOCT25!Z39+HISTONOV25!Z39+HISTODEC25!Z39</f>
        <v>500000</v>
      </c>
      <c r="AA39" s="5"/>
      <c r="AB39" s="5">
        <f>HISTOJANV25!AB39+HISTOFEV25!AB39+HISTOMARS25!AB39+HISTOAVRIL25!AB39+HISTOMAI25!AB39+HISTOJUIN25!AB39+HISTOJUIL25!AB39+HISTOAOUT25!AB39+HISTOSEPT25!AB39+HISTOOCT25!AB39+HISTONOV25!AB39+HISTODEC25!AB39</f>
        <v>0</v>
      </c>
      <c r="AC39" s="5">
        <f>HISTOJANV25!AC39+HISTOFEV25!AC39+HISTOMARS25!AC39+HISTOAVRIL25!AC39+HISTOMAI25!AC39+HISTOJUIN25!AC39+HISTOJUIL25!AC39+HISTOAOUT25!AC39+HISTOSEPT25!AC39+HISTOOCT25!AC39+HISTONOV25!AC39+HISTODEC25!AC39</f>
        <v>40000</v>
      </c>
      <c r="AD39" s="5">
        <f>HISTOJANV25!AD39+HISTOFEV25!AD39+HISTOMARS25!AD39+HISTOAVRIL25!AD39+HISTOMAI25!AD39+HISTOJUIN25!AD39+HISTOJUIL25!AD39+HISTOAOUT25!AD39+HISTOSEPT25!AD39+HISTOOCT25!AD39+HISTONOV25!AD39+HISTODEC25!AD39</f>
        <v>7500</v>
      </c>
      <c r="AE39" s="5">
        <f>HISTOJANV25!AE39+HISTOFEV25!AE39+HISTOMARS25!AE39+HISTOAVRIL25!AE39+HISTOMAI25!AE39+HISTOJUIN25!AE39+HISTOJUIL25!AE39+HISTOAOUT25!AE39+HISTOSEPT25!AE39+HISTOOCT25!AE39+HISTONOV25!AE39+HISTODEC25!AE39</f>
        <v>0</v>
      </c>
      <c r="AF39" s="5"/>
      <c r="AG39" s="5">
        <f>HISTOJANV25!AG39+HISTOFEV25!AG39+HISTOMARS25!AG39+HISTOAVRIL25!AG39+HISTOMAI25!AG39+HISTOJUIN25!AG39+HISTOJUIL25!AG39+HISTOAOUT25!AG39+HISTOSEPT25!AG39+HISTOOCT25!AG39+HISTONOV25!AG39+HISTODEC25!AG39</f>
        <v>0</v>
      </c>
      <c r="AH39" s="5">
        <f>HISTOJANV25!AH39+HISTOFEV25!AH39+HISTOMARS25!AH39+HISTOAVRIL25!AH39+HISTOMAI25!AH39+HISTOJUIN25!AH39+HISTOJUIL25!AH39+HISTOAOUT25!AH39+HISTOSEPT25!AH39+HISTOOCT25!AH39+HISTONOV25!AH39+HISTODEC25!AH39</f>
        <v>0</v>
      </c>
      <c r="AI39" s="5">
        <f>HISTOJANV25!AI39+HISTOFEV25!AI39+HISTOMARS25!AI39+HISTOAVRIL25!AI39+HISTOMAI25!AI39+HISTOJUIN25!AI39+HISTOJUIL25!AI39+HISTOAOUT25!AI39+HISTOSEPT25!AI39+HISTOOCT25!AI39+HISTONOV25!AI39+HISTODEC25!AI39</f>
        <v>50000</v>
      </c>
      <c r="AJ39" s="5">
        <f>HISTOJANV25!AJ39+HISTOFEV25!AJ39+HISTOMARS25!AJ39+HISTOAVRIL25!AJ39+HISTOMAI25!AJ39+HISTOJUIN25!AJ39+HISTOJUIL25!AJ39+HISTOAOUT25!AJ39+HISTOSEPT25!AJ39+HISTOOCT25!AJ39+HISTONOV25!AJ39+HISTODEC25!AJ39</f>
        <v>400000</v>
      </c>
      <c r="AK39" s="5">
        <f>HISTOJANV25!AK39+HISTOFEV25!AK39+HISTOMARS25!AK39+HISTOAVRIL25!AK39+HISTOMAI25!AK39+HISTOJUIN25!AK39+HISTOJUIL25!AK39+HISTOAOUT25!AK39+HISTOSEPT25!AK39+HISTOOCT25!AK39+HISTONOV25!AK39+HISTODEC25!AK39</f>
        <v>0</v>
      </c>
      <c r="AL39" s="5">
        <f>HISTOJANV25!AL39+HISTOFEV25!AL39+HISTOMARS25!AL39+HISTOAVRIL25!AL39+HISTOMAI25!AL39+HISTOJUIN25!AL39+HISTOJUIL25!AL39+HISTOAOUT25!AL39+HISTOSEPT25!AL39+HISTOOCT25!AL39+HISTONOV25!AL39+HISTODEC25!AL39</f>
        <v>1000</v>
      </c>
      <c r="AM39" s="5">
        <f>HISTOJANV25!AM39+HISTOFEV25!AM39+HISTOMARS25!AM39+HISTOAVRIL25!AM39+HISTOMAI25!AM39+HISTOJUIN25!AM39+HISTOJUIL25!AM39+HISTOAOUT25!AM39+HISTOSEPT25!AM39+HISTOOCT25!AM39+HISTONOV25!AM39+HISTODEC25!AM39</f>
        <v>7500</v>
      </c>
      <c r="AN39" s="5">
        <f>HISTOJANV25!AN39+HISTOFEV25!AN39+HISTOMARS25!AN39+HISTOAVRIL25!AN39+HISTOMAI25!AN39+HISTOJUIN25!AN39+HISTOJUIL25!AN39+HISTOAOUT25!AN39+HISTOSEPT25!AN39+HISTOOCT25!AN39+HISTONOV25!AN39+HISTODEC25!AN39</f>
        <v>0</v>
      </c>
      <c r="AO39" s="5">
        <f>HISTOJANV25!AO39+HISTOFEV25!AO39+HISTOMARS25!AO39+HISTOAVRIL25!AO39+HISTOMAI25!AO39+HISTOJUIN25!AO39+HISTOJUIL25!AO39+HISTOAOUT25!AO39+HISTOSEPT25!AO39+HISTOOCT25!AO39+HISTONOV25!AO39+HISTODEC25!AO39</f>
        <v>0</v>
      </c>
      <c r="AP39" s="5"/>
      <c r="AQ39" s="5">
        <f>HISTOJANV25!AQ39+HISTOFEV25!AQ39+HISTOMARS25!AQ39+HISTOAVRIL25!AQ39+HISTOMAI25!AQ39+HISTOJUIN25!AQ39+HISTOJUIL25!AQ39+HISTOAOUT25!AQ39+HISTOSEPT25!AQ39+HISTOOCT25!AQ39+HISTONOV25!AQ39+HISTODEC25!AQ39</f>
        <v>0</v>
      </c>
      <c r="AR39" s="5">
        <f>HISTOJANV25!AR39+HISTOFEV25!AR39+HISTOMARS25!AR39+HISTOAVRIL25!AR39+HISTOMAI25!AR39+HISTOJUIN25!AR39+HISTOJUIL25!AR39+HISTOAOUT25!AR39+HISTOSEPT25!AR39+HISTOOCT25!AR39+HISTONOV25!AR39+HISTODEC25!AR39</f>
        <v>0</v>
      </c>
      <c r="AS39" s="5">
        <f>HISTOJANV25!AS39+HISTOFEV25!AS39+HISTOMARS25!AS39+HISTOAVRIL25!AS39+HISTOMAI25!AS39+HISTOJUIN25!AS39+HISTOJUIL25!AS39+HISTOAOUT25!AS39+HISTOSEPT25!AS39+HISTOOCT25!AS39+HISTONOV25!AS39+HISTODEC25!AS39</f>
        <v>310000</v>
      </c>
      <c r="AT39" s="5">
        <f>HISTOJANV25!AT39+HISTOFEV25!AT39+HISTOMARS25!AT39+HISTOAVRIL25!AT39+HISTOMAI25!AT39+HISTOJUIN25!AT39+HISTOJUIL25!AT39+HISTOAOUT25!AT39+HISTOSEPT25!AT39+HISTOOCT25!AT39+HISTONOV25!AT39+HISTODEC25!AT39</f>
        <v>0</v>
      </c>
      <c r="AU39" s="5">
        <f>HISTOJANV25!AU39+HISTOFEV25!AU39+HISTOMARS25!AU39+HISTOAVRIL25!AU39+HISTOMAI25!AU39+HISTOJUIN25!AU39+HISTOJUIL25!AU39+HISTOAOUT25!AU39+HISTOSEPT25!AU39+HISTOOCT25!AU39+HISTONOV25!AU39+HISTODEC25!AU39</f>
        <v>0</v>
      </c>
      <c r="AV39" s="5">
        <f>HISTOJANV25!AV39+HISTOFEV25!AV39+HISTOMARS25!AV39+HISTOAVRIL25!AV39+HISTOMAI25!AV39+HISTOJUIN25!AV39+HISTOJUIL25!AV39+HISTOAOUT25!AV39+HISTOSEPT25!AV39+HISTOOCT25!AV39+HISTONOV25!AV39+HISTODEC25!AV39</f>
        <v>0</v>
      </c>
      <c r="AW39" s="5">
        <f>HISTOJANV25!AW39+HISTOFEV25!AW39+HISTOMARS25!AW39+HISTOAVRIL25!AW39+HISTOMAI25!AW39+HISTOJUIN25!AW39+HISTOJUIL25!AW39+HISTOAOUT25!AW39+HISTOSEPT25!AW39+HISTOOCT25!AW39+HISTONOV25!AW39+HISTODEC25!AW39</f>
        <v>310000</v>
      </c>
      <c r="AX39" s="5">
        <f>HISTOJANV25!AX39+HISTOFEV25!AX39+HISTOMARS25!AX39+HISTOAVRIL25!AX39+HISTOMAI25!AX39+HISTOJUIN25!AX39+HISTOJUIL25!AX39+HISTOAOUT25!AX39+HISTOSEPT25!AX39+HISTOOCT25!AX39+HISTONOV25!AX39+HISTODEC25!AX39</f>
        <v>1292500</v>
      </c>
      <c r="AY39" s="5">
        <f>HISTOJANV25!AY39+HISTOFEV25!AY39+HISTOMARS25!AY39+HISTOAVRIL25!AY39+HISTOMAI25!AY39+HISTOJUIN25!AY39+HISTOJUIL25!AY39+HISTOAOUT25!AY39+HISTOSEPT25!AY39+HISTOOCT25!AY39+HISTONOV25!AY39+HISTODEC25!AY39</f>
        <v>0</v>
      </c>
      <c r="AZ39" s="5">
        <f>HISTOJANV25!AZ39+HISTOFEV25!AZ39+HISTOMARS25!AZ39+HISTOAVRIL25!AZ39+HISTOMAI25!AZ39+HISTOJUIN25!AZ39+HISTOJUIL25!AZ39+HISTOAOUT25!AZ39+HISTOSEPT25!AZ39+HISTOOCT25!AZ39+HISTONOV25!AZ39+HISTODEC25!AZ39</f>
        <v>2072500</v>
      </c>
      <c r="BA39" s="5">
        <f>HISTOJANV25!BA39+HISTOFEV25!BA39+HISTOMARS25!BA39+HISTOAVRIL25!BA39+HISTOMAI25!BA39+HISTOJUIN25!BA39+HISTOJUIL25!BA39+HISTOAOUT25!BA39+HISTOSEPT25!BA39+HISTOOCT25!BA39+HISTONOV25!BA39+HISTODEC25!BA39</f>
        <v>720000</v>
      </c>
      <c r="BB39" s="5">
        <f>HISTOJANV25!BB39+HISTOFEV25!BB39+HISTOMARS25!BB39+HISTOAVRIL25!BB39+HISTOMAI25!BB39+HISTOJUIN25!BB39+HISTOJUIL25!BB39+HISTOAOUT25!BB39+HISTOSEPT25!BB39+HISTOOCT25!BB39+HISTONOV25!BB39+HISTODEC25!BB39</f>
        <v>0</v>
      </c>
      <c r="BC39" s="5">
        <f>HISTOJANV25!BC39+HISTOFEV25!BC39+HISTOMARS25!BC39+HISTOAVRIL25!BC39+HISTOMAI25!BC39+HISTOJUIN25!BC39+HISTOJUIL25!BC39+HISTOAOUT25!BC39+HISTOSEPT25!BC39+HISTOOCT25!BC39+HISTONOV25!BC39+HISTODEC25!BC39</f>
        <v>0</v>
      </c>
      <c r="BD39" s="5">
        <f>HISTOJANV25!BD39+HISTOFEV25!BD39+HISTOMARS25!BD39+HISTOAVRIL25!BD39+HISTOMAI25!BD39+HISTOJUIN25!BD39+HISTOJUIL25!BD39+HISTOAOUT25!BD39+HISTOSEPT25!BD39+HISTOOCT25!BD39+HISTONOV25!BD39+HISTODEC25!BD39</f>
        <v>455000</v>
      </c>
      <c r="BE39" s="5"/>
      <c r="BF39" s="5">
        <f>HISTOJANV25!BF39+HISTOFEV25!BF39+HISTOMARS25!BF39+HISTOAVRIL25!BF39+HISTOMAI25!BF39+HISTOJUIN25!BF39+HISTOJUIL25!BF39+HISTOAOUT25!BF39+HISTOSEPT25!BF39+HISTOOCT25!BF39+HISTONOV25!BF39+HISTODEC25!BF39</f>
        <v>30000</v>
      </c>
      <c r="BG39" s="5">
        <f>HISTOJANV25!BG39+HISTOFEV25!BG39+HISTOMARS25!BG39+HISTOAVRIL25!BG39+HISTOMAI25!BG39+HISTOJUIN25!BG39+HISTOJUIL25!BG39+HISTOAOUT25!BG39+HISTOSEPT25!BG39+HISTOOCT25!BG39+HISTONOV25!BG39+HISTODEC25!BG39</f>
        <v>72</v>
      </c>
      <c r="BH39" s="5">
        <f>HISTOJANV25!BH39+HISTOFEV25!BH39+HISTOMARS25!BH39+HISTOAVRIL25!BH39+HISTOMAI25!BH39+HISTOJUIN25!BH39+HISTOJUIL25!BH39+HISTOAOUT25!BH39+HISTOSEPT25!BH39+HISTOOCT25!BH39+HISTONOV25!BH39+HISTODEC25!BH39</f>
        <v>0</v>
      </c>
      <c r="BI39" s="5">
        <f>HISTOJANV25!BI39+HISTOFEV25!BI39+HISTOMARS25!BI39+HISTOAVRIL25!BI39+HISTOMAI25!BI39+HISTOJUIN25!BI39+HISTOJUIL25!BI39+HISTOAOUT25!BI39+HISTOSEPT25!BI39+HISTOOCT25!BI39+HISTONOV25!BI39+HISTODEC25!BI39</f>
        <v>0</v>
      </c>
      <c r="BJ39" s="5">
        <f>HISTOJANV25!BJ39+HISTOFEV25!BJ39+HISTOMARS25!BJ39+HISTOAVRIL25!BJ39+HISTOMAI25!BJ39+HISTOJUIN25!BJ39+HISTOJUIL25!BJ39+HISTOAOUT25!BJ39+HISTOSEPT25!BJ39+HISTOOCT25!BJ39+HISTONOV25!BJ39+HISTODEC25!BJ39</f>
        <v>0</v>
      </c>
      <c r="BK39" s="5">
        <f>HISTOJANV25!BK39+HISTOFEV25!BK39+HISTOMARS25!BK39+HISTOAVRIL25!BK39+HISTOMAI25!BK39+HISTOJUIN25!BK39+HISTOJUIL25!BK39+HISTOAOUT25!BK39+HISTOSEPT25!BK39+HISTOOCT25!BK39+HISTONOV25!BK39+HISTODEC25!BK39</f>
        <v>0</v>
      </c>
      <c r="BL39" s="5">
        <f>HISTOJANV25!BL39+HISTOFEV25!BL39+HISTOMARS25!BL39+HISTOAVRIL25!BL39+HISTOMAI25!BL39+HISTOJUIN25!BL39+HISTOJUIL25!BL39+HISTOAOUT25!BL39+HISTOSEPT25!BL39+HISTOOCT25!BL39+HISTONOV25!BL39+HISTODEC25!BL39</f>
        <v>0</v>
      </c>
      <c r="BM39" s="5">
        <f>HISTOJANV25!BM39+HISTOFEV25!BM39+HISTOMARS25!BM39+HISTOAVRIL25!BM39+HISTOMAI25!BM39+HISTOJUIN25!BM39+HISTOJUIL25!BM39+HISTOAOUT25!BM39+HISTOSEPT25!BM39+HISTOOCT25!BM39+HISTONOV25!BM39+HISTODEC25!BM39</f>
        <v>0</v>
      </c>
      <c r="BN39" s="5">
        <f>HISTOJANV25!BN39+HISTOFEV25!BN39+HISTOMARS25!BN39+HISTOAVRIL25!BN39+HISTOMAI25!BN39+HISTOJUIN25!BN39+HISTOJUIL25!BN39+HISTOAOUT25!BN39+HISTOSEPT25!BN39+HISTOOCT25!BN39+HISTONOV25!BN39+HISTODEC25!BN39</f>
        <v>0</v>
      </c>
    </row>
    <row r="40" spans="1:69" ht="17.5" x14ac:dyDescent="0.35">
      <c r="A40" s="1" t="s">
        <v>40</v>
      </c>
      <c r="B40" s="1" t="str">
        <f>VLOOKUP(A40,[5]LISTADHERENT!A$5:H$50,3,0)</f>
        <v>YEPMOU JEAN JACQUES</v>
      </c>
      <c r="C40" s="5">
        <f>HISTOJANV25!C40+HISTOFEV25!C40+HISTOMARS25!C40+HISTOAVRIL25!C40+HISTOMAI25!C40+HISTOJUIN25!C40+HISTOJUIL25!C40+HISTOAOUT25!C40+HISTOSEPT25!C40+HISTOOCT25!C40+HISTONOV25!C40+HISTODEC25!C40</f>
        <v>0</v>
      </c>
      <c r="D40" s="5">
        <f>HISTOJANV25!D40+HISTOFEV25!D40+HISTOMARS25!D40+HISTOAVRIL25!D40+HISTOMAI25!D40+HISTOJUIN25!D40+HISTOJUIL25!D40+HISTOAOUT25!D40+HISTOSEPT25!D40+HISTOOCT25!D40+HISTONOV25!D40+HISTODEC25!D40</f>
        <v>350000</v>
      </c>
      <c r="E40" s="5">
        <f>HISTOJANV25!E40+HISTOFEV25!E40+HISTOMARS25!E40+HISTOAVRIL25!E40+HISTOMAI25!E40+HISTOJUIN25!E40+HISTOJUIL25!E40+HISTOAOUT25!E40+HISTOSEPT25!E40+HISTOOCT25!E40+HISTONOV25!E40+HISTODEC25!E40</f>
        <v>250000</v>
      </c>
      <c r="F40" s="5">
        <f>HISTOJANV25!F40+HISTOFEV25!F40+HISTOMARS25!F40+HISTOAVRIL25!F40+HISTOMAI25!F40+HISTOJUIN25!F40+HISTOJUIL25!F40+HISTOAOUT25!F40+HISTOSEPT25!F40+HISTOOCT25!F40+HISTONOV25!F40+HISTODEC25!F40</f>
        <v>0</v>
      </c>
      <c r="G40" s="5">
        <f>HISTOJANV25!G40+HISTOFEV25!G40+HISTOMARS25!G40+HISTOAVRIL25!G40+HISTOMAI25!G40+HISTOJUIN25!G40+HISTOJUIL25!G40+HISTOAOUT25!G40+HISTOSEPT25!G40+HISTOOCT25!G40+HISTONOV25!G40+HISTODEC25!G40</f>
        <v>-9000</v>
      </c>
      <c r="H40" s="5">
        <f>HISTOJANV25!H40+HISTOFEV25!H40+HISTOMARS25!H40+HISTOAVRIL25!H40+HISTOMAI25!H40+HISTOJUIN25!H40+HISTOJUIL25!H40+HISTOAOUT25!H40+HISTOSEPT25!H40+HISTOOCT25!H40+HISTONOV25!H40+HISTODEC25!H40</f>
        <v>9000</v>
      </c>
      <c r="I40" s="5"/>
      <c r="J40" s="5">
        <f>HISTOJANV25!J40+HISTOFEV25!J40+HISTOMARS25!J40+HISTOAVRIL25!J40+HISTOMAI25!J40+HISTOJUIN25!J40+HISTOJUIL25!J40+HISTOAOUT25!J40+HISTOSEPT25!J40+HISTOOCT25!J40+HISTONOV25!J40+HISTODEC25!J40</f>
        <v>12</v>
      </c>
      <c r="K40" s="5">
        <f>HISTOJANV25!K40+HISTOFEV25!K40+HISTOMARS25!K40+HISTOAVRIL25!K40+HISTOMAI25!K40+HISTOJUIN25!K40+HISTOJUIL25!K40+HISTOAOUT25!K40+HISTOSEPT25!K40+HISTOOCT25!K40+HISTONOV25!K40+HISTODEC25!K40</f>
        <v>600000</v>
      </c>
      <c r="L40" s="5">
        <f>HISTOJANV25!L40+HISTOFEV25!L40+HISTOMARS25!L40+HISTOAVRIL25!L40+HISTOMAI25!L40+HISTOJUIN25!L40+HISTOJUIL25!L40+HISTOAOUT25!L40+HISTOSEPT25!L40+HISTOOCT25!L40+HISTONOV25!L40+HISTODEC25!L40</f>
        <v>0</v>
      </c>
      <c r="M40" s="5">
        <f>HISTOJANV25!M40+HISTOFEV25!M40+HISTOMARS25!M40+HISTOAVRIL25!M40+HISTOMAI25!M40+HISTOJUIN25!M40+HISTOJUIL25!M40+HISTOAOUT25!M40+HISTOSEPT25!M40+HISTOOCT25!M40+HISTONOV25!M40+HISTODEC25!M40</f>
        <v>0</v>
      </c>
      <c r="N40" s="5">
        <f>HISTOJANV25!N40+HISTOFEV25!N40+HISTOMARS25!N40+HISTOAVRIL25!N40+HISTOMAI25!N40+HISTOJUIN25!N40+HISTOJUIL25!N40+HISTOAOUT25!N40+HISTOSEPT25!N40+HISTOOCT25!N40+HISTONOV25!N40+HISTODEC25!N40</f>
        <v>0</v>
      </c>
      <c r="O40" s="5">
        <f>HISTOJANV25!O40+HISTOFEV25!O40+HISTOMARS25!O40+HISTOAVRIL25!O40+HISTOMAI25!O40+HISTOJUIN25!O40+HISTOJUIL25!O40+HISTOAOUT25!O40+HISTOSEPT25!O40+HISTOOCT25!O40+HISTONOV25!O40+HISTODEC25!O40</f>
        <v>0</v>
      </c>
      <c r="P40" s="5">
        <f>HISTOJANV25!P40+HISTOFEV25!P40+HISTOMARS25!P40+HISTOAVRIL25!P40+HISTOMAI25!P40+HISTOJUIN25!P40+HISTOJUIL25!P40+HISTOAOUT25!P40+HISTOSEPT25!P40+HISTOOCT25!P40+HISTONOV25!P40+HISTODEC25!P40</f>
        <v>0</v>
      </c>
      <c r="Q40" s="5">
        <f>HISTOJANV25!Q40+HISTOFEV25!Q40+HISTOMARS25!Q40+HISTOAVRIL25!Q40+HISTOMAI25!Q40+HISTOJUIN25!Q40+HISTOJUIL25!Q40+HISTOAOUT25!Q40+HISTOSEPT25!Q40+HISTOOCT25!Q40+HISTONOV25!Q40+HISTODEC25!Q40</f>
        <v>0</v>
      </c>
      <c r="R40" s="5">
        <f>HISTOJANV25!R40+HISTOFEV25!R40+HISTOMARS25!R40+HISTOAVRIL25!R40+HISTOMAI25!R40+HISTOJUIN25!R40+HISTOJUIL25!R40+HISTOAOUT25!R40+HISTOSEPT25!R40+HISTOOCT25!R40+HISTONOV25!R40+HISTODEC25!R40</f>
        <v>0</v>
      </c>
      <c r="S40" s="5">
        <f>HISTOJANV25!S40+HISTOFEV25!S40+HISTOMARS25!S40+HISTOAVRIL25!S40+HISTOMAI25!S40+HISTOJUIN25!S40+HISTOJUIL25!S40+HISTOAOUT25!S40+HISTOSEPT25!S40+HISTOOCT25!S40+HISTONOV25!S40+HISTODEC25!S40</f>
        <v>0</v>
      </c>
      <c r="T40" s="5"/>
      <c r="U40" s="5">
        <f>HISTOJANV25!U40+HISTOFEV25!U40+HISTOMARS25!U40+HISTOAVRIL25!U40+HISTOMAI25!U40+HISTOJUIN25!U40+HISTOJUIL25!U40+HISTOAOUT25!U40+HISTOSEPT25!U40+HISTOOCT25!U40+HISTONOV25!U40+HISTODEC25!U40</f>
        <v>600000</v>
      </c>
      <c r="V40" s="5">
        <f>HISTOJANV25!V40+HISTOFEV25!V40+HISTOMARS25!V40+HISTOAVRIL25!V40+HISTOMAI25!V40+HISTOJUIN25!V40+HISTOJUIL25!V40+HISTOAOUT25!V40+HISTOSEPT25!V40+HISTOOCT25!V40+HISTONOV25!V40+HISTODEC25!V40</f>
        <v>0</v>
      </c>
      <c r="W40" s="5">
        <f>HISTOJANV25!W40+HISTOFEV25!W40+HISTOMARS25!W40+HISTOAVRIL25!W40+HISTOMAI25!W40+HISTOJUIN25!W40+HISTOJUIL25!W40+HISTOAOUT25!W40+HISTOSEPT25!W40+HISTOOCT25!W40+HISTONOV25!W40+HISTODEC25!W40</f>
        <v>0</v>
      </c>
      <c r="X40" s="5">
        <f>HISTOJANV25!X40+HISTOFEV25!X40+HISTOMARS25!X40+HISTOAVRIL25!X40+HISTOMAI25!X40+HISTOJUIN25!X40+HISTOJUIL25!X40+HISTOAOUT25!X40+HISTOSEPT25!X40+HISTOOCT25!X40+HISTONOV25!X40+HISTODEC25!X40</f>
        <v>0</v>
      </c>
      <c r="Y40" s="5">
        <f>HISTOJANV25!Y40+HISTOFEV25!Y40+HISTOMARS25!Y40+HISTOAVRIL25!Y40+HISTOMAI25!Y40+HISTOJUIN25!Y40+HISTOJUIL25!Y40+HISTOAOUT25!Y40+HISTOSEPT25!Y40+HISTOOCT25!Y40+HISTONOV25!Y40+HISTODEC25!Y40</f>
        <v>600000</v>
      </c>
      <c r="Z40" s="5">
        <f>HISTOJANV25!Z40+HISTOFEV25!Z40+HISTOMARS25!Z40+HISTOAVRIL25!Z40+HISTOMAI25!Z40+HISTOJUIN25!Z40+HISTOJUIL25!Z40+HISTOAOUT25!Z40+HISTOSEPT25!Z40+HISTOOCT25!Z40+HISTONOV25!Z40+HISTODEC25!Z40</f>
        <v>0</v>
      </c>
      <c r="AA40" s="5"/>
      <c r="AB40" s="5">
        <f>HISTOJANV25!AB40+HISTOFEV25!AB40+HISTOMARS25!AB40+HISTOAVRIL25!AB40+HISTOMAI25!AB40+HISTOJUIN25!AB40+HISTOJUIL25!AB40+HISTOAOUT25!AB40+HISTOSEPT25!AB40+HISTOOCT25!AB40+HISTONOV25!AB40+HISTODEC25!AB40</f>
        <v>0</v>
      </c>
      <c r="AC40" s="5">
        <f>HISTOJANV25!AC40+HISTOFEV25!AC40+HISTOMARS25!AC40+HISTOAVRIL25!AC40+HISTOMAI25!AC40+HISTOJUIN25!AC40+HISTOJUIL25!AC40+HISTOAOUT25!AC40+HISTOSEPT25!AC40+HISTOOCT25!AC40+HISTONOV25!AC40+HISTODEC25!AC40</f>
        <v>2500</v>
      </c>
      <c r="AD40" s="5">
        <f>HISTOJANV25!AD40+HISTOFEV25!AD40+HISTOMARS25!AD40+HISTOAVRIL25!AD40+HISTOMAI25!AD40+HISTOJUIN25!AD40+HISTOJUIL25!AD40+HISTOAOUT25!AD40+HISTOSEPT25!AD40+HISTOOCT25!AD40+HISTONOV25!AD40+HISTODEC25!AD40</f>
        <v>0</v>
      </c>
      <c r="AE40" s="5">
        <f>HISTOJANV25!AE40+HISTOFEV25!AE40+HISTOMARS25!AE40+HISTOAVRIL25!AE40+HISTOMAI25!AE40+HISTOJUIN25!AE40+HISTOJUIL25!AE40+HISTOAOUT25!AE40+HISTOSEPT25!AE40+HISTOOCT25!AE40+HISTONOV25!AE40+HISTODEC25!AE40</f>
        <v>0</v>
      </c>
      <c r="AF40" s="5"/>
      <c r="AG40" s="5">
        <f>HISTOJANV25!AG40+HISTOFEV25!AG40+HISTOMARS25!AG40+HISTOAVRIL25!AG40+HISTOMAI25!AG40+HISTOJUIN25!AG40+HISTOJUIL25!AG40+HISTOAOUT25!AG40+HISTOSEPT25!AG40+HISTOOCT25!AG40+HISTONOV25!AG40+HISTODEC25!AG40</f>
        <v>0</v>
      </c>
      <c r="AH40" s="5">
        <f>HISTOJANV25!AH40+HISTOFEV25!AH40+HISTOMARS25!AH40+HISTOAVRIL25!AH40+HISTOMAI25!AH40+HISTOJUIN25!AH40+HISTOJUIL25!AH40+HISTOAOUT25!AH40+HISTOSEPT25!AH40+HISTOOCT25!AH40+HISTONOV25!AH40+HISTODEC25!AH40</f>
        <v>0</v>
      </c>
      <c r="AI40" s="5">
        <f>HISTOJANV25!AI40+HISTOFEV25!AI40+HISTOMARS25!AI40+HISTOAVRIL25!AI40+HISTOMAI25!AI40+HISTOJUIN25!AI40+HISTOJUIL25!AI40+HISTOAOUT25!AI40+HISTOSEPT25!AI40+HISTOOCT25!AI40+HISTONOV25!AI40+HISTODEC25!AI40</f>
        <v>0</v>
      </c>
      <c r="AJ40" s="5">
        <f>HISTOJANV25!AJ40+HISTOFEV25!AJ40+HISTOMARS25!AJ40+HISTOAVRIL25!AJ40+HISTOMAI25!AJ40+HISTOJUIN25!AJ40+HISTOJUIL25!AJ40+HISTOAOUT25!AJ40+HISTOSEPT25!AJ40+HISTOOCT25!AJ40+HISTONOV25!AJ40+HISTODEC25!AJ40</f>
        <v>0</v>
      </c>
      <c r="AK40" s="5">
        <f>HISTOJANV25!AK40+HISTOFEV25!AK40+HISTOMARS25!AK40+HISTOAVRIL25!AK40+HISTOMAI25!AK40+HISTOJUIN25!AK40+HISTOJUIL25!AK40+HISTOAOUT25!AK40+HISTOSEPT25!AK40+HISTOOCT25!AK40+HISTONOV25!AK40+HISTODEC25!AK40</f>
        <v>0</v>
      </c>
      <c r="AL40" s="5">
        <f>HISTOJANV25!AL40+HISTOFEV25!AL40+HISTOMARS25!AL40+HISTOAVRIL25!AL40+HISTOMAI25!AL40+HISTOJUIN25!AL40+HISTOJUIL25!AL40+HISTOAOUT25!AL40+HISTOSEPT25!AL40+HISTOOCT25!AL40+HISTONOV25!AL40+HISTODEC25!AL40</f>
        <v>0</v>
      </c>
      <c r="AM40" s="5">
        <f>HISTOJANV25!AM40+HISTOFEV25!AM40+HISTOMARS25!AM40+HISTOAVRIL25!AM40+HISTOMAI25!AM40+HISTOJUIN25!AM40+HISTOJUIL25!AM40+HISTOAOUT25!AM40+HISTOSEPT25!AM40+HISTOOCT25!AM40+HISTONOV25!AM40+HISTODEC25!AM40</f>
        <v>0</v>
      </c>
      <c r="AN40" s="5">
        <f>HISTOJANV25!AN40+HISTOFEV25!AN40+HISTOMARS25!AN40+HISTOAVRIL25!AN40+HISTOMAI25!AN40+HISTOJUIN25!AN40+HISTOJUIL25!AN40+HISTOAOUT25!AN40+HISTOSEPT25!AN40+HISTOOCT25!AN40+HISTONOV25!AN40+HISTODEC25!AN40</f>
        <v>0</v>
      </c>
      <c r="AO40" s="5">
        <f>HISTOJANV25!AO40+HISTOFEV25!AO40+HISTOMARS25!AO40+HISTOAVRIL25!AO40+HISTOMAI25!AO40+HISTOJUIN25!AO40+HISTOJUIL25!AO40+HISTOAOUT25!AO40+HISTOSEPT25!AO40+HISTOOCT25!AO40+HISTONOV25!AO40+HISTODEC25!AO40</f>
        <v>0</v>
      </c>
      <c r="AP40" s="5"/>
      <c r="AQ40" s="5">
        <f>HISTOJANV25!AQ40+HISTOFEV25!AQ40+HISTOMARS25!AQ40+HISTOAVRIL25!AQ40+HISTOMAI25!AQ40+HISTOJUIN25!AQ40+HISTOJUIL25!AQ40+HISTOAOUT25!AQ40+HISTOSEPT25!AQ40+HISTOOCT25!AQ40+HISTONOV25!AQ40+HISTODEC25!AQ40</f>
        <v>0</v>
      </c>
      <c r="AR40" s="5">
        <f>HISTOJANV25!AR40+HISTOFEV25!AR40+HISTOMARS25!AR40+HISTOAVRIL25!AR40+HISTOMAI25!AR40+HISTOJUIN25!AR40+HISTOJUIL25!AR40+HISTOAOUT25!AR40+HISTOSEPT25!AR40+HISTOOCT25!AR40+HISTONOV25!AR40+HISTODEC25!AR40</f>
        <v>0</v>
      </c>
      <c r="AS40" s="5">
        <f>HISTOJANV25!AS40+HISTOFEV25!AS40+HISTOMARS25!AS40+HISTOAVRIL25!AS40+HISTOMAI25!AS40+HISTOJUIN25!AS40+HISTOJUIL25!AS40+HISTOAOUT25!AS40+HISTOSEPT25!AS40+HISTOOCT25!AS40+HISTONOV25!AS40+HISTODEC25!AS40</f>
        <v>291000</v>
      </c>
      <c r="AT40" s="5">
        <f>HISTOJANV25!AT40+HISTOFEV25!AT40+HISTOMARS25!AT40+HISTOAVRIL25!AT40+HISTOMAI25!AT40+HISTOJUIN25!AT40+HISTOJUIL25!AT40+HISTOAOUT25!AT40+HISTOSEPT25!AT40+HISTOOCT25!AT40+HISTONOV25!AT40+HISTODEC25!AT40</f>
        <v>0</v>
      </c>
      <c r="AU40" s="5">
        <f>HISTOJANV25!AU40+HISTOFEV25!AU40+HISTOMARS25!AU40+HISTOAVRIL25!AU40+HISTOMAI25!AU40+HISTOJUIN25!AU40+HISTOJUIL25!AU40+HISTOAOUT25!AU40+HISTOSEPT25!AU40+HISTOOCT25!AU40+HISTONOV25!AU40+HISTODEC25!AU40</f>
        <v>0</v>
      </c>
      <c r="AV40" s="5">
        <f>HISTOJANV25!AV40+HISTOFEV25!AV40+HISTOMARS25!AV40+HISTOAVRIL25!AV40+HISTOMAI25!AV40+HISTOJUIN25!AV40+HISTOJUIL25!AV40+HISTOAOUT25!AV40+HISTOSEPT25!AV40+HISTOOCT25!AV40+HISTONOV25!AV40+HISTODEC25!AV40</f>
        <v>0</v>
      </c>
      <c r="AW40" s="5">
        <f>HISTOJANV25!AW40+HISTOFEV25!AW40+HISTOMARS25!AW40+HISTOAVRIL25!AW40+HISTOMAI25!AW40+HISTOJUIN25!AW40+HISTOJUIL25!AW40+HISTOAOUT25!AW40+HISTOSEPT25!AW40+HISTOOCT25!AW40+HISTONOV25!AW40+HISTODEC25!AW40</f>
        <v>297500</v>
      </c>
      <c r="AX40" s="5">
        <f>HISTOJANV25!AX40+HISTOFEV25!AX40+HISTOMARS25!AX40+HISTOAVRIL25!AX40+HISTOMAI25!AX40+HISTOJUIN25!AX40+HISTOJUIL25!AX40+HISTOAOUT25!AX40+HISTOSEPT25!AX40+HISTOOCT25!AX40+HISTONOV25!AX40+HISTODEC25!AX40</f>
        <v>0</v>
      </c>
      <c r="AY40" s="5">
        <f>HISTOJANV25!AY40+HISTOFEV25!AY40+HISTOMARS25!AY40+HISTOAVRIL25!AY40+HISTOMAI25!AY40+HISTOJUIN25!AY40+HISTOJUIL25!AY40+HISTOAOUT25!AY40+HISTOSEPT25!AY40+HISTOOCT25!AY40+HISTONOV25!AY40+HISTODEC25!AY40</f>
        <v>0</v>
      </c>
      <c r="AZ40" s="5">
        <f>HISTOJANV25!AZ40+HISTOFEV25!AZ40+HISTOMARS25!AZ40+HISTOAVRIL25!AZ40+HISTOMAI25!AZ40+HISTOJUIN25!AZ40+HISTOJUIL25!AZ40+HISTOAOUT25!AZ40+HISTOSEPT25!AZ40+HISTOOCT25!AZ40+HISTONOV25!AZ40+HISTODEC25!AZ40</f>
        <v>297500</v>
      </c>
      <c r="BA40" s="5">
        <f>HISTOJANV25!BA40+HISTOFEV25!BA40+HISTOMARS25!BA40+HISTOAVRIL25!BA40+HISTOMAI25!BA40+HISTOJUIN25!BA40+HISTOJUIL25!BA40+HISTOAOUT25!BA40+HISTOSEPT25!BA40+HISTOOCT25!BA40+HISTONOV25!BA40+HISTODEC25!BA40</f>
        <v>262500</v>
      </c>
      <c r="BB40" s="5">
        <f>HISTOJANV25!BB40+HISTOFEV25!BB40+HISTOMARS25!BB40+HISTOAVRIL25!BB40+HISTOMAI25!BB40+HISTOJUIN25!BB40+HISTOJUIL25!BB40+HISTOAOUT25!BB40+HISTOSEPT25!BB40+HISTOOCT25!BB40+HISTONOV25!BB40+HISTODEC25!BB40</f>
        <v>0</v>
      </c>
      <c r="BC40" s="5">
        <f>HISTOJANV25!BC40+HISTOFEV25!BC40+HISTOMARS25!BC40+HISTOAVRIL25!BC40+HISTOMAI25!BC40+HISTOJUIN25!BC40+HISTOJUIL25!BC40+HISTOAOUT25!BC40+HISTOSEPT25!BC40+HISTOOCT25!BC40+HISTONOV25!BC40+HISTODEC25!BC40</f>
        <v>0</v>
      </c>
      <c r="BD40" s="5">
        <f>HISTOJANV25!BD40+HISTOFEV25!BD40+HISTOMARS25!BD40+HISTOAVRIL25!BD40+HISTOMAI25!BD40+HISTOJUIN25!BD40+HISTOJUIL25!BD40+HISTOAOUT25!BD40+HISTOSEPT25!BD40+HISTOOCT25!BD40+HISTONOV25!BD40+HISTODEC25!BD40</f>
        <v>35000</v>
      </c>
      <c r="BE40" s="5"/>
      <c r="BF40" s="5">
        <f>HISTOJANV25!BF40+HISTOFEV25!BF40+HISTOMARS25!BF40+HISTOAVRIL25!BF40+HISTOMAI25!BF40+HISTOJUIN25!BF40+HISTOJUIL25!BF40+HISTOAOUT25!BF40+HISTOSEPT25!BF40+HISTOOCT25!BF40+HISTONOV25!BF40+HISTODEC25!BF40</f>
        <v>0</v>
      </c>
      <c r="BG40" s="5">
        <f>HISTOJANV25!BG40+HISTOFEV25!BG40+HISTOMARS25!BG40+HISTOAVRIL25!BG40+HISTOMAI25!BG40+HISTOJUIN25!BG40+HISTOJUIL25!BG40+HISTOAOUT25!BG40+HISTOSEPT25!BG40+HISTOOCT25!BG40+HISTONOV25!BG40+HISTODEC25!BG40</f>
        <v>67</v>
      </c>
      <c r="BH40" s="5">
        <f>HISTOJANV25!BH40+HISTOFEV25!BH40+HISTOMARS25!BH40+HISTOAVRIL25!BH40+HISTOMAI25!BH40+HISTOJUIN25!BH40+HISTOJUIL25!BH40+HISTOAOUT25!BH40+HISTOSEPT25!BH40+HISTOOCT25!BH40+HISTONOV25!BH40+HISTODEC25!BH40</f>
        <v>0</v>
      </c>
      <c r="BI40" s="5">
        <f>HISTOJANV25!BI40+HISTOFEV25!BI40+HISTOMARS25!BI40+HISTOAVRIL25!BI40+HISTOMAI25!BI40+HISTOJUIN25!BI40+HISTOJUIL25!BI40+HISTOAOUT25!BI40+HISTOSEPT25!BI40+HISTOOCT25!BI40+HISTONOV25!BI40+HISTODEC25!BI40</f>
        <v>0</v>
      </c>
      <c r="BJ40" s="5">
        <f>HISTOJANV25!BJ40+HISTOFEV25!BJ40+HISTOMARS25!BJ40+HISTOAVRIL25!BJ40+HISTOMAI25!BJ40+HISTOJUIN25!BJ40+HISTOJUIL25!BJ40+HISTOAOUT25!BJ40+HISTOSEPT25!BJ40+HISTOOCT25!BJ40+HISTONOV25!BJ40+HISTODEC25!BJ40</f>
        <v>0</v>
      </c>
      <c r="BK40" s="5">
        <f>HISTOJANV25!BK40+HISTOFEV25!BK40+HISTOMARS25!BK40+HISTOAVRIL25!BK40+HISTOMAI25!BK40+HISTOJUIN25!BK40+HISTOJUIL25!BK40+HISTOAOUT25!BK40+HISTOSEPT25!BK40+HISTOOCT25!BK40+HISTONOV25!BK40+HISTODEC25!BK40</f>
        <v>0</v>
      </c>
      <c r="BL40" s="5">
        <f>HISTOJANV25!BL40+HISTOFEV25!BL40+HISTOMARS25!BL40+HISTOAVRIL25!BL40+HISTOMAI25!BL40+HISTOJUIN25!BL40+HISTOJUIL25!BL40+HISTOAOUT25!BL40+HISTOSEPT25!BL40+HISTOOCT25!BL40+HISTONOV25!BL40+HISTODEC25!BL40</f>
        <v>0</v>
      </c>
      <c r="BM40" s="5">
        <f>HISTOJANV25!BM40+HISTOFEV25!BM40+HISTOMARS25!BM40+HISTOAVRIL25!BM40+HISTOMAI25!BM40+HISTOJUIN25!BM40+HISTOJUIL25!BM40+HISTOAOUT25!BM40+HISTOSEPT25!BM40+HISTOOCT25!BM40+HISTONOV25!BM40+HISTODEC25!BM40</f>
        <v>0</v>
      </c>
      <c r="BN40" s="5">
        <f>HISTOJANV25!BN40+HISTOFEV25!BN40+HISTOMARS25!BN40+HISTOAVRIL25!BN40+HISTOMAI25!BN40+HISTOJUIN25!BN40+HISTOJUIL25!BN40+HISTOAOUT25!BN40+HISTOSEPT25!BN40+HISTOOCT25!BN40+HISTONOV25!BN40+HISTODEC25!BN40</f>
        <v>0</v>
      </c>
      <c r="BO40" t="s">
        <v>126</v>
      </c>
      <c r="BP40" t="s">
        <v>126</v>
      </c>
      <c r="BQ40" s="6"/>
    </row>
    <row r="41" spans="1:69" ht="17.5" x14ac:dyDescent="0.35">
      <c r="A41" s="1" t="s">
        <v>193</v>
      </c>
      <c r="B41" s="1" t="str">
        <f>VLOOKUP(A41,[5]LISTADHERENT!A$5:H$50,3,0)</f>
        <v>YIALA ALAIN OSCAR</v>
      </c>
      <c r="C41" s="5">
        <f>HISTOJANV25!C41+HISTOFEV25!C41+HISTOMARS25!C41+HISTOAVRIL25!C41+HISTOMAI25!C41+HISTOJUIN25!C41+HISTOJUIL25!C41+HISTOAOUT25!C41+HISTOSEPT25!C41+HISTOOCT25!C41+HISTONOV25!C41+HISTODEC25!C41</f>
        <v>0</v>
      </c>
      <c r="D41" s="5">
        <f>HISTOJANV25!D41+HISTOFEV25!D41+HISTOMARS25!D41+HISTOAVRIL25!D41+HISTOMAI25!D41+HISTOJUIN25!D41+HISTOJUIL25!D41+HISTOAOUT25!D41+HISTOSEPT25!D41+HISTOOCT25!D41+HISTONOV25!D41+HISTODEC25!D41</f>
        <v>1250000</v>
      </c>
      <c r="E41" s="5">
        <f>HISTOJANV25!E41+HISTOFEV25!E41+HISTOMARS25!E41+HISTOAVRIL25!E41+HISTOMAI25!E41+HISTOJUIN25!E41+HISTOJUIL25!E41+HISTOAOUT25!E41+HISTOSEPT25!E41+HISTOOCT25!E41+HISTONOV25!E41+HISTODEC25!E41</f>
        <v>1971000</v>
      </c>
      <c r="F41" s="5">
        <f>HISTOJANV25!F41+HISTOFEV25!F41+HISTOMARS25!F41+HISTOAVRIL25!F41+HISTOMAI25!F41+HISTOJUIN25!F41+HISTOJUIL25!F41+HISTOAOUT25!F41+HISTOSEPT25!F41+HISTOOCT25!F41+HISTONOV25!F41+HISTODEC25!F41</f>
        <v>0</v>
      </c>
      <c r="G41" s="5">
        <f>HISTOJANV25!G41+HISTOFEV25!G41+HISTOMARS25!G41+HISTOAVRIL25!G41+HISTOMAI25!G41+HISTOJUIN25!G41+HISTOJUIL25!G41+HISTOAOUT25!G41+HISTOSEPT25!G41+HISTOOCT25!G41+HISTONOV25!G41+HISTODEC25!G41</f>
        <v>0</v>
      </c>
      <c r="H41" s="5">
        <f>HISTOJANV25!H41+HISTOFEV25!H41+HISTOMARS25!H41+HISTOAVRIL25!H41+HISTOMAI25!H41+HISTOJUIN25!H41+HISTOJUIL25!H41+HISTOAOUT25!H41+HISTOSEPT25!H41+HISTOOCT25!H41+HISTONOV25!H41+HISTODEC25!H41</f>
        <v>18000</v>
      </c>
      <c r="I41" s="5"/>
      <c r="J41" s="5">
        <f>HISTOJANV25!J41+HISTOFEV25!J41+HISTOMARS25!J41+HISTOAVRIL25!J41+HISTOMAI25!J41+HISTOJUIN25!J41+HISTOJUIL25!J41+HISTOAOUT25!J41+HISTOSEPT25!J41+HISTOOCT25!J41+HISTONOV25!J41+HISTODEC25!J41</f>
        <v>12</v>
      </c>
      <c r="K41" s="5">
        <f>HISTOJANV25!K41+HISTOFEV25!K41+HISTOMARS25!K41+HISTOAVRIL25!K41+HISTOMAI25!K41+HISTOJUIN25!K41+HISTOJUIL25!K41+HISTOAOUT25!K41+HISTOSEPT25!K41+HISTOOCT25!K41+HISTONOV25!K41+HISTODEC25!K41</f>
        <v>600000</v>
      </c>
      <c r="L41" s="5">
        <f>HISTOJANV25!L41+HISTOFEV25!L41+HISTOMARS25!L41+HISTOAVRIL25!L41+HISTOMAI25!L41+HISTOJUIN25!L41+HISTOJUIL25!L41+HISTOAOUT25!L41+HISTOSEPT25!L41+HISTOOCT25!L41+HISTONOV25!L41+HISTODEC25!L41</f>
        <v>0</v>
      </c>
      <c r="M41" s="5">
        <f>HISTOJANV25!M41+HISTOFEV25!M41+HISTOMARS25!M41+HISTOAVRIL25!M41+HISTOMAI25!M41+HISTOJUIN25!M41+HISTOJUIL25!M41+HISTOAOUT25!M41+HISTOSEPT25!M41+HISTOOCT25!M41+HISTONOV25!M41+HISTODEC25!M41</f>
        <v>0</v>
      </c>
      <c r="N41" s="5">
        <f>HISTOJANV25!N41+HISTOFEV25!N41+HISTOMARS25!N41+HISTOAVRIL25!N41+HISTOMAI25!N41+HISTOJUIN25!N41+HISTOJUIL25!N41+HISTOAOUT25!N41+HISTOSEPT25!N41+HISTOOCT25!N41+HISTONOV25!N41+HISTODEC25!N41</f>
        <v>24</v>
      </c>
      <c r="O41" s="5">
        <f>HISTOJANV25!O41+HISTOFEV25!O41+HISTOMARS25!O41+HISTOAVRIL25!O41+HISTOMAI25!O41+HISTOJUIN25!O41+HISTOJUIL25!O41+HISTOAOUT25!O41+HISTOSEPT25!O41+HISTOOCT25!O41+HISTONOV25!O41+HISTODEC25!O41</f>
        <v>2400000</v>
      </c>
      <c r="P41" s="5">
        <f>HISTOJANV25!P41+HISTOFEV25!P41+HISTOMARS25!P41+HISTOAVRIL25!P41+HISTOMAI25!P41+HISTOJUIN25!P41+HISTOJUIL25!P41+HISTOAOUT25!P41+HISTOSEPT25!P41+HISTOOCT25!P41+HISTONOV25!P41+HISTODEC25!P41</f>
        <v>0</v>
      </c>
      <c r="Q41" s="5">
        <f>HISTOJANV25!Q41+HISTOFEV25!Q41+HISTOMARS25!Q41+HISTOAVRIL25!Q41+HISTOMAI25!Q41+HISTOJUIN25!Q41+HISTOJUIL25!Q41+HISTOAOUT25!Q41+HISTOSEPT25!Q41+HISTOOCT25!Q41+HISTONOV25!Q41+HISTODEC25!Q41</f>
        <v>0</v>
      </c>
      <c r="R41" s="5">
        <f>HISTOJANV25!R41+HISTOFEV25!R41+HISTOMARS25!R41+HISTOAVRIL25!R41+HISTOMAI25!R41+HISTOJUIN25!R41+HISTOJUIL25!R41+HISTOAOUT25!R41+HISTOSEPT25!R41+HISTOOCT25!R41+HISTONOV25!R41+HISTODEC25!R41</f>
        <v>203000</v>
      </c>
      <c r="S41" s="5">
        <f>HISTOJANV25!S41+HISTOFEV25!S41+HISTOMARS25!S41+HISTOAVRIL25!S41+HISTOMAI25!S41+HISTOJUIN25!S41+HISTOJUIL25!S41+HISTOAOUT25!S41+HISTOSEPT25!S41+HISTOOCT25!S41+HISTONOV25!S41+HISTODEC25!S41</f>
        <v>0</v>
      </c>
      <c r="T41" s="5"/>
      <c r="U41" s="5">
        <f>HISTOJANV25!U41+HISTOFEV25!U41+HISTOMARS25!U41+HISTOAVRIL25!U41+HISTOMAI25!U41+HISTOJUIN25!U41+HISTOJUIL25!U41+HISTOAOUT25!U41+HISTOSEPT25!U41+HISTOOCT25!U41+HISTONOV25!U41+HISTODEC25!U41</f>
        <v>3221000</v>
      </c>
      <c r="V41" s="5">
        <f>HISTOJANV25!V41+HISTOFEV25!V41+HISTOMARS25!V41+HISTOAVRIL25!V41+HISTOMAI25!V41+HISTOJUIN25!V41+HISTOJUIL25!V41+HISTOAOUT25!V41+HISTOSEPT25!V41+HISTOOCT25!V41+HISTONOV25!V41+HISTODEC25!V41</f>
        <v>0</v>
      </c>
      <c r="W41" s="5">
        <f>HISTOJANV25!W41+HISTOFEV25!W41+HISTOMARS25!W41+HISTOAVRIL25!W41+HISTOMAI25!W41+HISTOJUIN25!W41+HISTOJUIL25!W41+HISTOAOUT25!W41+HISTOSEPT25!W41+HISTOOCT25!W41+HISTONOV25!W41+HISTODEC25!W41</f>
        <v>0</v>
      </c>
      <c r="X41" s="5">
        <f>HISTOJANV25!X41+HISTOFEV25!X41+HISTOMARS25!X41+HISTOAVRIL25!X41+HISTOMAI25!X41+HISTOJUIN25!X41+HISTOJUIL25!X41+HISTOAOUT25!X41+HISTOSEPT25!X41+HISTOOCT25!X41+HISTONOV25!X41+HISTODEC25!X41</f>
        <v>0</v>
      </c>
      <c r="Y41" s="5">
        <f>HISTOJANV25!Y41+HISTOFEV25!Y41+HISTOMARS25!Y41+HISTOAVRIL25!Y41+HISTOMAI25!Y41+HISTOJUIN25!Y41+HISTOJUIL25!Y41+HISTOAOUT25!Y41+HISTOSEPT25!Y41+HISTOOCT25!Y41+HISTONOV25!Y41+HISTODEC25!Y41</f>
        <v>3000000</v>
      </c>
      <c r="Z41" s="5">
        <f>HISTOJANV25!Z41+HISTOFEV25!Z41+HISTOMARS25!Z41+HISTOAVRIL25!Z41+HISTOMAI25!Z41+HISTOJUIN25!Z41+HISTOJUIL25!Z41+HISTOAOUT25!Z41+HISTOSEPT25!Z41+HISTOOCT25!Z41+HISTONOV25!Z41+HISTODEC25!Z41</f>
        <v>0</v>
      </c>
      <c r="AA41" s="5"/>
      <c r="AB41" s="5">
        <f>HISTOJANV25!AB41+HISTOFEV25!AB41+HISTOMARS25!AB41+HISTOAVRIL25!AB41+HISTOMAI25!AB41+HISTOJUIN25!AB41+HISTOJUIL25!AB41+HISTOAOUT25!AB41+HISTOSEPT25!AB41+HISTOOCT25!AB41+HISTONOV25!AB41+HISTODEC25!AB41</f>
        <v>0</v>
      </c>
      <c r="AC41" s="5">
        <f>HISTOJANV25!AC41+HISTOFEV25!AC41+HISTOMARS25!AC41+HISTOAVRIL25!AC41+HISTOMAI25!AC41+HISTOJUIN25!AC41+HISTOJUIL25!AC41+HISTOAOUT25!AC41+HISTOSEPT25!AC41+HISTOOCT25!AC41+HISTONOV25!AC41+HISTODEC25!AC41</f>
        <v>3500</v>
      </c>
      <c r="AD41" s="5">
        <f>HISTOJANV25!AD41+HISTOFEV25!AD41+HISTOMARS25!AD41+HISTOAVRIL25!AD41+HISTOMAI25!AD41+HISTOJUIN25!AD41+HISTOJUIL25!AD41+HISTOAOUT25!AD41+HISTOSEPT25!AD41+HISTOOCT25!AD41+HISTONOV25!AD41+HISTODEC25!AD41</f>
        <v>0</v>
      </c>
      <c r="AE41" s="5">
        <f>HISTOJANV25!AE41+HISTOFEV25!AE41+HISTOMARS25!AE41+HISTOAVRIL25!AE41+HISTOMAI25!AE41+HISTOJUIN25!AE41+HISTOJUIL25!AE41+HISTOAOUT25!AE41+HISTOSEPT25!AE41+HISTOOCT25!AE41+HISTONOV25!AE41+HISTODEC25!AE41</f>
        <v>25000</v>
      </c>
      <c r="AF41" s="5"/>
      <c r="AG41" s="5">
        <f>HISTOJANV25!AG41+HISTOFEV25!AG41+HISTOMARS25!AG41+HISTOAVRIL25!AG41+HISTOMAI25!AG41+HISTOJUIN25!AG41+HISTOJUIL25!AG41+HISTOAOUT25!AG41+HISTOSEPT25!AG41+HISTOOCT25!AG41+HISTONOV25!AG41+HISTODEC25!AG41</f>
        <v>0</v>
      </c>
      <c r="AH41" s="5">
        <f>HISTOJANV25!AH41+HISTOFEV25!AH41+HISTOMARS25!AH41+HISTOAVRIL25!AH41+HISTOMAI25!AH41+HISTOJUIN25!AH41+HISTOJUIL25!AH41+HISTOAOUT25!AH41+HISTOSEPT25!AH41+HISTOOCT25!AH41+HISTONOV25!AH41+HISTODEC25!AH41</f>
        <v>0</v>
      </c>
      <c r="AI41" s="5">
        <f>HISTOJANV25!AI41+HISTOFEV25!AI41+HISTOMARS25!AI41+HISTOAVRIL25!AI41+HISTOMAI25!AI41+HISTOJUIN25!AI41+HISTOJUIL25!AI41+HISTOAOUT25!AI41+HISTOSEPT25!AI41+HISTOOCT25!AI41+HISTONOV25!AI41+HISTODEC25!AI41</f>
        <v>0</v>
      </c>
      <c r="AJ41" s="5">
        <f>HISTOJANV25!AJ41+HISTOFEV25!AJ41+HISTOMARS25!AJ41+HISTOAVRIL25!AJ41+HISTOMAI25!AJ41+HISTOJUIN25!AJ41+HISTOJUIL25!AJ41+HISTOAOUT25!AJ41+HISTOSEPT25!AJ41+HISTOOCT25!AJ41+HISTONOV25!AJ41+HISTODEC25!AJ41</f>
        <v>0</v>
      </c>
      <c r="AK41" s="5">
        <f>HISTOJANV25!AK41+HISTOFEV25!AK41+HISTOMARS25!AK41+HISTOAVRIL25!AK41+HISTOMAI25!AK41+HISTOJUIN25!AK41+HISTOJUIL25!AK41+HISTOAOUT25!AK41+HISTOSEPT25!AK41+HISTOOCT25!AK41+HISTONOV25!AK41+HISTODEC25!AK41</f>
        <v>200000</v>
      </c>
      <c r="AL41" s="5">
        <f>HISTOJANV25!AL41+HISTOFEV25!AL41+HISTOMARS25!AL41+HISTOAVRIL25!AL41+HISTOMAI25!AL41+HISTOJUIN25!AL41+HISTOJUIL25!AL41+HISTOAOUT25!AL41+HISTOSEPT25!AL41+HISTOOCT25!AL41+HISTONOV25!AL41+HISTODEC25!AL41</f>
        <v>0</v>
      </c>
      <c r="AM41" s="5">
        <f>HISTOJANV25!AM41+HISTOFEV25!AM41+HISTOMARS25!AM41+HISTOAVRIL25!AM41+HISTOMAI25!AM41+HISTOJUIN25!AM41+HISTOJUIL25!AM41+HISTOAOUT25!AM41+HISTOSEPT25!AM41+HISTOOCT25!AM41+HISTONOV25!AM41+HISTODEC25!AM41</f>
        <v>0</v>
      </c>
      <c r="AN41" s="5">
        <f>HISTOJANV25!AN41+HISTOFEV25!AN41+HISTOMARS25!AN41+HISTOAVRIL25!AN41+HISTOMAI25!AN41+HISTOJUIN25!AN41+HISTOJUIL25!AN41+HISTOAOUT25!AN41+HISTOSEPT25!AN41+HISTOOCT25!AN41+HISTONOV25!AN41+HISTODEC25!AN41</f>
        <v>3000</v>
      </c>
      <c r="AO41" s="5">
        <f>HISTOJANV25!AO41+HISTOFEV25!AO41+HISTOMARS25!AO41+HISTOAVRIL25!AO41+HISTOMAI25!AO41+HISTOJUIN25!AO41+HISTOJUIL25!AO41+HISTOAOUT25!AO41+HISTOSEPT25!AO41+HISTOOCT25!AO41+HISTONOV25!AO41+HISTODEC25!AO41</f>
        <v>0</v>
      </c>
      <c r="AP41" s="5"/>
      <c r="AQ41" s="5">
        <f>HISTOJANV25!AQ41+HISTOFEV25!AQ41+HISTOMARS25!AQ41+HISTOAVRIL25!AQ41+HISTOMAI25!AQ41+HISTOJUIN25!AQ41+HISTOJUIL25!AQ41+HISTOAOUT25!AQ41+HISTOSEPT25!AQ41+HISTOOCT25!AQ41+HISTONOV25!AQ41+HISTODEC25!AQ41</f>
        <v>0</v>
      </c>
      <c r="AR41" s="5">
        <f>HISTOJANV25!AR41+HISTOFEV25!AR41+HISTOMARS25!AR41+HISTOAVRIL25!AR41+HISTOMAI25!AR41+HISTOJUIN25!AR41+HISTOJUIL25!AR41+HISTOAOUT25!AR41+HISTOSEPT25!AR41+HISTOOCT25!AR41+HISTONOV25!AR41+HISTODEC25!AR41</f>
        <v>0</v>
      </c>
      <c r="AS41" s="5">
        <f>HISTOJANV25!AS41+HISTOFEV25!AS41+HISTOMARS25!AS41+HISTOAVRIL25!AS41+HISTOMAI25!AS41+HISTOJUIN25!AS41+HISTOJUIL25!AS41+HISTOAOUT25!AS41+HISTOSEPT25!AS41+HISTOOCT25!AS41+HISTONOV25!AS41+HISTODEC25!AS41</f>
        <v>300000</v>
      </c>
      <c r="AT41" s="5">
        <f>HISTOJANV25!AT41+HISTOFEV25!AT41+HISTOMARS25!AT41+HISTOAVRIL25!AT41+HISTOMAI25!AT41+HISTOJUIN25!AT41+HISTOJUIL25!AT41+HISTOAOUT25!AT41+HISTOSEPT25!AT41+HISTOOCT25!AT41+HISTONOV25!AT41+HISTODEC25!AT41</f>
        <v>0</v>
      </c>
      <c r="AU41" s="5">
        <f>HISTOJANV25!AU41+HISTOFEV25!AU41+HISTOMARS25!AU41+HISTOAVRIL25!AU41+HISTOMAI25!AU41+HISTOJUIN25!AU41+HISTOJUIL25!AU41+HISTOAOUT25!AU41+HISTOSEPT25!AU41+HISTOOCT25!AU41+HISTONOV25!AU41+HISTODEC25!AU41</f>
        <v>0</v>
      </c>
      <c r="AV41" s="5">
        <f>HISTOJANV25!AV41+HISTOFEV25!AV41+HISTOMARS25!AV41+HISTOAVRIL25!AV41+HISTOMAI25!AV41+HISTOJUIN25!AV41+HISTOJUIL25!AV41+HISTOAOUT25!AV41+HISTOSEPT25!AV41+HISTOOCT25!AV41+HISTONOV25!AV41+HISTODEC25!AV41</f>
        <v>0</v>
      </c>
      <c r="AW41" s="5">
        <f>HISTOJANV25!AW41+HISTOFEV25!AW41+HISTOMARS25!AW41+HISTOAVRIL25!AW41+HISTOMAI25!AW41+HISTOJUIN25!AW41+HISTOJUIL25!AW41+HISTOAOUT25!AW41+HISTOSEPT25!AW41+HISTOOCT25!AW41+HISTONOV25!AW41+HISTODEC25!AW41</f>
        <v>296500</v>
      </c>
      <c r="AX41" s="5">
        <f>HISTOJANV25!AX41+HISTOFEV25!AX41+HISTOMARS25!AX41+HISTOAVRIL25!AX41+HISTOMAI25!AX41+HISTOJUIN25!AX41+HISTOJUIL25!AX41+HISTOAOUT25!AX41+HISTOSEPT25!AX41+HISTOOCT25!AX41+HISTONOV25!AX41+HISTODEC25!AX41</f>
        <v>0</v>
      </c>
      <c r="AY41" s="5">
        <f>HISTOJANV25!AY41+HISTOFEV25!AY41+HISTOMARS25!AY41+HISTOAVRIL25!AY41+HISTOMAI25!AY41+HISTOJUIN25!AY41+HISTOJUIL25!AY41+HISTOAOUT25!AY41+HISTOSEPT25!AY41+HISTOOCT25!AY41+HISTONOV25!AY41+HISTODEC25!AY41</f>
        <v>2575000</v>
      </c>
      <c r="AZ41" s="5">
        <f>HISTOJANV25!AZ41+HISTOFEV25!AZ41+HISTOMARS25!AZ41+HISTOAVRIL25!AZ41+HISTOMAI25!AZ41+HISTOJUIN25!AZ41+HISTOJUIL25!AZ41+HISTOAOUT25!AZ41+HISTOSEPT25!AZ41+HISTOOCT25!AZ41+HISTONOV25!AZ41+HISTODEC25!AZ41</f>
        <v>2971500</v>
      </c>
      <c r="BA41" s="5">
        <f>HISTOJANV25!BA41+HISTOFEV25!BA41+HISTOMARS25!BA41+HISTOAVRIL25!BA41+HISTOMAI25!BA41+HISTOJUIN25!BA41+HISTOJUIL25!BA41+HISTOAOUT25!BA41+HISTOSEPT25!BA41+HISTOOCT25!BA41+HISTONOV25!BA41+HISTODEC25!BA41</f>
        <v>500000</v>
      </c>
      <c r="BB41" s="5">
        <f>HISTOJANV25!BB41+HISTOFEV25!BB41+HISTOMARS25!BB41+HISTOAVRIL25!BB41+HISTOMAI25!BB41+HISTOJUIN25!BB41+HISTOJUIL25!BB41+HISTOAOUT25!BB41+HISTOSEPT25!BB41+HISTOOCT25!BB41+HISTONOV25!BB41+HISTODEC25!BB41</f>
        <v>0</v>
      </c>
      <c r="BC41" s="5">
        <f>HISTOJANV25!BC41+HISTOFEV25!BC41+HISTOMARS25!BC41+HISTOAVRIL25!BC41+HISTOMAI25!BC41+HISTOJUIN25!BC41+HISTOJUIL25!BC41+HISTOAOUT25!BC41+HISTOSEPT25!BC41+HISTOOCT25!BC41+HISTONOV25!BC41+HISTODEC25!BC41</f>
        <v>0</v>
      </c>
      <c r="BD41" s="5">
        <f>HISTOJANV25!BD41+HISTOFEV25!BD41+HISTOMARS25!BD41+HISTOAVRIL25!BD41+HISTOMAI25!BD41+HISTOJUIN25!BD41+HISTOJUIL25!BD41+HISTOAOUT25!BD41+HISTOSEPT25!BD41+HISTOOCT25!BD41+HISTONOV25!BD41+HISTODEC25!BD41</f>
        <v>2471500</v>
      </c>
      <c r="BE41" s="5"/>
      <c r="BF41" s="5">
        <f>HISTOJANV25!BF41+HISTOFEV25!BF41+HISTOMARS25!BF41+HISTOAVRIL25!BF41+HISTOMAI25!BF41+HISTOJUIN25!BF41+HISTOJUIL25!BF41+HISTOAOUT25!BF41+HISTOSEPT25!BF41+HISTOOCT25!BF41+HISTONOV25!BF41+HISTODEC25!BF41</f>
        <v>0</v>
      </c>
      <c r="BG41" s="5">
        <f>HISTOJANV25!BG41+HISTOFEV25!BG41+HISTOMARS25!BG41+HISTOAVRIL25!BG41+HISTOMAI25!BG41+HISTOJUIN25!BG41+HISTOJUIL25!BG41+HISTOAOUT25!BG41+HISTOSEPT25!BG41+HISTOOCT25!BG41+HISTONOV25!BG41+HISTODEC25!BG41</f>
        <v>67</v>
      </c>
      <c r="BH41" s="5">
        <f>HISTOJANV25!BH41+HISTOFEV25!BH41+HISTOMARS25!BH41+HISTOAVRIL25!BH41+HISTOMAI25!BH41+HISTOJUIN25!BH41+HISTOJUIL25!BH41+HISTOAOUT25!BH41+HISTOSEPT25!BH41+HISTOOCT25!BH41+HISTONOV25!BH41+HISTODEC25!BH41</f>
        <v>0</v>
      </c>
      <c r="BI41" s="5">
        <f>HISTOJANV25!BI41+HISTOFEV25!BI41+HISTOMARS25!BI41+HISTOAVRIL25!BI41+HISTOMAI25!BI41+HISTOJUIN25!BI41+HISTOJUIL25!BI41+HISTOAOUT25!BI41+HISTOSEPT25!BI41+HISTOOCT25!BI41+HISTONOV25!BI41+HISTODEC25!BI41</f>
        <v>0</v>
      </c>
      <c r="BJ41" s="5">
        <f>HISTOJANV25!BJ41+HISTOFEV25!BJ41+HISTOMARS25!BJ41+HISTOAVRIL25!BJ41+HISTOMAI25!BJ41+HISTOJUIN25!BJ41+HISTOJUIL25!BJ41+HISTOAOUT25!BJ41+HISTOSEPT25!BJ41+HISTOOCT25!BJ41+HISTONOV25!BJ41+HISTODEC25!BJ41</f>
        <v>0</v>
      </c>
      <c r="BK41" s="5">
        <f>HISTOJANV25!BK41+HISTOFEV25!BK41+HISTOMARS25!BK41+HISTOAVRIL25!BK41+HISTOMAI25!BK41+HISTOJUIN25!BK41+HISTOJUIL25!BK41+HISTOAOUT25!BK41+HISTOSEPT25!BK41+HISTOOCT25!BK41+HISTONOV25!BK41+HISTODEC25!BK41</f>
        <v>100000</v>
      </c>
      <c r="BL41" s="5">
        <f>HISTOJANV25!BL41+HISTOFEV25!BL41+HISTOMARS25!BL41+HISTOAVRIL25!BL41+HISTOMAI25!BL41+HISTOJUIN25!BL41+HISTOJUIL25!BL41+HISTOAOUT25!BL41+HISTOSEPT25!BL41+HISTOOCT25!BL41+HISTONOV25!BL41+HISTODEC25!BL41</f>
        <v>0</v>
      </c>
      <c r="BM41" s="5">
        <f>HISTOJANV25!BM41+HISTOFEV25!BM41+HISTOMARS25!BM41+HISTOAVRIL25!BM41+HISTOMAI25!BM41+HISTOJUIN25!BM41+HISTOJUIL25!BM41+HISTOAOUT25!BM41+HISTOSEPT25!BM41+HISTOOCT25!BM41+HISTONOV25!BM41+HISTODEC25!BM41</f>
        <v>0</v>
      </c>
      <c r="BN41" s="5">
        <f>HISTOJANV25!BN41+HISTOFEV25!BN41+HISTOMARS25!BN41+HISTOAVRIL25!BN41+HISTOMAI25!BN41+HISTOJUIN25!BN41+HISTOJUIL25!BN41+HISTOAOUT25!BN41+HISTOSEPT25!BN41+HISTOOCT25!BN41+HISTONOV25!BN41+HISTODEC25!BN41</f>
        <v>0</v>
      </c>
      <c r="BO41" t="s">
        <v>127</v>
      </c>
      <c r="BP41" t="s">
        <v>126</v>
      </c>
      <c r="BQ41" s="6"/>
    </row>
    <row r="42" spans="1:69" ht="17.5" x14ac:dyDescent="0.35">
      <c r="A42" s="1" t="s">
        <v>41</v>
      </c>
      <c r="B42" s="1" t="str">
        <f>VLOOKUP(A42,[5]LISTADHERENT!A$5:H$50,3,0)</f>
        <v>YOUMBI EMMANUEL</v>
      </c>
      <c r="C42" s="5">
        <f>HISTOJANV25!C42+HISTOFEV25!C42+HISTOMARS25!C42+HISTOAVRIL25!C42+HISTOMAI25!C42+HISTOJUIN25!C42+HISTOJUIL25!C42+HISTOAOUT25!C42+HISTOSEPT25!C42+HISTOOCT25!C42+HISTONOV25!C42+HISTODEC25!C42</f>
        <v>0</v>
      </c>
      <c r="D42" s="5">
        <f>HISTOJANV25!D42+HISTOFEV25!D42+HISTOMARS25!D42+HISTOAVRIL25!D42+HISTOMAI25!D42+HISTOJUIN25!D42+HISTOJUIL25!D42+HISTOAOUT25!D42+HISTOSEPT25!D42+HISTOOCT25!D42+HISTONOV25!D42+HISTODEC25!D42</f>
        <v>3200000</v>
      </c>
      <c r="E42" s="5">
        <f>HISTOJANV25!E42+HISTOFEV25!E42+HISTOMARS25!E42+HISTOAVRIL25!E42+HISTOMAI25!E42+HISTOJUIN25!E42+HISTOJUIL25!E42+HISTOAOUT25!E42+HISTOSEPT25!E42+HISTOOCT25!E42+HISTONOV25!E42+HISTODEC25!E42</f>
        <v>0</v>
      </c>
      <c r="F42" s="5">
        <f>HISTOJANV25!F42+HISTOFEV25!F42+HISTOMARS25!F42+HISTOAVRIL25!F42+HISTOMAI25!F42+HISTOJUIN25!F42+HISTOJUIL25!F42+HISTOAOUT25!F42+HISTOSEPT25!F42+HISTOOCT25!F42+HISTONOV25!F42+HISTODEC25!F42</f>
        <v>0</v>
      </c>
      <c r="G42" s="5">
        <f>HISTOJANV25!G42+HISTOFEV25!G42+HISTOMARS25!G42+HISTOAVRIL25!G42+HISTOMAI25!G42+HISTOJUIN25!G42+HISTOJUIL25!G42+HISTOAOUT25!G42+HISTOSEPT25!G42+HISTOOCT25!G42+HISTONOV25!G42+HISTODEC25!G42</f>
        <v>0</v>
      </c>
      <c r="H42" s="5">
        <f>HISTOJANV25!H42+HISTOFEV25!H42+HISTOMARS25!H42+HISTOAVRIL25!H42+HISTOMAI25!H42+HISTOJUIN25!H42+HISTOJUIL25!H42+HISTOAOUT25!H42+HISTOSEPT25!H42+HISTOOCT25!H42+HISTONOV25!H42+HISTODEC25!H42</f>
        <v>0</v>
      </c>
      <c r="I42" s="5"/>
      <c r="J42" s="5">
        <f>HISTOJANV25!J42+HISTOFEV25!J42+HISTOMARS25!J42+HISTOAVRIL25!J42+HISTOMAI25!J42+HISTOJUIN25!J42+HISTOJUIL25!J42+HISTOAOUT25!J42+HISTOSEPT25!J42+HISTOOCT25!J42+HISTONOV25!J42+HISTODEC25!J42</f>
        <v>12</v>
      </c>
      <c r="K42" s="5">
        <f>HISTOJANV25!K42+HISTOFEV25!K42+HISTOMARS25!K42+HISTOAVRIL25!K42+HISTOMAI25!K42+HISTOJUIN25!K42+HISTOJUIL25!K42+HISTOAOUT25!K42+HISTOSEPT25!K42+HISTOOCT25!K42+HISTONOV25!K42+HISTODEC25!K42</f>
        <v>600000</v>
      </c>
      <c r="L42" s="5">
        <f>HISTOJANV25!L42+HISTOFEV25!L42+HISTOMARS25!L42+HISTOAVRIL25!L42+HISTOMAI25!L42+HISTOJUIN25!L42+HISTOJUIL25!L42+HISTOAOUT25!L42+HISTOSEPT25!L42+HISTOOCT25!L42+HISTONOV25!L42+HISTODEC25!L42</f>
        <v>12</v>
      </c>
      <c r="M42" s="5">
        <f>HISTOJANV25!M42+HISTOFEV25!M42+HISTOMARS25!M42+HISTOAVRIL25!M42+HISTOMAI25!M42+HISTOJUIN25!M42+HISTOJUIL25!M42+HISTOAOUT25!M42+HISTOSEPT25!M42+HISTOOCT25!M42+HISTONOV25!M42+HISTODEC25!M42</f>
        <v>900000</v>
      </c>
      <c r="N42" s="5">
        <f>HISTOJANV25!N42+HISTOFEV25!N42+HISTOMARS25!N42+HISTOAVRIL25!N42+HISTOMAI25!N42+HISTOJUIN25!N42+HISTOJUIL25!N42+HISTOAOUT25!N42+HISTOSEPT25!N42+HISTOOCT25!N42+HISTONOV25!N42+HISTODEC25!N42</f>
        <v>12</v>
      </c>
      <c r="O42" s="5">
        <f>HISTOJANV25!O42+HISTOFEV25!O42+HISTOMARS25!O42+HISTOAVRIL25!O42+HISTOMAI25!O42+HISTOJUIN25!O42+HISTOJUIL25!O42+HISTOAOUT25!O42+HISTOSEPT25!O42+HISTOOCT25!O42+HISTONOV25!O42+HISTODEC25!O42</f>
        <v>1200000</v>
      </c>
      <c r="P42" s="5">
        <f>HISTOJANV25!P42+HISTOFEV25!P42+HISTOMARS25!P42+HISTOAVRIL25!P42+HISTOMAI25!P42+HISTOJUIN25!P42+HISTOJUIL25!P42+HISTOAOUT25!P42+HISTOSEPT25!P42+HISTOOCT25!P42+HISTONOV25!P42+HISTODEC25!P42</f>
        <v>0</v>
      </c>
      <c r="Q42" s="5">
        <f>HISTOJANV25!Q42+HISTOFEV25!Q42+HISTOMARS25!Q42+HISTOAVRIL25!Q42+HISTOMAI25!Q42+HISTOJUIN25!Q42+HISTOJUIL25!Q42+HISTOAOUT25!Q42+HISTOSEPT25!Q42+HISTOOCT25!Q42+HISTONOV25!Q42+HISTODEC25!Q42</f>
        <v>0</v>
      </c>
      <c r="R42" s="5">
        <f>HISTOJANV25!R42+HISTOFEV25!R42+HISTOMARS25!R42+HISTOAVRIL25!R42+HISTOMAI25!R42+HISTOJUIN25!R42+HISTOJUIL25!R42+HISTOAOUT25!R42+HISTOSEPT25!R42+HISTOOCT25!R42+HISTONOV25!R42+HISTODEC25!R42</f>
        <v>0</v>
      </c>
      <c r="S42" s="5">
        <f>HISTOJANV25!S42+HISTOFEV25!S42+HISTOMARS25!S42+HISTOAVRIL25!S42+HISTOMAI25!S42+HISTOJUIN25!S42+HISTOJUIL25!S42+HISTOAOUT25!S42+HISTOSEPT25!S42+HISTOOCT25!S42+HISTONOV25!S42+HISTODEC25!S42</f>
        <v>500000</v>
      </c>
      <c r="T42" s="5"/>
      <c r="U42" s="5">
        <f>HISTOJANV25!U42+HISTOFEV25!U42+HISTOMARS25!U42+HISTOAVRIL25!U42+HISTOMAI25!U42+HISTOJUIN25!U42+HISTOJUIL25!U42+HISTOAOUT25!U42+HISTOSEPT25!U42+HISTOOCT25!U42+HISTONOV25!U42+HISTODEC25!U42</f>
        <v>3200000</v>
      </c>
      <c r="V42" s="5">
        <f>HISTOJANV25!V42+HISTOFEV25!V42+HISTOMARS25!V42+HISTOAVRIL25!V42+HISTOMAI25!V42+HISTOJUIN25!V42+HISTOJUIL25!V42+HISTOAOUT25!V42+HISTOSEPT25!V42+HISTOOCT25!V42+HISTONOV25!V42+HISTODEC25!V42</f>
        <v>0</v>
      </c>
      <c r="W42" s="5">
        <f>HISTOJANV25!W42+HISTOFEV25!W42+HISTOMARS25!W42+HISTOAVRIL25!W42+HISTOMAI25!W42+HISTOJUIN25!W42+HISTOJUIL25!W42+HISTOAOUT25!W42+HISTOSEPT25!W42+HISTOOCT25!W42+HISTONOV25!W42+HISTODEC25!W42</f>
        <v>0</v>
      </c>
      <c r="X42" s="5">
        <f>HISTOJANV25!X42+HISTOFEV25!X42+HISTOMARS25!X42+HISTOAVRIL25!X42+HISTOMAI25!X42+HISTOJUIN25!X42+HISTOJUIL25!X42+HISTOAOUT25!X42+HISTOSEPT25!X42+HISTOOCT25!X42+HISTONOV25!X42+HISTODEC25!X42</f>
        <v>0</v>
      </c>
      <c r="Y42" s="5">
        <f>HISTOJANV25!Y42+HISTOFEV25!Y42+HISTOMARS25!Y42+HISTOAVRIL25!Y42+HISTOMAI25!Y42+HISTOJUIN25!Y42+HISTOJUIL25!Y42+HISTOAOUT25!Y42+HISTOSEPT25!Y42+HISTOOCT25!Y42+HISTONOV25!Y42+HISTODEC25!Y42</f>
        <v>2700000</v>
      </c>
      <c r="Z42" s="5">
        <f>HISTOJANV25!Z42+HISTOFEV25!Z42+HISTOMARS25!Z42+HISTOAVRIL25!Z42+HISTOMAI25!Z42+HISTOJUIN25!Z42+HISTOJUIL25!Z42+HISTOAOUT25!Z42+HISTOSEPT25!Z42+HISTOOCT25!Z42+HISTONOV25!Z42+HISTODEC25!Z42</f>
        <v>0</v>
      </c>
      <c r="AA42" s="5"/>
      <c r="AB42" s="5">
        <f>HISTOJANV25!AB42+HISTOFEV25!AB42+HISTOMARS25!AB42+HISTOAVRIL25!AB42+HISTOMAI25!AB42+HISTOJUIN25!AB42+HISTOJUIL25!AB42+HISTOAOUT25!AB42+HISTOSEPT25!AB42+HISTOOCT25!AB42+HISTONOV25!AB42+HISTODEC25!AB42</f>
        <v>0</v>
      </c>
      <c r="AC42" s="5">
        <f>HISTOJANV25!AC42+HISTOFEV25!AC42+HISTOMARS25!AC42+HISTOAVRIL25!AC42+HISTOMAI25!AC42+HISTOJUIN25!AC42+HISTOJUIL25!AC42+HISTOAOUT25!AC42+HISTOSEPT25!AC42+HISTOOCT25!AC42+HISTONOV25!AC42+HISTODEC25!AC42</f>
        <v>2500</v>
      </c>
      <c r="AD42" s="5">
        <f>HISTOJANV25!AD42+HISTOFEV25!AD42+HISTOMARS25!AD42+HISTOAVRIL25!AD42+HISTOMAI25!AD42+HISTOJUIN25!AD42+HISTOJUIL25!AD42+HISTOAOUT25!AD42+HISTOSEPT25!AD42+HISTOOCT25!AD42+HISTONOV25!AD42+HISTODEC25!AD42</f>
        <v>7500</v>
      </c>
      <c r="AE42" s="5">
        <f>HISTOJANV25!AE42+HISTOFEV25!AE42+HISTOMARS25!AE42+HISTOAVRIL25!AE42+HISTOMAI25!AE42+HISTOJUIN25!AE42+HISTOJUIL25!AE42+HISTOAOUT25!AE42+HISTOSEPT25!AE42+HISTOOCT25!AE42+HISTONOV25!AE42+HISTODEC25!AE42</f>
        <v>10000</v>
      </c>
      <c r="AF42" s="5"/>
      <c r="AG42" s="5">
        <f>HISTOJANV25!AG42+HISTOFEV25!AG42+HISTOMARS25!AG42+HISTOAVRIL25!AG42+HISTOMAI25!AG42+HISTOJUIN25!AG42+HISTOJUIL25!AG42+HISTOAOUT25!AG42+HISTOSEPT25!AG42+HISTOOCT25!AG42+HISTONOV25!AG42+HISTODEC25!AG42</f>
        <v>0</v>
      </c>
      <c r="AH42" s="5">
        <f>HISTOJANV25!AH42+HISTOFEV25!AH42+HISTOMARS25!AH42+HISTOAVRIL25!AH42+HISTOMAI25!AH42+HISTOJUIN25!AH42+HISTOJUIL25!AH42+HISTOAOUT25!AH42+HISTOSEPT25!AH42+HISTOOCT25!AH42+HISTONOV25!AH42+HISTODEC25!AH42</f>
        <v>0</v>
      </c>
      <c r="AI42" s="5">
        <f>HISTOJANV25!AI42+HISTOFEV25!AI42+HISTOMARS25!AI42+HISTOAVRIL25!AI42+HISTOMAI25!AI42+HISTOJUIN25!AI42+HISTOJUIL25!AI42+HISTOAOUT25!AI42+HISTOSEPT25!AI42+HISTOOCT25!AI42+HISTONOV25!AI42+HISTODEC25!AI42</f>
        <v>0</v>
      </c>
      <c r="AJ42" s="5">
        <f>HISTOJANV25!AJ42+HISTOFEV25!AJ42+HISTOMARS25!AJ42+HISTOAVRIL25!AJ42+HISTOMAI25!AJ42+HISTOJUIN25!AJ42+HISTOJUIL25!AJ42+HISTOAOUT25!AJ42+HISTOSEPT25!AJ42+HISTOOCT25!AJ42+HISTONOV25!AJ42+HISTODEC25!AJ42</f>
        <v>0</v>
      </c>
      <c r="AK42" s="5">
        <f>HISTOJANV25!AK42+HISTOFEV25!AK42+HISTOMARS25!AK42+HISTOAVRIL25!AK42+HISTOMAI25!AK42+HISTOJUIN25!AK42+HISTOJUIL25!AK42+HISTOAOUT25!AK42+HISTOSEPT25!AK42+HISTOOCT25!AK42+HISTONOV25!AK42+HISTODEC25!AK42</f>
        <v>0</v>
      </c>
      <c r="AL42" s="5">
        <f>HISTOJANV25!AL42+HISTOFEV25!AL42+HISTOMARS25!AL42+HISTOAVRIL25!AL42+HISTOMAI25!AL42+HISTOJUIN25!AL42+HISTOJUIL25!AL42+HISTOAOUT25!AL42+HISTOSEPT25!AL42+HISTOOCT25!AL42+HISTONOV25!AL42+HISTODEC25!AL42</f>
        <v>0</v>
      </c>
      <c r="AM42" s="5">
        <f>HISTOJANV25!AM42+HISTOFEV25!AM42+HISTOMARS25!AM42+HISTOAVRIL25!AM42+HISTOMAI25!AM42+HISTOJUIN25!AM42+HISTOJUIL25!AM42+HISTOAOUT25!AM42+HISTOSEPT25!AM42+HISTOOCT25!AM42+HISTONOV25!AM42+HISTODEC25!AM42</f>
        <v>0</v>
      </c>
      <c r="AN42" s="5">
        <f>HISTOJANV25!AN42+HISTOFEV25!AN42+HISTOMARS25!AN42+HISTOAVRIL25!AN42+HISTOMAI25!AN42+HISTOJUIN25!AN42+HISTOJUIL25!AN42+HISTOAOUT25!AN42+HISTOSEPT25!AN42+HISTOOCT25!AN42+HISTONOV25!AN42+HISTODEC25!AN42</f>
        <v>0</v>
      </c>
      <c r="AO42" s="5">
        <f>HISTOJANV25!AO42+HISTOFEV25!AO42+HISTOMARS25!AO42+HISTOAVRIL25!AO42+HISTOMAI25!AO42+HISTOJUIN25!AO42+HISTOJUIL25!AO42+HISTOAOUT25!AO42+HISTOSEPT25!AO42+HISTOOCT25!AO42+HISTONOV25!AO42+HISTODEC25!AO42</f>
        <v>0</v>
      </c>
      <c r="AP42" s="5"/>
      <c r="AQ42" s="5">
        <f>HISTOJANV25!AQ42+HISTOFEV25!AQ42+HISTOMARS25!AQ42+HISTOAVRIL25!AQ42+HISTOMAI25!AQ42+HISTOJUIN25!AQ42+HISTOJUIL25!AQ42+HISTOAOUT25!AQ42+HISTOSEPT25!AQ42+HISTOOCT25!AQ42+HISTONOV25!AQ42+HISTODEC25!AQ42</f>
        <v>0</v>
      </c>
      <c r="AR42" s="5">
        <f>HISTOJANV25!AR42+HISTOFEV25!AR42+HISTOMARS25!AR42+HISTOAVRIL25!AR42+HISTOMAI25!AR42+HISTOJUIN25!AR42+HISTOJUIL25!AR42+HISTOAOUT25!AR42+HISTOSEPT25!AR42+HISTOOCT25!AR42+HISTONOV25!AR42+HISTODEC25!AR42</f>
        <v>0</v>
      </c>
      <c r="AS42" s="5">
        <f>HISTOJANV25!AS42+HISTOFEV25!AS42+HISTOMARS25!AS42+HISTOAVRIL25!AS42+HISTOMAI25!AS42+HISTOJUIN25!AS42+HISTOJUIL25!AS42+HISTOAOUT25!AS42+HISTOSEPT25!AS42+HISTOOCT25!AS42+HISTONOV25!AS42+HISTODEC25!AS42</f>
        <v>300000</v>
      </c>
      <c r="AT42" s="5">
        <f>HISTOJANV25!AT42+HISTOFEV25!AT42+HISTOMARS25!AT42+HISTOAVRIL25!AT42+HISTOMAI25!AT42+HISTOJUIN25!AT42+HISTOJUIL25!AT42+HISTOAOUT25!AT42+HISTOSEPT25!AT42+HISTOOCT25!AT42+HISTONOV25!AT42+HISTODEC25!AT42</f>
        <v>0</v>
      </c>
      <c r="AU42" s="5">
        <f>HISTOJANV25!AU42+HISTOFEV25!AU42+HISTOMARS25!AU42+HISTOAVRIL25!AU42+HISTOMAI25!AU42+HISTOJUIN25!AU42+HISTOJUIL25!AU42+HISTOAOUT25!AU42+HISTOSEPT25!AU42+HISTOOCT25!AU42+HISTONOV25!AU42+HISTODEC25!AU42</f>
        <v>0</v>
      </c>
      <c r="AV42" s="5">
        <f>HISTOJANV25!AV42+HISTOFEV25!AV42+HISTOMARS25!AV42+HISTOAVRIL25!AV42+HISTOMAI25!AV42+HISTOJUIN25!AV42+HISTOJUIL25!AV42+HISTOAOUT25!AV42+HISTOSEPT25!AV42+HISTOOCT25!AV42+HISTONOV25!AV42+HISTODEC25!AV42</f>
        <v>100000</v>
      </c>
      <c r="AW42" s="5">
        <f>HISTOJANV25!AW42+HISTOFEV25!AW42+HISTOMARS25!AW42+HISTOAVRIL25!AW42+HISTOMAI25!AW42+HISTOJUIN25!AW42+HISTOJUIL25!AW42+HISTOAOUT25!AW42+HISTOSEPT25!AW42+HISTOOCT25!AW42+HISTONOV25!AW42+HISTODEC25!AW42</f>
        <v>297500</v>
      </c>
      <c r="AX42" s="5">
        <f>HISTOJANV25!AX42+HISTOFEV25!AX42+HISTOMARS25!AX42+HISTOAVRIL25!AX42+HISTOMAI25!AX42+HISTOJUIN25!AX42+HISTOJUIL25!AX42+HISTOAOUT25!AX42+HISTOSEPT25!AX42+HISTOOCT25!AX42+HISTONOV25!AX42+HISTODEC25!AX42</f>
        <v>892500</v>
      </c>
      <c r="AY42" s="5">
        <f>HISTOJANV25!AY42+HISTOFEV25!AY42+HISTOMARS25!AY42+HISTOAVRIL25!AY42+HISTOMAI25!AY42+HISTOJUIN25!AY42+HISTOJUIL25!AY42+HISTOAOUT25!AY42+HISTOSEPT25!AY42+HISTOOCT25!AY42+HISTONOV25!AY42+HISTODEC25!AY42</f>
        <v>1190000</v>
      </c>
      <c r="AZ42" s="5">
        <f>HISTOJANV25!AZ42+HISTOFEV25!AZ42+HISTOMARS25!AZ42+HISTOAVRIL25!AZ42+HISTOMAI25!AZ42+HISTOJUIN25!AZ42+HISTOJUIL25!AZ42+HISTOAOUT25!AZ42+HISTOSEPT25!AZ42+HISTOOCT25!AZ42+HISTONOV25!AZ42+HISTODEC25!AZ42</f>
        <v>2480000</v>
      </c>
      <c r="BA42" s="5">
        <f>HISTOJANV25!BA42+HISTOFEV25!BA42+HISTOMARS25!BA42+HISTOAVRIL25!BA42+HISTOMAI25!BA42+HISTOJUIN25!BA42+HISTOJUIL25!BA42+HISTOAOUT25!BA42+HISTOSEPT25!BA42+HISTOOCT25!BA42+HISTONOV25!BA42+HISTODEC25!BA42</f>
        <v>0</v>
      </c>
      <c r="BB42" s="5">
        <f>HISTOJANV25!BB42+HISTOFEV25!BB42+HISTOMARS25!BB42+HISTOAVRIL25!BB42+HISTOMAI25!BB42+HISTOJUIN25!BB42+HISTOJUIL25!BB42+HISTOAOUT25!BB42+HISTOSEPT25!BB42+HISTOOCT25!BB42+HISTONOV25!BB42+HISTODEC25!BB42</f>
        <v>0</v>
      </c>
      <c r="BC42" s="5">
        <f>HISTOJANV25!BC42+HISTOFEV25!BC42+HISTOMARS25!BC42+HISTOAVRIL25!BC42+HISTOMAI25!BC42+HISTOJUIN25!BC42+HISTOJUIL25!BC42+HISTOAOUT25!BC42+HISTOSEPT25!BC42+HISTOOCT25!BC42+HISTONOV25!BC42+HISTODEC25!BC42</f>
        <v>0</v>
      </c>
      <c r="BD42" s="5">
        <f>HISTOJANV25!BD42+HISTOFEV25!BD42+HISTOMARS25!BD42+HISTOAVRIL25!BD42+HISTOMAI25!BD42+HISTOJUIN25!BD42+HISTOJUIL25!BD42+HISTOAOUT25!BD42+HISTOSEPT25!BD42+HISTOOCT25!BD42+HISTONOV25!BD42+HISTODEC25!BD42</f>
        <v>2480000</v>
      </c>
      <c r="BE42" s="5"/>
      <c r="BF42" s="5">
        <f>HISTOJANV25!BF42+HISTOFEV25!BF42+HISTOMARS25!BF42+HISTOAVRIL25!BF42+HISTOMAI25!BF42+HISTOJUIN25!BF42+HISTOJUIL25!BF42+HISTOAOUT25!BF42+HISTOSEPT25!BF42+HISTOOCT25!BF42+HISTONOV25!BF42+HISTODEC25!BF42</f>
        <v>0</v>
      </c>
      <c r="BG42" s="5">
        <f>HISTOJANV25!BG42+HISTOFEV25!BG42+HISTOMARS25!BG42+HISTOAVRIL25!BG42+HISTOMAI25!BG42+HISTOJUIN25!BG42+HISTOJUIL25!BG42+HISTOAOUT25!BG42+HISTOSEPT25!BG42+HISTOOCT25!BG42+HISTONOV25!BG42+HISTODEC25!BG42</f>
        <v>67</v>
      </c>
      <c r="BH42" s="5">
        <f>HISTOJANV25!BH42+HISTOFEV25!BH42+HISTOMARS25!BH42+HISTOAVRIL25!BH42+HISTOMAI25!BH42+HISTOJUIN25!BH42+HISTOJUIL25!BH42+HISTOAOUT25!BH42+HISTOSEPT25!BH42+HISTOOCT25!BH42+HISTONOV25!BH42+HISTODEC25!BH42</f>
        <v>0</v>
      </c>
      <c r="BI42" s="5">
        <f>HISTOJANV25!BI42+HISTOFEV25!BI42+HISTOMARS25!BI42+HISTOAVRIL25!BI42+HISTOMAI25!BI42+HISTOJUIN25!BI42+HISTOJUIL25!BI42+HISTOAOUT25!BI42+HISTOSEPT25!BI42+HISTOOCT25!BI42+HISTONOV25!BI42+HISTODEC25!BI42</f>
        <v>0</v>
      </c>
      <c r="BJ42" s="5">
        <f>HISTOJANV25!BJ42+HISTOFEV25!BJ42+HISTOMARS25!BJ42+HISTOAVRIL25!BJ42+HISTOMAI25!BJ42+HISTOJUIN25!BJ42+HISTOJUIL25!BJ42+HISTOAOUT25!BJ42+HISTOSEPT25!BJ42+HISTOOCT25!BJ42+HISTONOV25!BJ42+HISTODEC25!BJ42</f>
        <v>0</v>
      </c>
      <c r="BK42" s="5">
        <f>HISTOJANV25!BK42+HISTOFEV25!BK42+HISTOMARS25!BK42+HISTOAVRIL25!BK42+HISTOMAI25!BK42+HISTOJUIN25!BK42+HISTOJUIL25!BK42+HISTOAOUT25!BK42+HISTOSEPT25!BK42+HISTOOCT25!BK42+HISTONOV25!BK42+HISTODEC25!BK42</f>
        <v>0</v>
      </c>
      <c r="BL42" s="5">
        <f>HISTOJANV25!BL42+HISTOFEV25!BL42+HISTOMARS25!BL42+HISTOAVRIL25!BL42+HISTOMAI25!BL42+HISTOJUIN25!BL42+HISTOJUIL25!BL42+HISTOAOUT25!BL42+HISTOSEPT25!BL42+HISTOOCT25!BL42+HISTONOV25!BL42+HISTODEC25!BL42</f>
        <v>0</v>
      </c>
      <c r="BM42" s="5">
        <f>HISTOJANV25!BM42+HISTOFEV25!BM42+HISTOMARS25!BM42+HISTOAVRIL25!BM42+HISTOMAI25!BM42+HISTOJUIN25!BM42+HISTOJUIL25!BM42+HISTOAOUT25!BM42+HISTOSEPT25!BM42+HISTOOCT25!BM42+HISTONOV25!BM42+HISTODEC25!BM42</f>
        <v>0</v>
      </c>
      <c r="BN42" s="5">
        <f>HISTOJANV25!BN42+HISTOFEV25!BN42+HISTOMARS25!BN42+HISTOAVRIL25!BN42+HISTOMAI25!BN42+HISTOJUIN25!BN42+HISTOJUIL25!BN42+HISTOAOUT25!BN42+HISTOSEPT25!BN42+HISTOOCT25!BN42+HISTONOV25!BN42+HISTODEC25!BN42</f>
        <v>0</v>
      </c>
      <c r="BQ42" s="6"/>
    </row>
    <row r="43" spans="1:69" ht="17.5" x14ac:dyDescent="0.3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</row>
    <row r="44" spans="1:69" ht="18.5" x14ac:dyDescent="0.45">
      <c r="B44" s="1" t="s">
        <v>44</v>
      </c>
      <c r="C44" s="5">
        <f>SUM(C6:C42)</f>
        <v>-20593075</v>
      </c>
      <c r="D44" s="5">
        <f t="shared" ref="D44:BN44" si="0">SUM(D6:D42)</f>
        <v>71112775</v>
      </c>
      <c r="E44" s="5">
        <f t="shared" si="0"/>
        <v>24350925</v>
      </c>
      <c r="F44" s="5">
        <f t="shared" si="0"/>
        <v>4015000</v>
      </c>
      <c r="G44" s="5">
        <f t="shared" si="0"/>
        <v>5495275</v>
      </c>
      <c r="H44" s="5">
        <f t="shared" si="0"/>
        <v>104000</v>
      </c>
      <c r="I44" s="5">
        <f t="shared" si="0"/>
        <v>0</v>
      </c>
      <c r="J44" s="5">
        <f t="shared" si="0"/>
        <v>419</v>
      </c>
      <c r="K44" s="5">
        <f t="shared" si="0"/>
        <v>20700000</v>
      </c>
      <c r="L44" s="5">
        <f t="shared" si="0"/>
        <v>156</v>
      </c>
      <c r="M44" s="5">
        <f t="shared" si="0"/>
        <v>11700000</v>
      </c>
      <c r="N44" s="5">
        <f t="shared" si="0"/>
        <v>287</v>
      </c>
      <c r="O44" s="5">
        <f t="shared" si="0"/>
        <v>28300000</v>
      </c>
      <c r="P44" s="5">
        <f t="shared" si="0"/>
        <v>2300000</v>
      </c>
      <c r="Q44" s="5">
        <f t="shared" si="0"/>
        <v>4804000</v>
      </c>
      <c r="R44" s="5">
        <f t="shared" si="0"/>
        <v>12207500</v>
      </c>
      <c r="S44" s="5">
        <f t="shared" si="0"/>
        <v>35081500</v>
      </c>
      <c r="T44" s="5">
        <f t="shared" si="0"/>
        <v>0</v>
      </c>
      <c r="U44" s="5">
        <f t="shared" si="0"/>
        <v>120222275</v>
      </c>
      <c r="V44" s="5">
        <f t="shared" si="0"/>
        <v>5000</v>
      </c>
      <c r="W44" s="5">
        <f t="shared" si="0"/>
        <v>25000</v>
      </c>
      <c r="X44" s="5">
        <f t="shared" si="0"/>
        <v>0</v>
      </c>
      <c r="Y44" s="5">
        <f t="shared" si="0"/>
        <v>60700000</v>
      </c>
      <c r="Z44" s="5">
        <f t="shared" si="0"/>
        <v>35350000</v>
      </c>
      <c r="AA44" s="5">
        <f t="shared" si="0"/>
        <v>0</v>
      </c>
      <c r="AB44" s="5">
        <f t="shared" si="0"/>
        <v>0</v>
      </c>
      <c r="AC44" s="5">
        <f t="shared" si="0"/>
        <v>329500</v>
      </c>
      <c r="AD44" s="5">
        <f t="shared" si="0"/>
        <v>143500</v>
      </c>
      <c r="AE44" s="5">
        <f t="shared" si="0"/>
        <v>985000</v>
      </c>
      <c r="AF44" s="5">
        <f t="shared" si="0"/>
        <v>0</v>
      </c>
      <c r="AG44" s="5">
        <f t="shared" si="0"/>
        <v>0</v>
      </c>
      <c r="AH44" s="5">
        <f t="shared" si="0"/>
        <v>0</v>
      </c>
      <c r="AI44" s="5">
        <f t="shared" si="0"/>
        <v>2253000</v>
      </c>
      <c r="AJ44" s="5">
        <f t="shared" si="0"/>
        <v>4727000</v>
      </c>
      <c r="AK44" s="5">
        <f t="shared" si="0"/>
        <v>11926000</v>
      </c>
      <c r="AL44" s="5">
        <f t="shared" si="0"/>
        <v>47000</v>
      </c>
      <c r="AM44" s="5">
        <f t="shared" si="0"/>
        <v>79000</v>
      </c>
      <c r="AN44" s="5">
        <f t="shared" si="0"/>
        <v>233000</v>
      </c>
      <c r="AO44" s="5">
        <f t="shared" si="0"/>
        <v>0</v>
      </c>
      <c r="AP44" s="5">
        <f t="shared" si="0"/>
        <v>0</v>
      </c>
      <c r="AQ44" s="5">
        <f t="shared" si="0"/>
        <v>0</v>
      </c>
      <c r="AR44" s="5">
        <f t="shared" si="0"/>
        <v>0</v>
      </c>
      <c r="AS44" s="5">
        <f t="shared" si="0"/>
        <v>15370275</v>
      </c>
      <c r="AT44" s="5">
        <f t="shared" si="0"/>
        <v>120000</v>
      </c>
      <c r="AU44" s="5">
        <f t="shared" si="0"/>
        <v>0</v>
      </c>
      <c r="AV44" s="5">
        <f t="shared" si="0"/>
        <v>1300000</v>
      </c>
      <c r="AW44" s="5">
        <f t="shared" si="0"/>
        <v>12423500</v>
      </c>
      <c r="AX44" s="5">
        <f t="shared" si="0"/>
        <v>16283500</v>
      </c>
      <c r="AY44" s="5">
        <f t="shared" si="0"/>
        <v>39741000</v>
      </c>
      <c r="AZ44" s="5">
        <f t="shared" si="0"/>
        <v>105476000</v>
      </c>
      <c r="BA44" s="5">
        <f t="shared" si="0"/>
        <v>17949000</v>
      </c>
      <c r="BB44" s="5">
        <f t="shared" si="0"/>
        <v>775000</v>
      </c>
      <c r="BC44" s="5">
        <f t="shared" si="0"/>
        <v>4015000</v>
      </c>
      <c r="BD44" s="5">
        <f t="shared" si="0"/>
        <v>77402000</v>
      </c>
      <c r="BE44" s="5">
        <f t="shared" si="0"/>
        <v>0</v>
      </c>
      <c r="BF44" s="5">
        <f t="shared" si="0"/>
        <v>2425500</v>
      </c>
      <c r="BG44" s="5">
        <f t="shared" si="0"/>
        <v>2482</v>
      </c>
      <c r="BH44" s="5">
        <f t="shared" si="0"/>
        <v>266000</v>
      </c>
      <c r="BI44" s="5">
        <f t="shared" si="0"/>
        <v>200000</v>
      </c>
      <c r="BJ44" s="5">
        <f t="shared" si="0"/>
        <v>1060000</v>
      </c>
      <c r="BK44" s="5">
        <f t="shared" si="0"/>
        <v>1270000</v>
      </c>
      <c r="BL44" s="5">
        <f t="shared" si="0"/>
        <v>150000</v>
      </c>
      <c r="BM44" s="5">
        <f t="shared" si="0"/>
        <v>0</v>
      </c>
      <c r="BN44" s="5">
        <f t="shared" si="0"/>
        <v>801000</v>
      </c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24350925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97"/>
      <c r="E47" s="97"/>
      <c r="F47" s="97"/>
      <c r="G47" s="3" t="s">
        <v>9</v>
      </c>
      <c r="H47" s="97"/>
      <c r="I47" s="97"/>
      <c r="Z47" s="12"/>
      <c r="AI47" s="5"/>
      <c r="AV47" s="3"/>
      <c r="AW47" s="97"/>
      <c r="AX47" s="15"/>
      <c r="AY47" s="15"/>
      <c r="AZ47" s="16"/>
      <c r="BA47" s="14">
        <f>+BA46-BA44</f>
        <v>6401925</v>
      </c>
      <c r="BD47" s="14">
        <f>+BD46-BD44</f>
        <v>-77402000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>
        <f>BD44</f>
        <v>77402000</v>
      </c>
      <c r="D50" s="9">
        <f>+D44</f>
        <v>71112775</v>
      </c>
      <c r="E50" s="9">
        <f>+C50-D50</f>
        <v>6289225</v>
      </c>
      <c r="F50" s="9"/>
      <c r="G50" s="9">
        <f>E44</f>
        <v>24350925</v>
      </c>
      <c r="H50" s="14">
        <f>+BA44</f>
        <v>17949000</v>
      </c>
      <c r="I50" s="88">
        <f>+G50-H50</f>
        <v>6401925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/>
    </row>
    <row r="52" spans="2:69" ht="18.5" x14ac:dyDescent="0.45">
      <c r="AW52" s="15"/>
      <c r="AX52" s="15"/>
      <c r="AY52" s="15"/>
      <c r="AZ52" s="16"/>
    </row>
    <row r="53" spans="2:69" ht="18.5" x14ac:dyDescent="0.45">
      <c r="AW53" s="15"/>
      <c r="AX53" s="15"/>
      <c r="AY53" s="15"/>
      <c r="AZ53" s="16"/>
    </row>
    <row r="54" spans="2:69" ht="18.5" x14ac:dyDescent="0.45"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</row>
    <row r="57" spans="2:69" ht="18.5" x14ac:dyDescent="0.45">
      <c r="AW57" s="15"/>
      <c r="AX57" s="15"/>
      <c r="AY57" s="15"/>
      <c r="AZ57" s="16"/>
    </row>
    <row r="58" spans="2:69" ht="18.5" x14ac:dyDescent="0.45">
      <c r="AW58" s="15"/>
      <c r="AX58" s="15"/>
      <c r="AY58" s="15"/>
      <c r="AZ58" s="16"/>
    </row>
    <row r="59" spans="2:69" ht="18.5" x14ac:dyDescent="0.45">
      <c r="AW59" s="15"/>
      <c r="AX59" s="15"/>
      <c r="AY59" s="15"/>
      <c r="AZ59" s="16"/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/>
    </row>
    <row r="64" spans="2:69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203412500</v>
      </c>
    </row>
  </sheetData>
  <autoFilter ref="A5:AF42" xr:uid="{00000000-0009-0000-0000-000004000000}"/>
  <mergeCells count="1">
    <mergeCell ref="B4:M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176B-1FD1-4F0D-812C-95BF314A9B11}">
  <dimension ref="A1:BQ88"/>
  <sheetViews>
    <sheetView zoomScale="87" zoomScaleNormal="87" workbookViewId="0">
      <pane xSplit="4" ySplit="5" topLeftCell="AY42" activePane="bottomRight" state="frozen"/>
      <selection activeCell="D15" sqref="D15"/>
      <selection pane="topRight" activeCell="D15" sqref="D15"/>
      <selection pane="bottomLeft" activeCell="D15" sqref="D15"/>
      <selection pane="bottomRight" activeCell="BA13" sqref="BA1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8" width="17.54296875" customWidth="1"/>
    <col min="9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20.36328125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2025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219</v>
      </c>
      <c r="E5" s="4" t="s">
        <v>220</v>
      </c>
      <c r="F5" s="4" t="s">
        <v>221</v>
      </c>
      <c r="G5" s="4" t="s">
        <v>68</v>
      </c>
      <c r="H5" s="4" t="s">
        <v>45</v>
      </c>
      <c r="I5" s="4" t="s">
        <v>48</v>
      </c>
      <c r="J5" s="4" t="s">
        <v>46</v>
      </c>
      <c r="K5" s="4" t="s">
        <v>224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225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230</v>
      </c>
      <c r="Z5" s="4" t="s">
        <v>52</v>
      </c>
      <c r="AA5" s="4" t="s">
        <v>61</v>
      </c>
      <c r="AB5" s="4" t="s">
        <v>57</v>
      </c>
      <c r="AC5" s="4" t="s">
        <v>223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226</v>
      </c>
      <c r="AJ5" s="4" t="s">
        <v>53</v>
      </c>
      <c r="AK5" s="4" t="s">
        <v>54</v>
      </c>
      <c r="AL5" s="4" t="s">
        <v>227</v>
      </c>
      <c r="AM5" s="4" t="s">
        <v>55</v>
      </c>
      <c r="AN5" s="4" t="s">
        <v>56</v>
      </c>
      <c r="AO5" s="4" t="s">
        <v>57</v>
      </c>
      <c r="AP5" s="4" t="s">
        <v>271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228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231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 t="str">
        <f>VLOOKUP(A6,[5]LISTADHERENT!A$5:H$50,3,0)</f>
        <v>ASELBY</v>
      </c>
      <c r="C6" s="5">
        <f>IF(I6&lt;&gt;"ECHEC",D6+E6+F6-U6,0)</f>
        <v>80000</v>
      </c>
      <c r="D6" s="9">
        <f>VLOOKUP($A6,[6]HISTOBQUEDEC25!$A$6:$H$48,5,0)</f>
        <v>250000</v>
      </c>
      <c r="E6" s="91">
        <f>VLOOKUP($A6,[6]HISTOBQUEDEC25!$A$6:$H$48,4,0)+32000+48000</f>
        <v>80000</v>
      </c>
      <c r="F6" s="91">
        <f>VLOOKUP($A6,[6]HISTOBQUEDEC25!$A$6:$H$48,6,0)</f>
        <v>0</v>
      </c>
      <c r="G6" s="91"/>
      <c r="H6" s="5">
        <f>IF(I6="ESPECES",3000,0)</f>
        <v>0</v>
      </c>
      <c r="I6" s="10" t="str">
        <f t="shared" ref="I6:I42" si="0">IF($D6&lt;&gt;0,"BANQUE",IF($E6&lt;&gt;0,"ESPECES","ECHEC"))</f>
        <v>BANQUE</v>
      </c>
      <c r="J6" s="11"/>
      <c r="K6" s="11">
        <f>IF($D6&lt;&gt;0,J6*50000,IF($E6&lt;&gt;0,J6*50000,0))</f>
        <v>0</v>
      </c>
      <c r="L6" s="6">
        <v>2</v>
      </c>
      <c r="M6" s="11">
        <f t="shared" ref="M6:M42" si="1">IF($D6&lt;&gt;0,L6*75000,IF($E6&lt;&gt;0,L6*75000,0))</f>
        <v>150000</v>
      </c>
      <c r="N6" s="6">
        <v>1</v>
      </c>
      <c r="O6" s="11">
        <f t="shared" ref="O6:O42" si="2">IF($D6&lt;&gt;0,N6*100000,IF($E6&lt;&gt;0,N6*100000,0))</f>
        <v>100000</v>
      </c>
      <c r="P6" s="2">
        <f>IFERROR(VLOOKUP(A6,[7]TONTDEC25!$A$6:$R$41,12,0),0)</f>
        <v>0</v>
      </c>
      <c r="Q6" s="2">
        <f>IFERROR(VLOOKUP(A6,[8]TONTDEC25!$A$6:$R$38,10,0),0)</f>
        <v>0</v>
      </c>
      <c r="R6" s="2">
        <f>IFERROR(VLOOKUP(A6,[9]TONTDEC25!$A$6:$R$42,10,0),0)</f>
        <v>0</v>
      </c>
      <c r="S6" s="20"/>
      <c r="T6" s="12"/>
      <c r="U6" s="17">
        <f>G6+H6+S6+R6+P6+O6+M6+K6+Q6+V6+W6</f>
        <v>250000</v>
      </c>
      <c r="V6" s="12"/>
      <c r="W6" s="12"/>
      <c r="X6" s="12"/>
      <c r="Y6" s="92">
        <f>K6+M6+O6</f>
        <v>250000</v>
      </c>
      <c r="Z6" s="12"/>
      <c r="AA6" s="12"/>
      <c r="AB6" s="12"/>
      <c r="AC6" s="12"/>
      <c r="AD6" s="12">
        <v>7500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42" si="3">IF(I6="ECHEC",((K6+M6+O6)*20/100),0)</f>
        <v>0</v>
      </c>
      <c r="AR6" s="8">
        <f t="shared" ref="AR6:AR42" si="4">IF(I6="ECHEC",((K6+M6+O6)*20/100),0)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0</v>
      </c>
      <c r="AZ6" s="16">
        <f>SUM(AV6:AY6)-BF6+Z6+BH6+BI6+BJ6+BK6+BL6+BM6+BN6</f>
        <v>944500</v>
      </c>
      <c r="BA6" s="58">
        <f>46000+3420000+6000</f>
        <v>3472000</v>
      </c>
      <c r="BB6" s="58" t="s">
        <v>186</v>
      </c>
      <c r="BC6" s="15">
        <f t="shared" ref="BC6:BC17" si="5">F6</f>
        <v>0</v>
      </c>
      <c r="BD6" s="57" t="e">
        <f>IF(AZ6=0,(AZ6-BA6-BC6),(AZ6-BA6-BB6-BC6))</f>
        <v>#VALUE!</v>
      </c>
      <c r="BE6" s="82"/>
      <c r="BF6" s="29">
        <f t="shared" ref="BF6:BF42" si="6">Z6*1/100*BG6</f>
        <v>0</v>
      </c>
      <c r="BG6" s="29">
        <v>1</v>
      </c>
      <c r="BH6" s="15">
        <f>BQ17</f>
        <v>52000</v>
      </c>
      <c r="BI6" s="15">
        <f>BQ30</f>
        <v>0</v>
      </c>
      <c r="BJ6" s="15">
        <f>BQ36</f>
        <v>0</v>
      </c>
      <c r="BK6" s="15"/>
      <c r="BL6" s="15"/>
      <c r="BM6" s="15"/>
      <c r="BN6" s="15">
        <f>+BQ24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 t="str">
        <f>VLOOKUP(A7,[5]LISTADHERENT!A$5:H$50,3,0)</f>
        <v>BAKOP ACHILLE</v>
      </c>
      <c r="C7" s="5">
        <f t="shared" ref="C7:C42" si="7">IF(I7&lt;&gt;"ECHEC",D7+E7+F7-U7,0)</f>
        <v>0</v>
      </c>
      <c r="D7" s="9">
        <f>VLOOKUP($A7,[6]HISTOBQUEDEC25!$A$6:$H$48,5,0)</f>
        <v>0</v>
      </c>
      <c r="E7" s="91">
        <f>VLOOKUP($A7,[6]HISTOBQUEDEC25!$A$6:$H$48,4,0)</f>
        <v>1050000</v>
      </c>
      <c r="F7" s="91">
        <f>VLOOKUP($A7,[6]HISTOBQUEDEC25!$A$6:$H$48,6,0)</f>
        <v>0</v>
      </c>
      <c r="G7" s="91"/>
      <c r="H7" s="5">
        <f>IF(I7="ESPECES",3000,0)-3000</f>
        <v>0</v>
      </c>
      <c r="I7" s="10" t="str">
        <f t="shared" si="0"/>
        <v>ESPECES</v>
      </c>
      <c r="J7" s="11">
        <v>1</v>
      </c>
      <c r="K7" s="11">
        <f t="shared" ref="K7:K42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IFERROR(VLOOKUP(A7,[7]TONTDEC25!$A$6:$R$41,12,0),0)</f>
        <v>0</v>
      </c>
      <c r="Q7" s="2">
        <f>IFERROR(VLOOKUP(A7,[8]TONTDEC25!$A$6:$R$38,10,0),0)</f>
        <v>0</v>
      </c>
      <c r="R7" s="2">
        <f>IFERROR(VLOOKUP(A7,[9]TONTDEC25!$A$6:$R$42,10,0),0)</f>
        <v>0</v>
      </c>
      <c r="S7" s="20">
        <v>1000000</v>
      </c>
      <c r="T7" s="12" t="s">
        <v>9</v>
      </c>
      <c r="U7" s="17">
        <f t="shared" ref="U7:U42" si="9">G7+H7+S7+R7+P7+O7+M7+K7+Q7+V7+W7</f>
        <v>1050000</v>
      </c>
      <c r="V7" s="12"/>
      <c r="W7" s="12"/>
      <c r="X7" s="12"/>
      <c r="Y7" s="92">
        <f t="shared" ref="Y7:Y42" si="10">K7+M7+O7</f>
        <v>50000</v>
      </c>
      <c r="Z7" s="12">
        <v>1000000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>IF(I7="ECHEC",0,(K7+G7-25000))</f>
        <v>25000</v>
      </c>
      <c r="AT7" s="15"/>
      <c r="AV7" s="15"/>
      <c r="AW7" s="15">
        <f t="shared" ref="AW7:AW42" si="11">IF(AC7=0,AI7,(1*25000*12)+AI7-AC7)</f>
        <v>0</v>
      </c>
      <c r="AX7" s="15">
        <f t="shared" ref="AX7:AX42" si="12">IF(AD7=0,AJ7,(1*75000*12)+(AJ7)-AD7)</f>
        <v>0</v>
      </c>
      <c r="AY7" s="15">
        <f t="shared" ref="AY7:AY42" si="13">IF(AE7=0,AK7,(1*100000*12)+(AK7)-AE7)</f>
        <v>0</v>
      </c>
      <c r="AZ7" s="16">
        <f t="shared" ref="AZ7:AZ42" si="14">SUM(AV7:AY7)-BF7+Z7+BH7+BI7+BJ7+BK7+BL7+BM7+BN7</f>
        <v>980000</v>
      </c>
      <c r="BA7" s="58">
        <v>980000</v>
      </c>
      <c r="BB7" s="58" t="s">
        <v>186</v>
      </c>
      <c r="BC7" s="15">
        <f t="shared" si="5"/>
        <v>0</v>
      </c>
      <c r="BD7" s="57" t="e">
        <f t="shared" ref="BD7:BD42" si="15">IF(AZ7=0,(AZ7-BA7-BC7),(AZ7-BA7-BB7-BC7))</f>
        <v>#VALUE!</v>
      </c>
      <c r="BE7" s="82"/>
      <c r="BF7" s="29">
        <f t="shared" si="6"/>
        <v>20000</v>
      </c>
      <c r="BG7" s="29">
        <v>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 t="str">
        <f>VLOOKUP(A8,[5]LISTADHERENT!A$5:H$50,3,0)</f>
        <v>BOUTCHOUANG WILLIAM</v>
      </c>
      <c r="C8" s="5">
        <f t="shared" si="7"/>
        <v>0</v>
      </c>
      <c r="D8" s="9">
        <f>VLOOKUP($A8,[6]HISTOBQUEDEC25!$A$6:$H$48,5,0)</f>
        <v>125000</v>
      </c>
      <c r="E8" s="91">
        <f>VLOOKUP($A8,[6]HISTOBQUEDEC25!$A$6:$H$48,4,0)</f>
        <v>500000</v>
      </c>
      <c r="F8" s="91">
        <f>VLOOKUP($A8,[6]HISTOBQUEDEC25!$A$6:$H$48,6,0)</f>
        <v>0</v>
      </c>
      <c r="G8" s="91"/>
      <c r="H8" s="5">
        <f t="shared" ref="H8:H42" si="16">IF(I8="ESPECES",3000,0)</f>
        <v>0</v>
      </c>
      <c r="I8" s="10" t="str">
        <f t="shared" si="0"/>
        <v>BANQUE</v>
      </c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IFERROR(VLOOKUP(A8,[7]TONTDEC25!$A$6:$R$41,12,0),0)</f>
        <v>0</v>
      </c>
      <c r="Q8" s="2">
        <f>IFERROR(VLOOKUP(A8,[8]TONTDEC25!$A$6:$R$38,10,0),0)</f>
        <v>0</v>
      </c>
      <c r="R8" s="2">
        <f>IFERROR(VLOOKUP(A8,[9]TONTDEC25!$A$6:$R$42,10,0),0)</f>
        <v>0</v>
      </c>
      <c r="S8" s="20">
        <v>500000</v>
      </c>
      <c r="T8" s="12" t="s">
        <v>9</v>
      </c>
      <c r="U8" s="17">
        <f t="shared" si="9"/>
        <v>625000</v>
      </c>
      <c r="V8" s="12"/>
      <c r="W8" s="12"/>
      <c r="X8" s="12"/>
      <c r="Y8" s="92">
        <f t="shared" si="10"/>
        <v>125000</v>
      </c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ref="AS8:AS42" si="17">IF(I8="ECHEC",0,(K8+G8-25000))</f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490000</v>
      </c>
      <c r="BA8" s="58">
        <v>490000</v>
      </c>
      <c r="BB8" s="58" t="s">
        <v>186</v>
      </c>
      <c r="BC8" s="15">
        <f t="shared" si="5"/>
        <v>0</v>
      </c>
      <c r="BD8" s="57" t="e">
        <f t="shared" si="15"/>
        <v>#VALUE!</v>
      </c>
      <c r="BE8" s="82"/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f>36000+10000</f>
        <v>46000</v>
      </c>
    </row>
    <row r="9" spans="1:69" ht="18.5" x14ac:dyDescent="0.45">
      <c r="A9" s="1" t="s">
        <v>13</v>
      </c>
      <c r="B9" s="1" t="str">
        <f>VLOOKUP(A9,[5]LISTADHERENT!A$5:H$50,3,0)</f>
        <v xml:space="preserve">DJOMO JEAN PAUL </v>
      </c>
      <c r="C9" s="5">
        <f t="shared" si="7"/>
        <v>0</v>
      </c>
      <c r="D9" s="9">
        <f>VLOOKUP($A9,[6]HISTOBQUEDEC25!$A$6:$H$48,5,0)</f>
        <v>0</v>
      </c>
      <c r="E9" s="91">
        <f>VLOOKUP($A9,[6]HISTOBQUEDEC25!$A$6:$H$48,4,0)</f>
        <v>1457000</v>
      </c>
      <c r="F9" s="91">
        <f>VLOOKUP($A9,[6]HISTOBQUEDEC25!$A$6:$H$48,6,0)</f>
        <v>0</v>
      </c>
      <c r="G9" s="91"/>
      <c r="H9" s="5">
        <f>IF(I9="ESPECES",3000,0)-3000</f>
        <v>0</v>
      </c>
      <c r="I9" s="10" t="str">
        <f t="shared" si="0"/>
        <v>ESPECES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IFERROR(VLOOKUP(A9,[7]TONTDEC25!$A$6:$R$41,12,0),0)</f>
        <v>0</v>
      </c>
      <c r="Q9" s="2">
        <f>IFERROR(VLOOKUP(A9,[8]TONTDEC25!$A$6:$R$38,10,0),0)</f>
        <v>0</v>
      </c>
      <c r="R9" s="2">
        <f>IFERROR(VLOOKUP(A9,[9]TONTDEC25!$A$6:$R$42,10,0),0)</f>
        <v>207000</v>
      </c>
      <c r="S9" s="20">
        <v>1000000</v>
      </c>
      <c r="T9" s="12" t="s">
        <v>9</v>
      </c>
      <c r="U9" s="17">
        <f t="shared" si="9"/>
        <v>1457000</v>
      </c>
      <c r="V9" s="12"/>
      <c r="W9" s="12"/>
      <c r="X9" s="12"/>
      <c r="Y9" s="92">
        <f t="shared" si="10"/>
        <v>250000</v>
      </c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7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880000</v>
      </c>
      <c r="BA9" s="58">
        <v>880000</v>
      </c>
      <c r="BB9" s="58" t="s">
        <v>186</v>
      </c>
      <c r="BC9" s="15">
        <f t="shared" si="5"/>
        <v>0</v>
      </c>
      <c r="BD9" s="57" t="e">
        <f t="shared" si="15"/>
        <v>#VALUE!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 t="str">
        <f>VLOOKUP(A10,[5]LISTADHERENT!A$5:H$50,3,0)</f>
        <v>DJOMOU TCHAPDA</v>
      </c>
      <c r="C10" s="5">
        <f t="shared" si="7"/>
        <v>0</v>
      </c>
      <c r="D10" s="9">
        <f>VLOOKUP($A10,[6]HISTOBQUEDEC25!$A$6:$H$48,5,0)</f>
        <v>70000</v>
      </c>
      <c r="E10" s="91">
        <f>VLOOKUP($A10,[6]HISTOBQUEDEC25!$A$6:$H$48,4,0)</f>
        <v>1000500</v>
      </c>
      <c r="F10" s="91">
        <f>VLOOKUP($A10,[6]HISTOBQUEDEC25!$A$6:$H$48,6,0)</f>
        <v>0</v>
      </c>
      <c r="G10" s="91"/>
      <c r="H10" s="5">
        <f t="shared" si="16"/>
        <v>0</v>
      </c>
      <c r="I10" s="10" t="str">
        <f t="shared" si="0"/>
        <v>BANQUE</v>
      </c>
      <c r="J10" s="11">
        <v>1</v>
      </c>
      <c r="K10" s="11">
        <f t="shared" si="8"/>
        <v>50000</v>
      </c>
      <c r="L10" s="6"/>
      <c r="M10" s="11">
        <f t="shared" si="1"/>
        <v>0</v>
      </c>
      <c r="N10" s="6"/>
      <c r="O10" s="11">
        <f t="shared" si="2"/>
        <v>0</v>
      </c>
      <c r="P10" s="2">
        <f>IFERROR(VLOOKUP(A10,[7]TONTDEC25!$A$6:$R$41,12,0),0)</f>
        <v>20500</v>
      </c>
      <c r="Q10" s="2">
        <f>IFERROR(VLOOKUP(A10,[8]TONTDEC25!$A$6:$R$38,10,0),0)</f>
        <v>0</v>
      </c>
      <c r="R10" s="2">
        <f>IFERROR(VLOOKUP(A10,[9]TONTDEC25!$A$6:$R$42,10,0),0)</f>
        <v>0</v>
      </c>
      <c r="S10" s="20">
        <v>1000000</v>
      </c>
      <c r="T10" s="12" t="s">
        <v>9</v>
      </c>
      <c r="U10" s="17">
        <f t="shared" si="9"/>
        <v>1070500</v>
      </c>
      <c r="V10" s="12"/>
      <c r="W10" s="12"/>
      <c r="X10" s="12"/>
      <c r="Y10" s="92">
        <f t="shared" si="10"/>
        <v>50000</v>
      </c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7"/>
        <v>25000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880000</v>
      </c>
      <c r="BA10" s="58">
        <v>880000</v>
      </c>
      <c r="BB10" s="58" t="s">
        <v>186</v>
      </c>
      <c r="BC10" s="15">
        <f t="shared" si="5"/>
        <v>0</v>
      </c>
      <c r="BD10" s="57" t="e">
        <f t="shared" si="15"/>
        <v>#VALUE!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 t="str">
        <f>VLOOKUP(A11,[5]LISTADHERENT!A$5:H$50,3,0)</f>
        <v>DJOUKWE NANGUEN GUY BLAISE</v>
      </c>
      <c r="C11" s="5">
        <f t="shared" si="7"/>
        <v>0</v>
      </c>
      <c r="D11" s="9">
        <f>VLOOKUP($A11,[6]HISTOBQUEDEC25!$A$6:$H$48,5,0)</f>
        <v>0</v>
      </c>
      <c r="E11" s="91">
        <f>VLOOKUP($A11,[6]HISTOBQUEDEC25!$A$6:$H$48,4,0)</f>
        <v>1101500</v>
      </c>
      <c r="F11" s="91">
        <f>VLOOKUP($A11,[6]HISTOBQUEDEC25!$A$6:$H$48,6,0)</f>
        <v>268500</v>
      </c>
      <c r="G11" s="91"/>
      <c r="H11" s="5">
        <f>IF(I11="ESPECES",3000,0)-3000</f>
        <v>0</v>
      </c>
      <c r="I11" s="10" t="str">
        <f t="shared" si="0"/>
        <v>ESPECES</v>
      </c>
      <c r="J11" s="11">
        <v>1</v>
      </c>
      <c r="K11" s="11">
        <f t="shared" si="8"/>
        <v>50000</v>
      </c>
      <c r="L11" s="6"/>
      <c r="M11" s="11">
        <f t="shared" si="1"/>
        <v>0</v>
      </c>
      <c r="N11" s="6">
        <v>1</v>
      </c>
      <c r="O11" s="11">
        <f t="shared" si="2"/>
        <v>100000</v>
      </c>
      <c r="P11" s="2">
        <f>IFERROR(VLOOKUP(A11,[7]TONTDEC25!$A$6:$R$41,12,0),0)</f>
        <v>51500</v>
      </c>
      <c r="Q11" s="2">
        <f>IFERROR(VLOOKUP(A11,[8]TONTDEC25!$A$6:$R$38,10,0),0)</f>
        <v>0</v>
      </c>
      <c r="R11" s="2">
        <f>IFERROR(VLOOKUP(A11,[9]TONTDEC25!$A$6:$R$42,10,0),0)</f>
        <v>168500</v>
      </c>
      <c r="S11" s="20">
        <v>1000000</v>
      </c>
      <c r="T11" s="12" t="s">
        <v>9</v>
      </c>
      <c r="U11" s="17">
        <f t="shared" si="9"/>
        <v>1370000</v>
      </c>
      <c r="V11" s="12"/>
      <c r="W11" s="12"/>
      <c r="X11" s="12"/>
      <c r="Y11" s="92">
        <f t="shared" si="10"/>
        <v>150000</v>
      </c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7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980000</v>
      </c>
      <c r="BA11" s="58">
        <f>880000+100000</f>
        <v>980000</v>
      </c>
      <c r="BB11" s="58" t="s">
        <v>186</v>
      </c>
      <c r="BC11" s="15">
        <f t="shared" si="5"/>
        <v>268500</v>
      </c>
      <c r="BD11" s="57" t="e">
        <f t="shared" si="15"/>
        <v>#VALUE!</v>
      </c>
      <c r="BE11" s="82"/>
      <c r="BF11" s="29">
        <f t="shared" si="6"/>
        <v>120000</v>
      </c>
      <c r="BG11" s="29">
        <v>12</v>
      </c>
      <c r="BH11" s="15"/>
      <c r="BI11" s="15"/>
      <c r="BJ11" s="15"/>
      <c r="BK11" s="15">
        <v>100000</v>
      </c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 t="str">
        <f>VLOOKUP(A12,[5]LISTADHERENT!A$5:H$50,3,0)</f>
        <v>DJUOMBESSY ANTOINE</v>
      </c>
      <c r="C12" s="5">
        <f t="shared" si="7"/>
        <v>0</v>
      </c>
      <c r="D12" s="9">
        <f>VLOOKUP($A12,[6]HISTOBQUEDEC25!$A$6:$H$48,5,0)</f>
        <v>260000</v>
      </c>
      <c r="E12" s="91">
        <f>VLOOKUP($A12,[6]HISTOBQUEDEC25!$A$6:$H$48,4,0)</f>
        <v>101500</v>
      </c>
      <c r="F12" s="91">
        <f>VLOOKUP($A12,[6]HISTOBQUEDEC25!$A$6:$H$48,6,0)</f>
        <v>0</v>
      </c>
      <c r="G12" s="91">
        <v>10000</v>
      </c>
      <c r="H12" s="5">
        <f t="shared" si="16"/>
        <v>0</v>
      </c>
      <c r="I12" s="10" t="str">
        <f t="shared" si="0"/>
        <v>BANQUE</v>
      </c>
      <c r="J12" s="11">
        <v>1</v>
      </c>
      <c r="K12" s="11">
        <f t="shared" si="8"/>
        <v>50000</v>
      </c>
      <c r="L12" s="6"/>
      <c r="M12" s="11">
        <f t="shared" si="1"/>
        <v>0</v>
      </c>
      <c r="N12" s="6">
        <v>2</v>
      </c>
      <c r="O12" s="11">
        <f t="shared" si="2"/>
        <v>200000</v>
      </c>
      <c r="P12" s="2">
        <f>IFERROR(VLOOKUP(A12,[7]TONTDEC25!$A$6:$R$41,12,0),0)</f>
        <v>0</v>
      </c>
      <c r="Q12" s="2">
        <f>IFERROR(VLOOKUP(A12,[8]TONTDEC25!$A$6:$R$38,10,0),0)</f>
        <v>0</v>
      </c>
      <c r="R12" s="2">
        <f>IFERROR(VLOOKUP(A12,[9]TONTDEC25!$A$6:$R$42,10,0),0)</f>
        <v>101500</v>
      </c>
      <c r="S12" s="20"/>
      <c r="T12" s="12"/>
      <c r="U12" s="17">
        <f t="shared" si="9"/>
        <v>361500</v>
      </c>
      <c r="V12" s="12"/>
      <c r="W12" s="12"/>
      <c r="X12" s="12"/>
      <c r="Y12" s="92">
        <f t="shared" si="10"/>
        <v>250000</v>
      </c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7"/>
        <v>35000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940000</v>
      </c>
      <c r="BA12" s="58">
        <v>400000</v>
      </c>
      <c r="BB12" s="58"/>
      <c r="BC12" s="15">
        <f t="shared" si="5"/>
        <v>0</v>
      </c>
      <c r="BD12" s="57">
        <f>IF(AZ12=0,(AZ12-BA12-BC12),(AZ12-BA12-BB12-BC12))+400000</f>
        <v>940000</v>
      </c>
      <c r="BE12" s="82" t="s">
        <v>276</v>
      </c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 t="str">
        <f>VLOOKUP(A13,[5]LISTADHERENT!A$5:H$50,3,0)</f>
        <v>DOMOU FABIEN</v>
      </c>
      <c r="C13" s="5">
        <f t="shared" si="7"/>
        <v>0</v>
      </c>
      <c r="D13" s="9">
        <f>VLOOKUP($A13,[6]HISTOBQUEDEC25!$A$6:$H$48,5,0)</f>
        <v>50000</v>
      </c>
      <c r="E13" s="91">
        <f>VLOOKUP($A13,[6]HISTOBQUEDEC25!$A$6:$H$48,4,0)</f>
        <v>0</v>
      </c>
      <c r="F13" s="91">
        <f>VLOOKUP($A13,[6]HISTOBQUEDEC25!$A$6:$H$48,6,0)</f>
        <v>0</v>
      </c>
      <c r="G13" s="91"/>
      <c r="H13" s="5">
        <f t="shared" si="16"/>
        <v>0</v>
      </c>
      <c r="I13" s="10" t="str">
        <f t="shared" si="0"/>
        <v>BANQUE</v>
      </c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IFERROR(VLOOKUP(A13,[7]TONTDEC25!$A$6:$R$41,12,0),0)</f>
        <v>0</v>
      </c>
      <c r="Q13" s="2">
        <f>IFERROR(VLOOKUP(A13,[8]TONTDEC25!$A$6:$R$38,10,0),0)</f>
        <v>0</v>
      </c>
      <c r="R13" s="2">
        <f>IFERROR(VLOOKUP(A13,[9]TONTDEC25!$A$6:$R$42,10,0),0)</f>
        <v>0</v>
      </c>
      <c r="S13" s="20"/>
      <c r="T13" s="12"/>
      <c r="U13" s="17">
        <f t="shared" si="9"/>
        <v>50000</v>
      </c>
      <c r="V13" s="12"/>
      <c r="W13" s="12"/>
      <c r="X13" s="12"/>
      <c r="Y13" s="92">
        <f t="shared" si="10"/>
        <v>50000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7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>
        <f t="shared" si="5"/>
        <v>0</v>
      </c>
      <c r="BD13" s="57">
        <f t="shared" si="15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 t="str">
        <f>VLOOKUP(A14,[5]LISTADHERENT!A$5:H$50,3,0)</f>
        <v>DONHOU DAVID</v>
      </c>
      <c r="C14" s="5">
        <f t="shared" si="7"/>
        <v>0</v>
      </c>
      <c r="D14" s="9">
        <f>VLOOKUP($A14,[6]HISTOBQUEDEC25!$A$6:$H$48,5,0)</f>
        <v>0</v>
      </c>
      <c r="E14" s="91">
        <f>VLOOKUP($A14,[6]HISTOBQUEDEC25!$A$6:$H$48,4,0)</f>
        <v>50000</v>
      </c>
      <c r="F14" s="91">
        <f>VLOOKUP($A14,[6]HISTOBQUEDEC25!$A$6:$H$48,6,0)</f>
        <v>0</v>
      </c>
      <c r="G14" s="91"/>
      <c r="H14" s="5">
        <f>IF(I14="ESPECES",3000,0)-3000</f>
        <v>0</v>
      </c>
      <c r="I14" s="10" t="str">
        <f t="shared" si="0"/>
        <v>ESPECES</v>
      </c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IFERROR(VLOOKUP(A14,[7]TONTDEC25!$A$6:$R$41,12,0),0)</f>
        <v>0</v>
      </c>
      <c r="Q14" s="2">
        <f>IFERROR(VLOOKUP(A14,[8]TONTDEC25!$A$6:$R$38,10,0),0)</f>
        <v>0</v>
      </c>
      <c r="R14" s="2">
        <f>IFERROR(VLOOKUP(A14,[9]TONTDEC25!$A$6:$R$42,10,0),0)</f>
        <v>0</v>
      </c>
      <c r="S14" s="20"/>
      <c r="T14" s="12"/>
      <c r="U14" s="17">
        <f t="shared" si="9"/>
        <v>50000</v>
      </c>
      <c r="V14" s="12"/>
      <c r="W14" s="12"/>
      <c r="X14" s="12"/>
      <c r="Y14" s="92">
        <f t="shared" si="10"/>
        <v>50000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7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>
        <f t="shared" si="5"/>
        <v>0</v>
      </c>
      <c r="BD14" s="57">
        <f t="shared" si="15"/>
        <v>0</v>
      </c>
      <c r="BE14" s="82"/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269</v>
      </c>
      <c r="B15" s="1" t="str">
        <f>VLOOKUP(A15,[5]LISTADHERENT!A$5:H$50,3,0)</f>
        <v>FAMPOU PAUL</v>
      </c>
      <c r="C15" s="5">
        <f t="shared" si="7"/>
        <v>0</v>
      </c>
      <c r="D15" s="9">
        <f>VLOOKUP($A15,[6]HISTOBQUEDEC25!$A$6:$H$48,5,0)</f>
        <v>150000</v>
      </c>
      <c r="E15" s="91">
        <f>VLOOKUP($A15,[6]HISTOBQUEDEC25!$A$6:$H$48,4,0)</f>
        <v>203000</v>
      </c>
      <c r="F15" s="91">
        <f>VLOOKUP($A15,[6]HISTOBQUEDEC25!$A$6:$H$48,6,0)</f>
        <v>0</v>
      </c>
      <c r="G15" s="91"/>
      <c r="H15" s="5">
        <f t="shared" si="16"/>
        <v>0</v>
      </c>
      <c r="I15" s="10" t="str">
        <f t="shared" si="0"/>
        <v>BANQUE</v>
      </c>
      <c r="J15" s="11">
        <v>1</v>
      </c>
      <c r="K15" s="11">
        <f t="shared" si="8"/>
        <v>50000</v>
      </c>
      <c r="L15" s="6"/>
      <c r="M15" s="11">
        <f t="shared" si="1"/>
        <v>0</v>
      </c>
      <c r="N15" s="6">
        <v>1</v>
      </c>
      <c r="O15" s="11">
        <f t="shared" si="2"/>
        <v>100000</v>
      </c>
      <c r="P15" s="2">
        <f>IFERROR(VLOOKUP(A15,[7]TONTDEC25!$A$6:$R$41,12,0),0)</f>
        <v>0</v>
      </c>
      <c r="Q15" s="2">
        <f>IFERROR(VLOOKUP(A15,[8]TONTDEC25!$A$6:$R$38,10,0),0)</f>
        <v>0</v>
      </c>
      <c r="R15" s="2">
        <f>IFERROR(VLOOKUP(A15,[9]TONTDEC25!$A$6:$R$42,10,0),0)</f>
        <v>203000</v>
      </c>
      <c r="S15" s="20"/>
      <c r="T15" s="12"/>
      <c r="U15" s="17">
        <f t="shared" si="9"/>
        <v>353000</v>
      </c>
      <c r="V15" s="12"/>
      <c r="W15" s="12"/>
      <c r="X15" s="12"/>
      <c r="Y15" s="92">
        <f>K15+M15+O15</f>
        <v>150000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7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>
        <f t="shared" si="5"/>
        <v>0</v>
      </c>
      <c r="BD15" s="57">
        <f t="shared" si="15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O15" t="s">
        <v>210</v>
      </c>
      <c r="BP15" t="s">
        <v>114</v>
      </c>
      <c r="BQ15" s="6"/>
    </row>
    <row r="16" spans="1:69" ht="18.5" x14ac:dyDescent="0.45">
      <c r="A16" s="1" t="s">
        <v>20</v>
      </c>
      <c r="B16" s="1" t="str">
        <f>VLOOKUP(A16,[5]LISTADHERENT!A$5:H$50,3,0)</f>
        <v>HENGUE PAUL OMER</v>
      </c>
      <c r="C16" s="5">
        <f t="shared" si="7"/>
        <v>26000</v>
      </c>
      <c r="D16" s="9">
        <f>VLOOKUP($A16,[6]HISTOBQUEDEC25!$A$6:$H$48,5,0)</f>
        <v>125000</v>
      </c>
      <c r="E16" s="91">
        <f>VLOOKUP($A16,[6]HISTOBQUEDEC25!$A$6:$H$48,4,0)+26000</f>
        <v>26000</v>
      </c>
      <c r="F16" s="91">
        <f>VLOOKUP($A16,[6]HISTOBQUEDEC25!$A$6:$H$48,6,0)</f>
        <v>0</v>
      </c>
      <c r="G16" s="91"/>
      <c r="H16" s="5">
        <f t="shared" si="16"/>
        <v>0</v>
      </c>
      <c r="I16" s="10" t="str">
        <f t="shared" si="0"/>
        <v>BANQUE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/>
      <c r="O16" s="11">
        <f t="shared" si="2"/>
        <v>0</v>
      </c>
      <c r="P16" s="2">
        <f>IFERROR(VLOOKUP(A16,[7]TONTDEC25!$A$6:$R$41,12,0),0)</f>
        <v>0</v>
      </c>
      <c r="Q16" s="2">
        <f>IFERROR(VLOOKUP(A16,[8]TONTDEC25!$A$6:$R$38,10,0),0)</f>
        <v>0</v>
      </c>
      <c r="R16" s="2">
        <f>IFERROR(VLOOKUP(A16,[9]TONTDEC25!$A$6:$R$42,10,0),0)</f>
        <v>0</v>
      </c>
      <c r="S16" s="20"/>
      <c r="T16" s="12"/>
      <c r="U16" s="17">
        <f t="shared" si="9"/>
        <v>125000</v>
      </c>
      <c r="V16" s="12"/>
      <c r="W16" s="12"/>
      <c r="X16" s="12"/>
      <c r="Y16" s="92">
        <f t="shared" si="10"/>
        <v>125000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7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>
        <f t="shared" si="5"/>
        <v>0</v>
      </c>
      <c r="BD16" s="57">
        <f t="shared" si="15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Q16" s="6"/>
    </row>
    <row r="17" spans="1:69" ht="18.5" x14ac:dyDescent="0.45">
      <c r="A17" s="1" t="s">
        <v>21</v>
      </c>
      <c r="B17" s="1" t="str">
        <f>VLOOKUP(A17,[5]LISTADHERENT!A$5:H$50,3,0)</f>
        <v>HOTCHO BENJAMIN</v>
      </c>
      <c r="C17" s="5">
        <f t="shared" si="7"/>
        <v>0</v>
      </c>
      <c r="D17" s="9">
        <f>VLOOKUP($A17,[6]HISTOBQUEDEC25!$A$6:$H$48,5,0)</f>
        <v>250000</v>
      </c>
      <c r="E17" s="91">
        <f>VLOOKUP($A17,[6]HISTOBQUEDEC25!$A$6:$H$48,4,0)</f>
        <v>603000</v>
      </c>
      <c r="F17" s="91">
        <f>VLOOKUP($A17,[6]HISTOBQUEDEC25!$A$6:$H$48,6,0)</f>
        <v>0</v>
      </c>
      <c r="G17" s="91">
        <v>25000</v>
      </c>
      <c r="H17" s="5">
        <f t="shared" si="16"/>
        <v>0</v>
      </c>
      <c r="I17" s="10" t="str">
        <f t="shared" si="0"/>
        <v>BANQUE</v>
      </c>
      <c r="J17" s="11">
        <v>1</v>
      </c>
      <c r="K17" s="11">
        <f t="shared" si="8"/>
        <v>50000</v>
      </c>
      <c r="L17" s="6">
        <v>1</v>
      </c>
      <c r="M17" s="11">
        <f t="shared" si="1"/>
        <v>75000</v>
      </c>
      <c r="N17" s="6">
        <v>1</v>
      </c>
      <c r="O17" s="11">
        <f t="shared" si="2"/>
        <v>100000</v>
      </c>
      <c r="P17" s="2">
        <f>IFERROR(VLOOKUP(A17,[7]TONTDEC25!$A$6:$R$41,12,0),0)</f>
        <v>0</v>
      </c>
      <c r="Q17" s="2">
        <f>IFERROR(VLOOKUP(A17,[8]TONTDEC25!$A$6:$R$38,10,0),0)</f>
        <v>0</v>
      </c>
      <c r="R17" s="2">
        <f>IFERROR(VLOOKUP(A17,[9]TONTDEC25!$A$6:$R$42,10,0),0)</f>
        <v>203000</v>
      </c>
      <c r="S17" s="20">
        <v>400000</v>
      </c>
      <c r="T17" s="12" t="s">
        <v>9</v>
      </c>
      <c r="U17" s="17">
        <f t="shared" si="9"/>
        <v>853000</v>
      </c>
      <c r="V17" s="12"/>
      <c r="W17" s="12"/>
      <c r="X17" s="12"/>
      <c r="Y17" s="92">
        <f t="shared" si="10"/>
        <v>225000</v>
      </c>
      <c r="Z17" s="12">
        <v>400000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7"/>
        <v>50000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392000</v>
      </c>
      <c r="BA17" s="58">
        <v>392000</v>
      </c>
      <c r="BB17" s="58" t="s">
        <v>186</v>
      </c>
      <c r="BC17" s="15">
        <f t="shared" si="5"/>
        <v>0</v>
      </c>
      <c r="BD17" s="57" t="e">
        <f t="shared" si="15"/>
        <v>#VALUE!</v>
      </c>
      <c r="BE17" s="82"/>
      <c r="BF17" s="29">
        <f t="shared" si="6"/>
        <v>8000</v>
      </c>
      <c r="BG17" s="29">
        <v>2</v>
      </c>
      <c r="BH17" s="15"/>
      <c r="BI17" s="15"/>
      <c r="BJ17" s="15"/>
      <c r="BK17" s="15"/>
      <c r="BL17" s="61"/>
      <c r="BO17" s="62" t="s">
        <v>142</v>
      </c>
      <c r="BQ17" s="62">
        <f>SUM(BQ6:BQ16)</f>
        <v>52000</v>
      </c>
    </row>
    <row r="18" spans="1:69" ht="18.5" x14ac:dyDescent="0.45">
      <c r="A18" s="1" t="s">
        <v>22</v>
      </c>
      <c r="B18" s="1" t="str">
        <f>VLOOKUP(A18,[5]LISTADHERENT!A$5:H$50,3,0)</f>
        <v>KOUAMOU MOISE</v>
      </c>
      <c r="C18" s="5">
        <f t="shared" si="7"/>
        <v>0</v>
      </c>
      <c r="D18" s="9">
        <f>VLOOKUP($A18,[6]HISTOBQUEDEC25!$A$6:$H$48,5,0)</f>
        <v>250000</v>
      </c>
      <c r="E18" s="91">
        <f>VLOOKUP($A18,[6]HISTOBQUEDEC25!$A$6:$H$48,4,0)</f>
        <v>20000</v>
      </c>
      <c r="F18" s="91">
        <f>VLOOKUP($A18,[6]HISTOBQUEDEC25!$A$6:$H$48,6,0)</f>
        <v>143500</v>
      </c>
      <c r="G18" s="91"/>
      <c r="H18" s="5">
        <f t="shared" si="16"/>
        <v>0</v>
      </c>
      <c r="I18" s="10" t="str">
        <f t="shared" si="0"/>
        <v>BANQUE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IFERROR(VLOOKUP(A18,[7]TONTDEC25!$A$6:$R$41,12,0),0)</f>
        <v>53000</v>
      </c>
      <c r="Q18" s="2">
        <f>IFERROR(VLOOKUP(A18,[8]TONTDEC25!$A$6:$R$38,10,0),0)</f>
        <v>0</v>
      </c>
      <c r="R18" s="2">
        <f>IFERROR(VLOOKUP(A18,[9]TONTDEC25!$A$6:$R$42,10,0),0)</f>
        <v>210500</v>
      </c>
      <c r="S18" s="20"/>
      <c r="T18" s="12"/>
      <c r="U18" s="17">
        <f t="shared" si="9"/>
        <v>413500</v>
      </c>
      <c r="V18" s="12"/>
      <c r="W18" s="12"/>
      <c r="X18" s="12"/>
      <c r="Y18" s="92">
        <f t="shared" si="10"/>
        <v>150000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7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>
        <f>F18</f>
        <v>143500</v>
      </c>
      <c r="BD18" s="57">
        <f t="shared" si="15"/>
        <v>-143500</v>
      </c>
      <c r="BE18" s="82"/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O18" s="62"/>
      <c r="BQ18" s="6"/>
    </row>
    <row r="19" spans="1:69" ht="18.5" x14ac:dyDescent="0.45">
      <c r="A19" s="1" t="s">
        <v>23</v>
      </c>
      <c r="B19" s="1" t="str">
        <f>VLOOKUP(A19,[5]LISTADHERENT!A$5:H$50,3,0)</f>
        <v>KOUATCHO MESSACK</v>
      </c>
      <c r="C19" s="5">
        <f t="shared" si="7"/>
        <v>0</v>
      </c>
      <c r="D19" s="9">
        <f>VLOOKUP($A19,[6]HISTOBQUEDEC25!$A$6:$H$48,5,0)</f>
        <v>208000</v>
      </c>
      <c r="E19" s="91">
        <f>VLOOKUP($A19,[6]HISTOBQUEDEC25!$A$6:$H$48,4,0)</f>
        <v>1235000</v>
      </c>
      <c r="F19" s="91">
        <f>VLOOKUP($A19,[6]HISTOBQUEDEC25!$A$6:$H$48,6,0)</f>
        <v>0</v>
      </c>
      <c r="G19" s="91">
        <v>10000</v>
      </c>
      <c r="H19" s="5">
        <f t="shared" si="16"/>
        <v>0</v>
      </c>
      <c r="I19" s="10" t="str">
        <f t="shared" si="0"/>
        <v>BANQUE</v>
      </c>
      <c r="J19" s="11">
        <v>1</v>
      </c>
      <c r="K19" s="11">
        <f t="shared" si="8"/>
        <v>50000</v>
      </c>
      <c r="L19" s="6">
        <v>1</v>
      </c>
      <c r="M19" s="11">
        <f t="shared" si="1"/>
        <v>75000</v>
      </c>
      <c r="N19" s="6">
        <v>1</v>
      </c>
      <c r="O19" s="11">
        <f t="shared" si="2"/>
        <v>100000</v>
      </c>
      <c r="P19" s="2">
        <f>IFERROR(VLOOKUP(A19,[7]TONTDEC25!$A$6:$R$41,12,0),0)</f>
        <v>0</v>
      </c>
      <c r="Q19" s="2">
        <f>IFERROR(VLOOKUP(A19,[8]TONTDEC25!$A$6:$R$38,10,0),0)</f>
        <v>0</v>
      </c>
      <c r="R19" s="2">
        <f>IFERROR(VLOOKUP(A19,[9]TONTDEC25!$A$6:$R$42,10,0),0)</f>
        <v>208000</v>
      </c>
      <c r="S19" s="20">
        <v>1000000</v>
      </c>
      <c r="T19" s="12" t="s">
        <v>9</v>
      </c>
      <c r="U19" s="17">
        <f t="shared" si="9"/>
        <v>1443000</v>
      </c>
      <c r="V19" s="12"/>
      <c r="W19" s="12"/>
      <c r="X19" s="12"/>
      <c r="Y19" s="92">
        <f t="shared" si="10"/>
        <v>225000</v>
      </c>
      <c r="Z19" s="12">
        <v>1000000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 t="s">
        <v>8</v>
      </c>
      <c r="AQ19" s="8">
        <f t="shared" si="3"/>
        <v>0</v>
      </c>
      <c r="AR19" s="8">
        <f t="shared" si="4"/>
        <v>0</v>
      </c>
      <c r="AS19" s="13">
        <f t="shared" si="17"/>
        <v>35000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880000</v>
      </c>
      <c r="BA19" s="58"/>
      <c r="BB19" s="58"/>
      <c r="BC19" s="15">
        <f t="shared" ref="BC19:BC42" si="18">F19</f>
        <v>0</v>
      </c>
      <c r="BD19" s="57">
        <f t="shared" si="15"/>
        <v>880000</v>
      </c>
      <c r="BE19" s="82" t="s">
        <v>186</v>
      </c>
      <c r="BF19" s="29">
        <f t="shared" si="6"/>
        <v>120000</v>
      </c>
      <c r="BG19" s="29">
        <v>12</v>
      </c>
      <c r="BH19" s="15"/>
      <c r="BI19" s="15"/>
      <c r="BJ19" s="15"/>
      <c r="BK19" s="15"/>
      <c r="BL19" s="61"/>
      <c r="BO19" t="s">
        <v>212</v>
      </c>
      <c r="BP19" t="s">
        <v>211</v>
      </c>
      <c r="BQ19" s="6"/>
    </row>
    <row r="20" spans="1:69" ht="18.5" x14ac:dyDescent="0.45">
      <c r="A20" s="1" t="s">
        <v>24</v>
      </c>
      <c r="B20" s="1" t="str">
        <f>VLOOKUP(A20,[5]LISTADHERENT!A$5:H$50,3,0)</f>
        <v>LOWE JEAN</v>
      </c>
      <c r="C20" s="5"/>
      <c r="D20" s="9"/>
      <c r="E20" s="91">
        <v>50000</v>
      </c>
      <c r="F20" s="91"/>
      <c r="G20" s="91"/>
      <c r="H20" s="5"/>
      <c r="I20" s="10"/>
      <c r="J20" s="11"/>
      <c r="K20" s="11"/>
      <c r="L20" s="6"/>
      <c r="M20" s="11"/>
      <c r="N20" s="6"/>
      <c r="O20" s="11"/>
      <c r="P20" s="2"/>
      <c r="Q20" s="2"/>
      <c r="R20" s="2"/>
      <c r="S20" s="20"/>
      <c r="T20" s="12"/>
      <c r="U20" s="17"/>
      <c r="V20" s="12"/>
      <c r="W20" s="12"/>
      <c r="X20" s="12"/>
      <c r="Y20" s="9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/>
      <c r="AR20" s="8"/>
      <c r="AS20" s="13"/>
      <c r="AT20" s="15"/>
      <c r="AV20" s="15"/>
      <c r="AW20" s="15"/>
      <c r="AX20" s="15"/>
      <c r="AY20" s="15"/>
      <c r="AZ20" s="16"/>
      <c r="BA20" s="58"/>
      <c r="BB20" s="58"/>
      <c r="BC20" s="15"/>
      <c r="BD20" s="57"/>
      <c r="BE20" s="82"/>
      <c r="BF20" s="29"/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195</v>
      </c>
      <c r="B21" s="1" t="str">
        <f>VLOOKUP(A21,[5]LISTADHERENT!A$5:H$50,3,0)</f>
        <v>MASSEUNGOUE DAGOBERT</v>
      </c>
      <c r="C21" s="5">
        <f t="shared" si="7"/>
        <v>0</v>
      </c>
      <c r="D21" s="9">
        <f>VLOOKUP($A21,[6]HISTOBQUEDEC25!$A$6:$H$48,5,0)</f>
        <v>50000</v>
      </c>
      <c r="E21" s="91">
        <f>VLOOKUP($A21,[6]HISTOBQUEDEC25!$A$6:$H$48,4,0)</f>
        <v>53000</v>
      </c>
      <c r="F21" s="91">
        <f>VLOOKUP($A21,[6]HISTOBQUEDEC25!$A$6:$H$48,6,0)</f>
        <v>0</v>
      </c>
      <c r="G21" s="91"/>
      <c r="H21" s="5">
        <f t="shared" si="16"/>
        <v>0</v>
      </c>
      <c r="I21" s="10" t="str">
        <f t="shared" si="0"/>
        <v>BANQUE</v>
      </c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IFERROR(VLOOKUP(A21,[7]TONTDEC25!$A$6:$R$41,12,0),0)</f>
        <v>53000</v>
      </c>
      <c r="Q21" s="2">
        <f>IFERROR(VLOOKUP(A21,[8]TONTDEC25!$A$6:$R$38,10,0),0)</f>
        <v>0</v>
      </c>
      <c r="R21" s="2">
        <f>IFERROR(VLOOKUP(A21,[9]TONTDEC25!$A$6:$R$42,10,0),0)</f>
        <v>0</v>
      </c>
      <c r="S21" s="20"/>
      <c r="T21" s="12"/>
      <c r="U21" s="17">
        <f t="shared" si="9"/>
        <v>103000</v>
      </c>
      <c r="V21" s="12"/>
      <c r="W21" s="12"/>
      <c r="X21" s="12"/>
      <c r="Y21" s="92">
        <f t="shared" si="10"/>
        <v>50000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7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>
        <f t="shared" si="18"/>
        <v>0</v>
      </c>
      <c r="BD21" s="57">
        <f t="shared" si="15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O21" t="s">
        <v>183</v>
      </c>
      <c r="BQ21" s="6"/>
    </row>
    <row r="22" spans="1:69" ht="18.5" x14ac:dyDescent="0.45">
      <c r="A22" s="1" t="s">
        <v>25</v>
      </c>
      <c r="B22" s="1" t="str">
        <f>VLOOKUP(A22,[5]LISTADHERENT!A$5:H$50,3,0)</f>
        <v>MBOGNING TUGMA GUY</v>
      </c>
      <c r="C22" s="5">
        <f t="shared" si="7"/>
        <v>0</v>
      </c>
      <c r="D22" s="9">
        <f>VLOOKUP($A22,[6]HISTOBQUEDEC25!$A$6:$H$48,5,0)</f>
        <v>0</v>
      </c>
      <c r="E22" s="91">
        <f>VLOOKUP($A22,[6]HISTOBQUEDEC25!$A$6:$H$48,4,0)</f>
        <v>1471000</v>
      </c>
      <c r="F22" s="91">
        <f>VLOOKUP($A22,[6]HISTOBQUEDEC25!$A$6:$H$48,6,0)</f>
        <v>0</v>
      </c>
      <c r="G22" s="91"/>
      <c r="H22" s="5">
        <f>IF(I22="ESPECES",3000,0)-3000</f>
        <v>0</v>
      </c>
      <c r="I22" s="10" t="str">
        <f t="shared" si="0"/>
        <v>ESPECES</v>
      </c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>
        <v>2</v>
      </c>
      <c r="O22" s="11">
        <f t="shared" si="2"/>
        <v>200000</v>
      </c>
      <c r="P22" s="2">
        <f>IFERROR(VLOOKUP(A22,[7]TONTDEC25!$A$6:$R$41,12,0),0)</f>
        <v>0</v>
      </c>
      <c r="Q22" s="2">
        <f>IFERROR(VLOOKUP(A22,[8]TONTDEC25!$A$6:$R$38,10,0),0)</f>
        <v>0</v>
      </c>
      <c r="R22" s="2">
        <f>IFERROR(VLOOKUP(A22,[9]TONTDEC25!$A$6:$R$42,10,0),0)</f>
        <v>146000</v>
      </c>
      <c r="S22" s="20">
        <v>1000000</v>
      </c>
      <c r="T22" s="12" t="s">
        <v>9</v>
      </c>
      <c r="U22" s="17">
        <f t="shared" si="9"/>
        <v>1471000</v>
      </c>
      <c r="V22" s="12"/>
      <c r="W22" s="12"/>
      <c r="X22" s="12"/>
      <c r="Y22" s="92">
        <f t="shared" si="10"/>
        <v>325000</v>
      </c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 t="s">
        <v>8</v>
      </c>
      <c r="AQ22" s="8">
        <f t="shared" si="3"/>
        <v>0</v>
      </c>
      <c r="AR22" s="8">
        <f t="shared" si="4"/>
        <v>0</v>
      </c>
      <c r="AS22" s="13">
        <f t="shared" si="17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880000</v>
      </c>
      <c r="BA22" s="58">
        <v>970000</v>
      </c>
      <c r="BB22" s="58" t="s">
        <v>186</v>
      </c>
      <c r="BC22" s="15">
        <f t="shared" si="18"/>
        <v>0</v>
      </c>
      <c r="BD22" s="57" t="e">
        <f t="shared" si="15"/>
        <v>#VALUE!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Q22" s="6"/>
    </row>
    <row r="23" spans="1:69" ht="18.5" x14ac:dyDescent="0.45">
      <c r="A23" s="1" t="s">
        <v>26</v>
      </c>
      <c r="B23" s="1" t="str">
        <f>VLOOKUP(A23,[5]LISTADHERENT!A$5:H$50,3,0)</f>
        <v>NANGUEN MARTIN</v>
      </c>
      <c r="C23" s="5">
        <f t="shared" si="7"/>
        <v>0</v>
      </c>
      <c r="D23" s="9">
        <f>VLOOKUP($A23,[6]HISTOBQUEDEC25!$A$6:$H$48,5,0)</f>
        <v>0</v>
      </c>
      <c r="E23" s="91">
        <f>VLOOKUP($A23,[6]HISTOBQUEDEC25!$A$6:$H$48,4,0)</f>
        <v>50000</v>
      </c>
      <c r="F23" s="91">
        <f>VLOOKUP($A23,[6]HISTOBQUEDEC25!$A$6:$H$48,6,0)</f>
        <v>0</v>
      </c>
      <c r="G23" s="91"/>
      <c r="H23" s="5">
        <f t="shared" ref="H23" si="19">IF(I23="ESPECES",3000,0)-3000</f>
        <v>0</v>
      </c>
      <c r="I23" s="10" t="str">
        <f t="shared" si="0"/>
        <v>ESPECES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/>
      <c r="O23" s="11">
        <f t="shared" si="2"/>
        <v>0</v>
      </c>
      <c r="P23" s="2">
        <f>IFERROR(VLOOKUP(A23,[7]TONTDEC25!$A$6:$R$41,12,0),0)</f>
        <v>0</v>
      </c>
      <c r="Q23" s="2">
        <f>IFERROR(VLOOKUP(A23,[8]TONTDEC25!$A$6:$R$38,10,0),0)</f>
        <v>0</v>
      </c>
      <c r="R23" s="2">
        <f>IFERROR(VLOOKUP(A23,[9]TONTDEC25!$A$6:$R$42,10,0),0)</f>
        <v>0</v>
      </c>
      <c r="S23" s="20"/>
      <c r="T23" s="12"/>
      <c r="U23" s="17">
        <f t="shared" si="9"/>
        <v>50000</v>
      </c>
      <c r="V23" s="12"/>
      <c r="W23" s="12"/>
      <c r="X23" s="12"/>
      <c r="Y23" s="92">
        <f t="shared" si="10"/>
        <v>50000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7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>
        <f t="shared" si="18"/>
        <v>0</v>
      </c>
      <c r="BD23" s="57">
        <f t="shared" si="15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  <c r="BQ23" s="6"/>
    </row>
    <row r="24" spans="1:69" s="72" customFormat="1" ht="18.5" x14ac:dyDescent="0.45">
      <c r="A24" s="73" t="s">
        <v>27</v>
      </c>
      <c r="B24" s="73" t="str">
        <f>VLOOKUP(A24,[5]LISTADHERENT!A$5:H$50,3,0)</f>
        <v>NANKAM APPOLINAIRE</v>
      </c>
      <c r="C24" s="14">
        <f t="shared" si="7"/>
        <v>26000</v>
      </c>
      <c r="D24" s="14">
        <f>VLOOKUP($A24,[6]HISTOBQUEDEC25!$A$6:$H$48,5,0)</f>
        <v>125000</v>
      </c>
      <c r="E24" s="14">
        <f>VLOOKUP($A24,[6]HISTOBQUEDEC25!$A$6:$H$48,4,0)+26000</f>
        <v>26000</v>
      </c>
      <c r="F24" s="14">
        <f>VLOOKUP($A24,[6]HISTOBQUEDEC25!$A$6:$H$48,6,0)</f>
        <v>900000</v>
      </c>
      <c r="G24" s="14"/>
      <c r="H24" s="14">
        <f t="shared" si="16"/>
        <v>0</v>
      </c>
      <c r="I24" s="74" t="str">
        <f t="shared" si="0"/>
        <v>BANQUE</v>
      </c>
      <c r="J24" s="75">
        <v>1</v>
      </c>
      <c r="K24" s="75">
        <f t="shared" si="8"/>
        <v>50000</v>
      </c>
      <c r="L24" s="70">
        <v>1</v>
      </c>
      <c r="M24" s="75">
        <f t="shared" si="1"/>
        <v>75000</v>
      </c>
      <c r="N24" s="70"/>
      <c r="O24" s="75">
        <f t="shared" si="2"/>
        <v>0</v>
      </c>
      <c r="P24" s="76">
        <f>IFERROR(VLOOKUP(A24,[7]TONTDEC25!$A$6:$R$41,12,0),0)</f>
        <v>0</v>
      </c>
      <c r="Q24" s="76">
        <f>IFERROR(VLOOKUP(A24,[8]TONTDEC25!$A$6:$R$38,10,0),0)</f>
        <v>0</v>
      </c>
      <c r="R24" s="76">
        <f>IFERROR(VLOOKUP(A24,[9]TONTDEC25!$A$6:$R$42,10,0),0)</f>
        <v>0</v>
      </c>
      <c r="S24" s="77">
        <v>900000</v>
      </c>
      <c r="T24" s="78" t="s">
        <v>8</v>
      </c>
      <c r="U24" s="79">
        <f t="shared" si="9"/>
        <v>1025000</v>
      </c>
      <c r="V24" s="78"/>
      <c r="W24" s="78"/>
      <c r="X24" s="78"/>
      <c r="Y24" s="115">
        <f t="shared" si="10"/>
        <v>125000</v>
      </c>
      <c r="Z24" s="78">
        <v>900000</v>
      </c>
      <c r="AA24" s="78" t="s">
        <v>8</v>
      </c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8">
        <f t="shared" si="3"/>
        <v>0</v>
      </c>
      <c r="AR24" s="8">
        <f t="shared" si="4"/>
        <v>0</v>
      </c>
      <c r="AS24" s="75">
        <f t="shared" si="17"/>
        <v>25000</v>
      </c>
      <c r="AT24" s="80"/>
      <c r="AV24" s="80"/>
      <c r="AW24" s="80">
        <f t="shared" si="11"/>
        <v>0</v>
      </c>
      <c r="AX24" s="80">
        <f t="shared" si="12"/>
        <v>0</v>
      </c>
      <c r="AY24" s="80">
        <f t="shared" si="13"/>
        <v>0</v>
      </c>
      <c r="AZ24" s="71">
        <f>SUM(AV24:AY24)-BF24+Z24+BH24+BI24+BJ24+BK24+BL24+BM24+BN24-140000</f>
        <v>652000</v>
      </c>
      <c r="BA24" s="58">
        <v>900000</v>
      </c>
      <c r="BB24" s="58"/>
      <c r="BC24" s="80">
        <f t="shared" si="18"/>
        <v>900000</v>
      </c>
      <c r="BD24" s="71">
        <f t="shared" si="15"/>
        <v>-1148000</v>
      </c>
      <c r="BE24" s="83"/>
      <c r="BF24" s="81">
        <f t="shared" si="6"/>
        <v>108000</v>
      </c>
      <c r="BG24" s="81">
        <v>12</v>
      </c>
      <c r="BH24" s="80"/>
      <c r="BI24" s="80"/>
      <c r="BJ24" s="80"/>
      <c r="BK24" s="80"/>
      <c r="BL24" s="76"/>
      <c r="BO24" s="71" t="s">
        <v>142</v>
      </c>
      <c r="BQ24" s="71">
        <f>SUM(BQ19:BQ23)</f>
        <v>0</v>
      </c>
    </row>
    <row r="25" spans="1:69" ht="18.5" x14ac:dyDescent="0.45">
      <c r="A25" s="1" t="s">
        <v>28</v>
      </c>
      <c r="B25" s="1" t="str">
        <f>VLOOKUP(A25,[5]LISTADHERENT!A$5:H$50,3,0)</f>
        <v>NDJOMO ETIENNE</v>
      </c>
      <c r="C25" s="5">
        <f t="shared" si="7"/>
        <v>0</v>
      </c>
      <c r="D25" s="9">
        <f>VLOOKUP($A25,[6]HISTOBQUEDEC25!$A$6:$H$48,5,0)</f>
        <v>760000</v>
      </c>
      <c r="E25" s="91">
        <f>VLOOKUP($A25,[6]HISTOBQUEDEC25!$A$6:$H$48,4,0)</f>
        <v>203000</v>
      </c>
      <c r="F25" s="91">
        <f>VLOOKUP($A25,[6]HISTOBQUEDEC25!$A$6:$H$48,6,0)</f>
        <v>0</v>
      </c>
      <c r="G25" s="91">
        <v>10000</v>
      </c>
      <c r="H25" s="5">
        <f t="shared" si="16"/>
        <v>0</v>
      </c>
      <c r="I25" s="10" t="str">
        <f t="shared" si="0"/>
        <v>BANQUE</v>
      </c>
      <c r="J25" s="11">
        <v>1</v>
      </c>
      <c r="K25" s="11">
        <f t="shared" si="8"/>
        <v>50000</v>
      </c>
      <c r="L25" s="6"/>
      <c r="M25" s="11">
        <f t="shared" si="1"/>
        <v>0</v>
      </c>
      <c r="N25" s="6">
        <v>2</v>
      </c>
      <c r="O25" s="11">
        <f t="shared" si="2"/>
        <v>200000</v>
      </c>
      <c r="P25" s="2">
        <f>IFERROR(VLOOKUP(A25,[7]TONTDEC25!$A$6:$R$41,12,0),0)</f>
        <v>0</v>
      </c>
      <c r="Q25" s="2">
        <f>IFERROR(VLOOKUP(A25,[8]TONTDEC25!$A$6:$R$38,10,0),0)</f>
        <v>0</v>
      </c>
      <c r="R25" s="2">
        <f>IFERROR(VLOOKUP(A25,[9]TONTDEC25!$A$6:$R$42,10,0),0)</f>
        <v>203000</v>
      </c>
      <c r="S25" s="20">
        <v>500000</v>
      </c>
      <c r="T25" s="12" t="s">
        <v>8</v>
      </c>
      <c r="U25" s="17">
        <f t="shared" si="9"/>
        <v>963000</v>
      </c>
      <c r="V25" s="12"/>
      <c r="W25" s="12"/>
      <c r="X25" s="12"/>
      <c r="Y25" s="92">
        <f t="shared" si="10"/>
        <v>250000</v>
      </c>
      <c r="Z25" s="12">
        <v>500000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7"/>
        <v>35000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470000</v>
      </c>
      <c r="BA25" s="58">
        <v>376500</v>
      </c>
      <c r="BB25" s="58" t="s">
        <v>186</v>
      </c>
      <c r="BC25" s="15">
        <f t="shared" si="18"/>
        <v>0</v>
      </c>
      <c r="BD25" s="57" t="e">
        <f t="shared" si="15"/>
        <v>#VALUE!</v>
      </c>
      <c r="BE25" s="82" t="s">
        <v>186</v>
      </c>
      <c r="BF25" s="29">
        <f t="shared" si="6"/>
        <v>30000</v>
      </c>
      <c r="BG25" s="29">
        <v>6</v>
      </c>
      <c r="BH25" s="15"/>
      <c r="BI25" s="15"/>
      <c r="BJ25" s="15"/>
      <c r="BK25" s="15"/>
      <c r="BL25" s="61"/>
    </row>
    <row r="26" spans="1:69" ht="18.5" x14ac:dyDescent="0.45">
      <c r="A26" s="1" t="s">
        <v>29</v>
      </c>
      <c r="B26" s="1" t="str">
        <f>VLOOKUP(A26,[5]LISTADHERENT!A$5:H$50,3,0)</f>
        <v>NGONDIEP CLAUDE</v>
      </c>
      <c r="C26" s="5">
        <f t="shared" si="7"/>
        <v>0</v>
      </c>
      <c r="D26" s="9">
        <f>VLOOKUP($A26,[6]HISTOBQUEDEC25!$A$6:$H$48,5,0)</f>
        <v>1550000</v>
      </c>
      <c r="E26" s="91">
        <f>VLOOKUP($A26,[6]HISTOBQUEDEC25!$A$6:$H$48,4,0)</f>
        <v>0</v>
      </c>
      <c r="F26" s="91">
        <f>VLOOKUP($A26,[6]HISTOBQUEDEC25!$A$6:$H$48,6,0)</f>
        <v>0</v>
      </c>
      <c r="G26" s="91">
        <v>17500</v>
      </c>
      <c r="H26" s="5">
        <f t="shared" si="16"/>
        <v>0</v>
      </c>
      <c r="I26" s="10" t="str">
        <f t="shared" si="0"/>
        <v>BANQUE</v>
      </c>
      <c r="J26" s="11">
        <v>1</v>
      </c>
      <c r="K26" s="11">
        <f t="shared" si="8"/>
        <v>50000</v>
      </c>
      <c r="L26" s="6">
        <v>1</v>
      </c>
      <c r="M26" s="11">
        <f t="shared" si="1"/>
        <v>75000</v>
      </c>
      <c r="N26" s="6">
        <v>1</v>
      </c>
      <c r="O26" s="11">
        <f t="shared" si="2"/>
        <v>100000</v>
      </c>
      <c r="P26" s="2">
        <f>IFERROR(VLOOKUP(A26,[7]TONTDEC25!$A$6:$R$41,12,0),0)</f>
        <v>0</v>
      </c>
      <c r="Q26" s="2">
        <f>IFERROR(VLOOKUP(A26,[8]TONTDEC25!$A$6:$R$38,10,0),0)</f>
        <v>104500</v>
      </c>
      <c r="R26" s="2">
        <f>IFERROR(VLOOKUP(A26,[9]TONTDEC25!$A$6:$R$42,10,0),0)</f>
        <v>203000</v>
      </c>
      <c r="S26" s="20">
        <v>1000000</v>
      </c>
      <c r="T26" s="12" t="s">
        <v>8</v>
      </c>
      <c r="U26" s="17">
        <f t="shared" si="9"/>
        <v>1550000</v>
      </c>
      <c r="V26" s="12"/>
      <c r="W26" s="12"/>
      <c r="X26" s="12"/>
      <c r="Y26" s="92">
        <f t="shared" si="10"/>
        <v>225000</v>
      </c>
      <c r="Z26" s="12">
        <v>1000000</v>
      </c>
      <c r="AA26" s="12" t="s">
        <v>8</v>
      </c>
      <c r="AB26" s="12"/>
      <c r="AC26" s="12">
        <v>2500</v>
      </c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7"/>
        <v>42500</v>
      </c>
      <c r="AT26" s="15"/>
      <c r="AV26" s="15"/>
      <c r="AW26" s="15">
        <f t="shared" si="11"/>
        <v>297500</v>
      </c>
      <c r="AX26" s="15">
        <f t="shared" si="12"/>
        <v>0</v>
      </c>
      <c r="AY26" s="15">
        <f>IF(AE26=0,AK26,(1*100000*12)+(AK26)-AE26)</f>
        <v>0</v>
      </c>
      <c r="AZ26" s="16">
        <f t="shared" si="14"/>
        <v>1177500</v>
      </c>
      <c r="BA26" s="58"/>
      <c r="BB26" s="58"/>
      <c r="BC26" s="15">
        <f t="shared" si="18"/>
        <v>0</v>
      </c>
      <c r="BD26" s="57">
        <f t="shared" si="15"/>
        <v>1177500</v>
      </c>
      <c r="BE26" s="82" t="s">
        <v>186</v>
      </c>
      <c r="BF26" s="29">
        <f t="shared" si="6"/>
        <v>120000</v>
      </c>
      <c r="BG26" s="29">
        <v>12</v>
      </c>
      <c r="BH26" s="15"/>
      <c r="BI26" s="15"/>
      <c r="BJ26" s="15"/>
      <c r="BK26" s="15"/>
      <c r="BL26" s="61"/>
      <c r="BO26" t="s">
        <v>197</v>
      </c>
      <c r="BP26" t="s">
        <v>143</v>
      </c>
      <c r="BQ26" s="6"/>
    </row>
    <row r="27" spans="1:69" ht="18.5" x14ac:dyDescent="0.45">
      <c r="A27" s="1" t="s">
        <v>30</v>
      </c>
      <c r="B27" s="1" t="str">
        <f>VLOOKUP(A27,[5]LISTADHERENT!A$5:H$50,3,0)</f>
        <v>NGUIEMEGNI MATHIEU BLAISE</v>
      </c>
      <c r="C27" s="5">
        <f t="shared" si="7"/>
        <v>0</v>
      </c>
      <c r="D27" s="9">
        <f>VLOOKUP($A27,[6]HISTOBQUEDEC25!$A$6:$H$48,5,0)</f>
        <v>450000</v>
      </c>
      <c r="E27" s="91">
        <f>VLOOKUP($A27,[6]HISTOBQUEDEC25!$A$6:$H$48,4,0)</f>
        <v>0</v>
      </c>
      <c r="F27" s="91">
        <f>VLOOKUP($A27,[6]HISTOBQUEDEC25!$A$6:$H$48,6,0)</f>
        <v>0</v>
      </c>
      <c r="G27" s="91">
        <v>-6500</v>
      </c>
      <c r="H27" s="5">
        <f t="shared" si="16"/>
        <v>0</v>
      </c>
      <c r="I27" s="10" t="str">
        <f t="shared" si="0"/>
        <v>BANQUE</v>
      </c>
      <c r="J27" s="11">
        <v>1</v>
      </c>
      <c r="K27" s="11">
        <f t="shared" si="8"/>
        <v>50000</v>
      </c>
      <c r="L27" s="6"/>
      <c r="M27" s="11">
        <f t="shared" si="1"/>
        <v>0</v>
      </c>
      <c r="N27" s="6">
        <v>2</v>
      </c>
      <c r="O27" s="11">
        <f t="shared" si="2"/>
        <v>200000</v>
      </c>
      <c r="P27" s="2">
        <f>IFERROR(VLOOKUP(A27,[7]TONTDEC25!$A$6:$R$41,12,0),0)</f>
        <v>0</v>
      </c>
      <c r="Q27" s="2">
        <f>IFERROR(VLOOKUP(A27,[8]TONTDEC25!$A$6:$R$38,10,0),0)</f>
        <v>0</v>
      </c>
      <c r="R27" s="2">
        <f>IFERROR(VLOOKUP(A27,[9]TONTDEC25!$A$6:$R$42,10,0),0)</f>
        <v>206500</v>
      </c>
      <c r="S27" s="20"/>
      <c r="T27" s="12"/>
      <c r="U27" s="17">
        <f t="shared" si="9"/>
        <v>450000</v>
      </c>
      <c r="V27" s="12"/>
      <c r="W27" s="12"/>
      <c r="X27" s="12"/>
      <c r="Y27" s="92">
        <f t="shared" si="10"/>
        <v>250000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 t="s">
        <v>8</v>
      </c>
      <c r="AQ27" s="8">
        <f t="shared" si="3"/>
        <v>0</v>
      </c>
      <c r="AR27" s="8">
        <f t="shared" si="4"/>
        <v>0</v>
      </c>
      <c r="AS27" s="13">
        <f t="shared" si="17"/>
        <v>18500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>
        <f t="shared" si="18"/>
        <v>0</v>
      </c>
      <c r="BD27" s="57">
        <f t="shared" si="15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O27" t="s">
        <v>204</v>
      </c>
      <c r="BP27" t="s">
        <v>143</v>
      </c>
      <c r="BQ27" s="6"/>
    </row>
    <row r="28" spans="1:69" ht="18.5" x14ac:dyDescent="0.45">
      <c r="A28" s="1" t="s">
        <v>31</v>
      </c>
      <c r="B28" s="1" t="str">
        <f>VLOOKUP(A28,[5]LISTADHERENT!A$5:H$50,3,0)</f>
        <v>NKAMGANG JUSTIN DEJOLIE</v>
      </c>
      <c r="C28" s="5">
        <f t="shared" si="7"/>
        <v>0</v>
      </c>
      <c r="D28" s="9">
        <f>VLOOKUP($A28,[6]HISTOBQUEDEC25!$A$6:$H$48,5,0)</f>
        <v>51500</v>
      </c>
      <c r="E28" s="91">
        <f>VLOOKUP($A28,[6]HISTOBQUEDEC25!$A$6:$H$48,4,0)</f>
        <v>1050000</v>
      </c>
      <c r="F28" s="91">
        <f>VLOOKUP($A28,[6]HISTOBQUEDEC25!$A$6:$H$48,6,0)</f>
        <v>0</v>
      </c>
      <c r="G28" s="91"/>
      <c r="H28" s="5">
        <f t="shared" si="16"/>
        <v>0</v>
      </c>
      <c r="I28" s="10" t="str">
        <f t="shared" si="0"/>
        <v>BANQUE</v>
      </c>
      <c r="J28" s="11">
        <v>1</v>
      </c>
      <c r="K28" s="11">
        <f t="shared" si="8"/>
        <v>50000</v>
      </c>
      <c r="L28" s="6"/>
      <c r="M28" s="11">
        <f t="shared" si="1"/>
        <v>0</v>
      </c>
      <c r="N28" s="6"/>
      <c r="O28" s="11">
        <f t="shared" si="2"/>
        <v>0</v>
      </c>
      <c r="P28" s="2">
        <f>IFERROR(VLOOKUP(A28,[7]TONTDEC25!$A$6:$R$41,12,0),0)</f>
        <v>51500</v>
      </c>
      <c r="Q28" s="2">
        <f>IFERROR(VLOOKUP(A28,[8]TONTDEC25!$A$6:$R$38,10,0),0)</f>
        <v>0</v>
      </c>
      <c r="R28" s="2">
        <f>IFERROR(VLOOKUP(A28,[9]TONTDEC25!$A$6:$R$42,10,0),0)</f>
        <v>0</v>
      </c>
      <c r="S28" s="20">
        <v>1000000</v>
      </c>
      <c r="T28" s="12" t="s">
        <v>9</v>
      </c>
      <c r="U28" s="17">
        <f t="shared" si="9"/>
        <v>1101500</v>
      </c>
      <c r="V28" s="12"/>
      <c r="W28" s="12"/>
      <c r="X28" s="12"/>
      <c r="Y28" s="92">
        <f t="shared" si="10"/>
        <v>50000</v>
      </c>
      <c r="Z28" s="12">
        <v>1000000</v>
      </c>
      <c r="AA28" s="12" t="s">
        <v>8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 t="s">
        <v>8</v>
      </c>
      <c r="AQ28" s="8">
        <f t="shared" si="3"/>
        <v>0</v>
      </c>
      <c r="AR28" s="8">
        <f t="shared" si="4"/>
        <v>0</v>
      </c>
      <c r="AS28" s="13">
        <f t="shared" si="17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970000</v>
      </c>
      <c r="BA28" s="58">
        <f>150000+329500</f>
        <v>479500</v>
      </c>
      <c r="BB28" s="58" t="s">
        <v>186</v>
      </c>
      <c r="BC28" s="15">
        <f t="shared" si="18"/>
        <v>0</v>
      </c>
      <c r="BD28" s="57" t="e">
        <f t="shared" si="15"/>
        <v>#VALUE!</v>
      </c>
      <c r="BE28" s="82" t="s">
        <v>186</v>
      </c>
      <c r="BF28" s="29">
        <f t="shared" si="6"/>
        <v>30000</v>
      </c>
      <c r="BG28" s="29">
        <v>3</v>
      </c>
      <c r="BH28" s="15"/>
      <c r="BI28" s="15"/>
      <c r="BJ28" s="15"/>
      <c r="BK28" s="15"/>
      <c r="BL28" s="61"/>
      <c r="BQ28" s="62"/>
    </row>
    <row r="29" spans="1:69" ht="18.5" x14ac:dyDescent="0.45">
      <c r="A29" s="1" t="s">
        <v>158</v>
      </c>
      <c r="B29" s="1" t="str">
        <f>VLOOKUP(A29,[5]LISTADHERENT!A$5:H$50,3,0)</f>
        <v>NOUBE ETIENNE</v>
      </c>
      <c r="C29" s="5">
        <f t="shared" si="7"/>
        <v>0</v>
      </c>
      <c r="D29" s="9">
        <f>VLOOKUP($A29,[6]HISTOBQUEDEC25!$A$6:$H$48,5,0)</f>
        <v>300000</v>
      </c>
      <c r="E29" s="91">
        <f>VLOOKUP($A29,[6]HISTOBQUEDEC25!$A$6:$H$48,4,0)</f>
        <v>0</v>
      </c>
      <c r="F29" s="91">
        <f>VLOOKUP($A29,[6]HISTOBQUEDEC25!$A$6:$H$48,6,0)</f>
        <v>0</v>
      </c>
      <c r="G29" s="91"/>
      <c r="H29" s="5">
        <f t="shared" si="16"/>
        <v>0</v>
      </c>
      <c r="I29" s="10" t="str">
        <f t="shared" si="0"/>
        <v>BANQUE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IFERROR(VLOOKUP(A29,[7]TONTDEC25!$A$6:$R$41,12,0),0)</f>
        <v>0</v>
      </c>
      <c r="Q29" s="2">
        <f>IFERROR(VLOOKUP(A29,[8]TONTDEC25!$A$6:$R$38,10,0),0)</f>
        <v>0</v>
      </c>
      <c r="R29" s="2">
        <f>IFERROR(VLOOKUP(A29,[9]TONTDEC25!$A$6:$R$42,10,0),0)</f>
        <v>0</v>
      </c>
      <c r="S29" s="20">
        <v>250000</v>
      </c>
      <c r="T29" s="12" t="s">
        <v>8</v>
      </c>
      <c r="U29" s="17">
        <f t="shared" si="9"/>
        <v>300000</v>
      </c>
      <c r="V29" s="12"/>
      <c r="W29" s="12"/>
      <c r="X29" s="12"/>
      <c r="Y29" s="92">
        <f t="shared" si="10"/>
        <v>50000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7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>
        <f t="shared" si="18"/>
        <v>0</v>
      </c>
      <c r="BD29" s="57">
        <f t="shared" si="15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Q29" s="6"/>
    </row>
    <row r="30" spans="1:69" ht="18.5" x14ac:dyDescent="0.45">
      <c r="A30" s="1" t="s">
        <v>34</v>
      </c>
      <c r="B30" s="1" t="str">
        <f>VLOOKUP(A30,[5]LISTADHERENT!A$5:H$50,3,0)</f>
        <v>PATEGO NJOSSU GUSTAVE</v>
      </c>
      <c r="C30" s="5">
        <f t="shared" si="7"/>
        <v>0</v>
      </c>
      <c r="D30" s="9">
        <f>VLOOKUP($A30,[6]HISTOBQUEDEC25!$A$6:$H$48,5,0)</f>
        <v>125000</v>
      </c>
      <c r="E30" s="91">
        <f>VLOOKUP($A30,[6]HISTOBQUEDEC25!$A$6:$H$48,4,0)</f>
        <v>0</v>
      </c>
      <c r="F30" s="91">
        <f>VLOOKUP($A30,[6]HISTOBQUEDEC25!$A$6:$H$48,6,0)</f>
        <v>0</v>
      </c>
      <c r="G30" s="91"/>
      <c r="H30" s="5">
        <f t="shared" si="16"/>
        <v>0</v>
      </c>
      <c r="I30" s="10" t="str">
        <f t="shared" si="0"/>
        <v>BANQUE</v>
      </c>
      <c r="J30" s="11">
        <v>1</v>
      </c>
      <c r="K30" s="11">
        <f t="shared" si="8"/>
        <v>50000</v>
      </c>
      <c r="L30" s="6">
        <v>1</v>
      </c>
      <c r="M30" s="11">
        <f t="shared" si="1"/>
        <v>75000</v>
      </c>
      <c r="N30" s="6"/>
      <c r="O30" s="11">
        <f t="shared" si="2"/>
        <v>0</v>
      </c>
      <c r="P30" s="2">
        <f>IFERROR(VLOOKUP(A30,[7]TONTDEC25!$A$6:$R$41,12,0),0)</f>
        <v>0</v>
      </c>
      <c r="Q30" s="2">
        <f>IFERROR(VLOOKUP(A30,[8]TONTDEC25!$A$6:$R$38,10,0),0)</f>
        <v>0</v>
      </c>
      <c r="R30" s="2">
        <f>IFERROR(VLOOKUP(A30,[9]TONTDEC25!$A$6:$R$42,10,0),0)</f>
        <v>0</v>
      </c>
      <c r="S30" s="20"/>
      <c r="T30" s="12"/>
      <c r="U30" s="17">
        <f t="shared" si="9"/>
        <v>125000</v>
      </c>
      <c r="V30" s="12"/>
      <c r="W30" s="12"/>
      <c r="X30" s="12"/>
      <c r="Y30" s="92">
        <f t="shared" si="10"/>
        <v>125000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7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>
        <f t="shared" si="18"/>
        <v>0</v>
      </c>
      <c r="BD30" s="57">
        <f t="shared" si="15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O30" s="62" t="s">
        <v>142</v>
      </c>
      <c r="BQ30" s="62">
        <f>SUM(BQ26:BQ28)</f>
        <v>0</v>
      </c>
    </row>
    <row r="31" spans="1:69" ht="18.5" x14ac:dyDescent="0.45">
      <c r="A31" s="1" t="s">
        <v>159</v>
      </c>
      <c r="B31" s="1" t="str">
        <f>VLOOKUP(A31,[5]LISTADHERENT!A$5:H$50,3,0)</f>
        <v>SEUMO POLYCARPE</v>
      </c>
      <c r="C31" s="5">
        <f t="shared" si="7"/>
        <v>-100000</v>
      </c>
      <c r="D31" s="9">
        <f>VLOOKUP($A31,[6]HISTOBQUEDEC25!$A$6:$H$48,5,0)</f>
        <v>110000</v>
      </c>
      <c r="E31" s="91">
        <f>VLOOKUP($A31,[6]HISTOBQUEDEC25!$A$6:$H$48,4,0)</f>
        <v>0</v>
      </c>
      <c r="F31" s="91">
        <f>VLOOKUP($A31,[6]HISTOBQUEDEC25!$A$6:$H$48,6,0)</f>
        <v>0</v>
      </c>
      <c r="G31" s="91">
        <v>1000</v>
      </c>
      <c r="H31" s="5">
        <f t="shared" si="16"/>
        <v>0</v>
      </c>
      <c r="I31" s="10" t="str">
        <f t="shared" si="0"/>
        <v>BANQUE</v>
      </c>
      <c r="J31" s="11">
        <v>1</v>
      </c>
      <c r="K31" s="11">
        <f t="shared" si="8"/>
        <v>50000</v>
      </c>
      <c r="L31" s="6"/>
      <c r="M31" s="11">
        <f t="shared" si="1"/>
        <v>0</v>
      </c>
      <c r="N31" s="6"/>
      <c r="O31" s="11">
        <f t="shared" si="2"/>
        <v>0</v>
      </c>
      <c r="P31" s="2">
        <f>IFERROR(VLOOKUP(A31,[7]TONTDEC25!$A$6:$R$41,12,0),0)</f>
        <v>59000</v>
      </c>
      <c r="Q31" s="2">
        <f>IFERROR(VLOOKUP(A31,[8]TONTDEC25!$A$6:$R$38,10,0),0)</f>
        <v>0</v>
      </c>
      <c r="R31" s="2">
        <f>IFERROR(VLOOKUP(A31,[9]TONTDEC25!$A$6:$R$42,10,0),0)</f>
        <v>0</v>
      </c>
      <c r="S31" s="20">
        <v>100000</v>
      </c>
      <c r="T31" s="12" t="s">
        <v>8</v>
      </c>
      <c r="U31" s="17">
        <f t="shared" si="9"/>
        <v>210000</v>
      </c>
      <c r="V31" s="12"/>
      <c r="W31" s="12"/>
      <c r="X31" s="12"/>
      <c r="Y31" s="92">
        <f t="shared" si="10"/>
        <v>50000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7"/>
        <v>26000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>
        <f t="shared" si="18"/>
        <v>0</v>
      </c>
      <c r="BD31" s="57">
        <f t="shared" si="15"/>
        <v>0</v>
      </c>
      <c r="BE31" s="82"/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O31" s="62"/>
      <c r="BQ31" s="6"/>
    </row>
    <row r="32" spans="1:69" ht="18.5" x14ac:dyDescent="0.45">
      <c r="A32" s="1" t="s">
        <v>35</v>
      </c>
      <c r="B32" s="1" t="str">
        <f>VLOOKUP(A32,[5]LISTADHERENT!A$5:H$50,3,0)</f>
        <v>SIME BRICE</v>
      </c>
      <c r="C32" s="5">
        <f t="shared" si="7"/>
        <v>0</v>
      </c>
      <c r="D32" s="9">
        <f>VLOOKUP($A32,[6]HISTOBQUEDEC25!$A$6:$H$48,5,0)</f>
        <v>250000</v>
      </c>
      <c r="E32" s="91">
        <f>VLOOKUP($A32,[6]HISTOBQUEDEC25!$A$6:$H$48,4,0)</f>
        <v>1203000</v>
      </c>
      <c r="F32" s="91">
        <f>VLOOKUP($A32,[6]HISTOBQUEDEC25!$A$6:$H$48,6,0)</f>
        <v>0</v>
      </c>
      <c r="G32" s="91"/>
      <c r="H32" s="5">
        <f t="shared" si="16"/>
        <v>0</v>
      </c>
      <c r="I32" s="10" t="str">
        <f t="shared" si="0"/>
        <v>BANQUE</v>
      </c>
      <c r="J32" s="11">
        <v>1</v>
      </c>
      <c r="K32" s="11">
        <f t="shared" si="8"/>
        <v>50000</v>
      </c>
      <c r="L32" s="6"/>
      <c r="M32" s="11">
        <f t="shared" si="1"/>
        <v>0</v>
      </c>
      <c r="N32" s="6">
        <v>2</v>
      </c>
      <c r="O32" s="11">
        <f t="shared" si="2"/>
        <v>200000</v>
      </c>
      <c r="P32" s="2">
        <f>IFERROR(VLOOKUP(A32,[7]TONTDEC25!$A$6:$R$41,12,0),0)</f>
        <v>0</v>
      </c>
      <c r="Q32" s="2">
        <f>IFERROR(VLOOKUP(A32,[8]TONTDEC25!$A$6:$R$38,10,0),0)</f>
        <v>0</v>
      </c>
      <c r="R32" s="2">
        <f>IFERROR(VLOOKUP(A32,[9]TONTDEC25!$A$6:$R$42,10,0),0)</f>
        <v>203000</v>
      </c>
      <c r="S32" s="20">
        <v>1000000</v>
      </c>
      <c r="T32" s="12" t="s">
        <v>9</v>
      </c>
      <c r="U32" s="17">
        <f t="shared" si="9"/>
        <v>1453000</v>
      </c>
      <c r="V32" s="12"/>
      <c r="W32" s="12"/>
      <c r="X32" s="12"/>
      <c r="Y32" s="92">
        <f t="shared" si="10"/>
        <v>250000</v>
      </c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7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970000</v>
      </c>
      <c r="BA32" s="58">
        <v>970000</v>
      </c>
      <c r="BB32" s="58" t="s">
        <v>186</v>
      </c>
      <c r="BC32" s="15">
        <f t="shared" si="18"/>
        <v>0</v>
      </c>
      <c r="BD32" s="57" t="e">
        <f t="shared" si="15"/>
        <v>#VALUE!</v>
      </c>
      <c r="BE32" s="82"/>
      <c r="BF32" s="29">
        <f t="shared" si="6"/>
        <v>30000</v>
      </c>
      <c r="BG32" s="29">
        <v>3</v>
      </c>
      <c r="BH32" s="15"/>
      <c r="BI32" s="15"/>
      <c r="BJ32" s="15"/>
      <c r="BK32" s="15"/>
      <c r="BL32" s="61"/>
      <c r="BO32" t="s">
        <v>128</v>
      </c>
      <c r="BP32" t="s">
        <v>50</v>
      </c>
      <c r="BQ32" s="6"/>
    </row>
    <row r="33" spans="1:69" ht="18.5" x14ac:dyDescent="0.45">
      <c r="A33" s="21" t="s">
        <v>33</v>
      </c>
      <c r="B33" s="1" t="str">
        <f>VLOOKUP(A33,[5]LISTADHERENT!A$5:H$50,3,0)</f>
        <v>SIMO FONGANG ERIC</v>
      </c>
      <c r="C33" s="5">
        <f t="shared" si="7"/>
        <v>-284500</v>
      </c>
      <c r="D33" s="9">
        <f>VLOOKUP($A33,[6]HISTOBQUEDEC25!$A$6:$H$48,5,0)</f>
        <v>50000</v>
      </c>
      <c r="E33" s="91">
        <f>VLOOKUP($A33,[6]HISTOBQUEDEC25!$A$6:$H$48,4,0)</f>
        <v>10000</v>
      </c>
      <c r="F33" s="91">
        <f>VLOOKUP($A33,[6]HISTOBQUEDEC25!$A$6:$H$48,6,0)</f>
        <v>0</v>
      </c>
      <c r="G33" s="91">
        <v>297500</v>
      </c>
      <c r="H33" s="5">
        <f>IF(I33="ESPECES",3000,0)-3000</f>
        <v>-3000</v>
      </c>
      <c r="I33" s="10" t="str">
        <f t="shared" si="0"/>
        <v>BANQUE</v>
      </c>
      <c r="J33" s="11">
        <v>1</v>
      </c>
      <c r="K33" s="11">
        <f t="shared" si="8"/>
        <v>50000</v>
      </c>
      <c r="L33" s="6"/>
      <c r="M33" s="11"/>
      <c r="N33" s="6"/>
      <c r="O33" s="11"/>
      <c r="P33" s="2">
        <f>IFERROR(VLOOKUP(A33,[7]TONTDEC25!$A$6:$R$41,12,0),0)</f>
        <v>0</v>
      </c>
      <c r="Q33" s="2">
        <f>IFERROR(VLOOKUP(A33,[8]TONTDEC25!$A$6:$R$38,10,0),0)</f>
        <v>0</v>
      </c>
      <c r="R33" s="2">
        <f>IFERROR(VLOOKUP(A33,[9]TONTDEC25!$A$6:$R$42,10,0),0)</f>
        <v>0</v>
      </c>
      <c r="S33" s="20"/>
      <c r="T33" s="12"/>
      <c r="U33" s="17">
        <f t="shared" si="9"/>
        <v>344500</v>
      </c>
      <c r="V33" s="12"/>
      <c r="W33" s="12"/>
      <c r="X33" s="12"/>
      <c r="Y33" s="92">
        <f t="shared" si="10"/>
        <v>50000</v>
      </c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7"/>
        <v>322500</v>
      </c>
      <c r="AT33" s="15"/>
      <c r="AV33" s="15"/>
      <c r="AW33" s="15">
        <f t="shared" si="11"/>
        <v>297500</v>
      </c>
      <c r="AX33" s="15">
        <f t="shared" si="12"/>
        <v>0</v>
      </c>
      <c r="AY33" s="15">
        <f t="shared" si="13"/>
        <v>0</v>
      </c>
      <c r="AZ33" s="16">
        <f t="shared" si="14"/>
        <v>297500</v>
      </c>
      <c r="BA33" s="58"/>
      <c r="BB33" s="58"/>
      <c r="BC33" s="15">
        <f t="shared" si="18"/>
        <v>0</v>
      </c>
      <c r="BD33" s="57">
        <f t="shared" si="15"/>
        <v>297500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Q33" s="6"/>
    </row>
    <row r="34" spans="1:69" ht="18.5" x14ac:dyDescent="0.45">
      <c r="A34" s="1" t="s">
        <v>37</v>
      </c>
      <c r="B34" s="1" t="str">
        <f>VLOOKUP(A34,[5]LISTADHERENT!A$5:H$50,3,0)</f>
        <v>SIMO PIERRE</v>
      </c>
      <c r="C34" s="5">
        <f t="shared" si="7"/>
        <v>0</v>
      </c>
      <c r="D34" s="9">
        <f>VLOOKUP($A34,[6]HISTOBQUEDEC25!$A$6:$H$48,5,0)</f>
        <v>0</v>
      </c>
      <c r="E34" s="91">
        <f>VLOOKUP($A34,[6]HISTOBQUEDEC25!$A$6:$H$48,4,0)</f>
        <v>0</v>
      </c>
      <c r="F34" s="91">
        <f>VLOOKUP($A34,[6]HISTOBQUEDEC25!$A$6:$H$48,6,0)</f>
        <v>530500</v>
      </c>
      <c r="G34" s="91"/>
      <c r="H34" s="5">
        <f t="shared" si="16"/>
        <v>0</v>
      </c>
      <c r="I34" s="10" t="str">
        <f t="shared" si="0"/>
        <v>ECHEC</v>
      </c>
      <c r="J34" s="11">
        <v>1</v>
      </c>
      <c r="K34" s="11">
        <f t="shared" si="8"/>
        <v>0</v>
      </c>
      <c r="L34" s="6"/>
      <c r="M34" s="11">
        <f t="shared" si="1"/>
        <v>0</v>
      </c>
      <c r="N34" s="6">
        <v>1</v>
      </c>
      <c r="O34" s="11">
        <f t="shared" si="2"/>
        <v>0</v>
      </c>
      <c r="P34" s="2">
        <f>IFERROR(VLOOKUP(A34,[7]TONTDEC25!$A$6:$R$41,12,0),0)</f>
        <v>30500</v>
      </c>
      <c r="Q34" s="2">
        <f>IFERROR(VLOOKUP(A34,[8]TONTDEC25!$A$6:$R$38,10,0),0)</f>
        <v>0</v>
      </c>
      <c r="R34" s="2">
        <f>IFERROR(VLOOKUP(A34,[9]TONTDEC25!$A$6:$R$42,10,0),0)</f>
        <v>0</v>
      </c>
      <c r="S34" s="20">
        <v>500000</v>
      </c>
      <c r="T34" s="12" t="s">
        <v>9</v>
      </c>
      <c r="U34" s="17">
        <f t="shared" si="9"/>
        <v>530500</v>
      </c>
      <c r="V34" s="12"/>
      <c r="W34" s="12"/>
      <c r="X34" s="12"/>
      <c r="Y34" s="92">
        <f t="shared" si="10"/>
        <v>0</v>
      </c>
      <c r="Z34" s="12">
        <v>1000000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 t="s">
        <v>8</v>
      </c>
      <c r="AQ34" s="8">
        <f t="shared" si="3"/>
        <v>0</v>
      </c>
      <c r="AR34" s="8">
        <f t="shared" si="4"/>
        <v>0</v>
      </c>
      <c r="AS34" s="13">
        <f t="shared" si="17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990000</v>
      </c>
      <c r="BA34" s="58"/>
      <c r="BB34" s="58"/>
      <c r="BC34" s="15">
        <f t="shared" si="18"/>
        <v>530500</v>
      </c>
      <c r="BD34" s="57">
        <f t="shared" si="15"/>
        <v>459500</v>
      </c>
      <c r="BE34" s="82"/>
      <c r="BF34" s="29">
        <f t="shared" si="6"/>
        <v>10000</v>
      </c>
      <c r="BG34" s="29">
        <v>1</v>
      </c>
      <c r="BH34" s="15"/>
      <c r="BI34" s="15"/>
      <c r="BJ34" s="15"/>
      <c r="BK34" s="15"/>
      <c r="BL34" s="61"/>
      <c r="BQ34" s="6"/>
    </row>
    <row r="35" spans="1:69" ht="18.5" x14ac:dyDescent="0.45">
      <c r="A35" s="1" t="s">
        <v>38</v>
      </c>
      <c r="B35" s="1" t="str">
        <f>VLOOKUP(A35,[5]LISTADHERENT!A$5:H$50,3,0)</f>
        <v>TCHOUAMOU MATHIEU</v>
      </c>
      <c r="C35" s="5">
        <f t="shared" si="7"/>
        <v>0</v>
      </c>
      <c r="D35" s="9">
        <f>VLOOKUP($A35,[6]HISTOBQUEDEC25!$A$6:$H$48,5,0)</f>
        <v>125000</v>
      </c>
      <c r="E35" s="91">
        <f>VLOOKUP($A35,[6]HISTOBQUEDEC25!$A$6:$H$48,4,0)</f>
        <v>1000000</v>
      </c>
      <c r="F35" s="91">
        <f>VLOOKUP($A35,[6]HISTOBQUEDEC25!$A$6:$H$48,6,0)</f>
        <v>0</v>
      </c>
      <c r="G35" s="91"/>
      <c r="H35" s="5">
        <f t="shared" si="16"/>
        <v>0</v>
      </c>
      <c r="I35" s="10" t="str">
        <f t="shared" si="0"/>
        <v>BANQUE</v>
      </c>
      <c r="J35" s="11">
        <v>1</v>
      </c>
      <c r="K35" s="11">
        <f t="shared" si="8"/>
        <v>50000</v>
      </c>
      <c r="L35" s="6">
        <v>1</v>
      </c>
      <c r="M35" s="11">
        <f t="shared" si="1"/>
        <v>75000</v>
      </c>
      <c r="N35" s="6"/>
      <c r="O35" s="11">
        <f t="shared" si="2"/>
        <v>0</v>
      </c>
      <c r="P35" s="2">
        <f>IFERROR(VLOOKUP(A35,[7]TONTDEC25!$A$6:$R$41,12,0),0)</f>
        <v>0</v>
      </c>
      <c r="Q35" s="2">
        <f>IFERROR(VLOOKUP(A35,[8]TONTDEC25!$A$6:$R$38,10,0),0)</f>
        <v>0</v>
      </c>
      <c r="R35" s="2">
        <f>IFERROR(VLOOKUP(A35,[9]TONTDEC25!$A$6:$R$42,10,0),0)</f>
        <v>0</v>
      </c>
      <c r="S35" s="20">
        <v>1000000</v>
      </c>
      <c r="T35" s="12" t="s">
        <v>9</v>
      </c>
      <c r="U35" s="17">
        <f t="shared" si="9"/>
        <v>1125000</v>
      </c>
      <c r="V35" s="12"/>
      <c r="W35" s="12"/>
      <c r="X35" s="12"/>
      <c r="Y35" s="92">
        <f t="shared" si="10"/>
        <v>125000</v>
      </c>
      <c r="Z35" s="12">
        <v>1000000</v>
      </c>
      <c r="AA35" s="12" t="s">
        <v>8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7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940000</v>
      </c>
      <c r="BA35" s="58">
        <f>940000+223500</f>
        <v>1163500</v>
      </c>
      <c r="BB35" s="58" t="s">
        <v>186</v>
      </c>
      <c r="BC35" s="15">
        <f t="shared" si="18"/>
        <v>0</v>
      </c>
      <c r="BD35" s="57" t="e">
        <f t="shared" si="15"/>
        <v>#VALUE!</v>
      </c>
      <c r="BE35" s="82"/>
      <c r="BF35" s="29">
        <f t="shared" si="6"/>
        <v>60000</v>
      </c>
      <c r="BG35" s="29">
        <v>6</v>
      </c>
      <c r="BH35" s="15"/>
      <c r="BI35" s="15"/>
      <c r="BJ35" s="15"/>
      <c r="BK35" s="15"/>
      <c r="BL35" s="61"/>
    </row>
    <row r="36" spans="1:69" ht="18.5" x14ac:dyDescent="0.45">
      <c r="A36" s="1" t="s">
        <v>194</v>
      </c>
      <c r="B36" s="1" t="str">
        <f>VLOOKUP(A36,[5]LISTADHERENT!A$5:H$50,3,0)</f>
        <v>TCHOUATEU AUGUSTIN</v>
      </c>
      <c r="C36" s="5">
        <f t="shared" si="7"/>
        <v>-100000</v>
      </c>
      <c r="D36" s="9">
        <f>VLOOKUP($A36,[6]HISTOBQUEDEC25!$A$6:$H$48,5,0)</f>
        <v>1150000</v>
      </c>
      <c r="E36" s="91">
        <f>VLOOKUP($A36,[6]HISTOBQUEDEC25!$A$6:$H$48,4,0)</f>
        <v>3500</v>
      </c>
      <c r="F36" s="91">
        <f>VLOOKUP($A36,[6]HISTOBQUEDEC25!$A$6:$H$48,6,0)</f>
        <v>0</v>
      </c>
      <c r="G36" s="91"/>
      <c r="H36" s="5">
        <f t="shared" si="16"/>
        <v>0</v>
      </c>
      <c r="I36" s="10" t="str">
        <f t="shared" si="0"/>
        <v>BANQUE</v>
      </c>
      <c r="J36" s="11">
        <v>1</v>
      </c>
      <c r="K36" s="11">
        <f t="shared" si="8"/>
        <v>50000</v>
      </c>
      <c r="L36" s="6"/>
      <c r="M36" s="11">
        <f t="shared" si="1"/>
        <v>0</v>
      </c>
      <c r="N36" s="6">
        <v>1</v>
      </c>
      <c r="O36" s="11">
        <f t="shared" si="2"/>
        <v>100000</v>
      </c>
      <c r="P36" s="2">
        <f>IFERROR(VLOOKUP(A36,[7]TONTDEC25!$A$6:$R$41,12,0),0)</f>
        <v>0</v>
      </c>
      <c r="Q36" s="2">
        <f>IFERROR(VLOOKUP(A36,[8]TONTDEC25!$A$6:$R$38,10,0),0)</f>
        <v>0</v>
      </c>
      <c r="R36" s="2">
        <f>IFERROR(VLOOKUP(A36,[9]TONTDEC25!$A$6:$R$42,10,0),0)</f>
        <v>103500</v>
      </c>
      <c r="S36" s="20">
        <v>1000000</v>
      </c>
      <c r="T36" s="12" t="s">
        <v>9</v>
      </c>
      <c r="U36" s="17">
        <f t="shared" si="9"/>
        <v>1253500</v>
      </c>
      <c r="V36" s="12"/>
      <c r="W36" s="12"/>
      <c r="X36" s="12"/>
      <c r="Y36" s="92">
        <f t="shared" si="10"/>
        <v>150000</v>
      </c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 t="s">
        <v>8</v>
      </c>
      <c r="AQ36" s="8">
        <f t="shared" si="3"/>
        <v>0</v>
      </c>
      <c r="AR36" s="8">
        <f t="shared" si="4"/>
        <v>0</v>
      </c>
      <c r="AS36" s="13">
        <f t="shared" si="17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880000</v>
      </c>
      <c r="BA36" s="58"/>
      <c r="BB36" s="58"/>
      <c r="BC36" s="15">
        <f t="shared" si="18"/>
        <v>0</v>
      </c>
      <c r="BD36" s="57">
        <f t="shared" si="15"/>
        <v>880000</v>
      </c>
      <c r="BE36" s="82" t="s">
        <v>186</v>
      </c>
      <c r="BF36" s="29">
        <f t="shared" si="6"/>
        <v>120000</v>
      </c>
      <c r="BG36" s="29">
        <v>12</v>
      </c>
      <c r="BH36" s="15"/>
      <c r="BI36" s="15"/>
      <c r="BJ36" s="15"/>
      <c r="BK36" s="15"/>
      <c r="BL36" s="61"/>
      <c r="BO36" s="62" t="s">
        <v>142</v>
      </c>
      <c r="BQ36" s="62">
        <f>SUM(BQ32:BQ35)</f>
        <v>0</v>
      </c>
    </row>
    <row r="37" spans="1:69" ht="18.5" x14ac:dyDescent="0.45">
      <c r="A37" s="1" t="s">
        <v>157</v>
      </c>
      <c r="B37" s="1" t="str">
        <f>VLOOKUP(A37,[5]LISTADHERENT!A$5:H$50,3,0)</f>
        <v>TCHOUTOU NANA CLAUDE</v>
      </c>
      <c r="C37" s="5">
        <f t="shared" si="7"/>
        <v>0</v>
      </c>
      <c r="D37" s="9">
        <f>VLOOKUP($A37,[6]HISTOBQUEDEC25!$A$6:$H$48,5,0)</f>
        <v>50000</v>
      </c>
      <c r="E37" s="91">
        <f>VLOOKUP($A37,[6]HISTOBQUEDEC25!$A$6:$H$48,4,0)</f>
        <v>0</v>
      </c>
      <c r="F37" s="91">
        <f>VLOOKUP($A37,[6]HISTOBQUEDEC25!$A$6:$H$48,6,0)</f>
        <v>0</v>
      </c>
      <c r="G37" s="91"/>
      <c r="H37" s="5">
        <f t="shared" si="16"/>
        <v>0</v>
      </c>
      <c r="I37" s="10" t="str">
        <f t="shared" si="0"/>
        <v>BANQUE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/>
      <c r="O37" s="11">
        <f t="shared" si="2"/>
        <v>0</v>
      </c>
      <c r="P37" s="2">
        <f>IFERROR(VLOOKUP(A37,[7]TONTDEC25!$A$6:$R$41,12,0),0)</f>
        <v>0</v>
      </c>
      <c r="Q37" s="2">
        <f>IFERROR(VLOOKUP(A37,[8]TONTDEC25!$A$6:$R$38,10,0),0)</f>
        <v>0</v>
      </c>
      <c r="R37" s="2">
        <f>IFERROR(VLOOKUP(A37,[9]TONTDEC25!$A$6:$R$42,10,0),0)</f>
        <v>0</v>
      </c>
      <c r="S37" s="20"/>
      <c r="T37" s="12"/>
      <c r="U37" s="17">
        <f t="shared" si="9"/>
        <v>50000</v>
      </c>
      <c r="V37" s="12"/>
      <c r="W37" s="12"/>
      <c r="X37" s="12"/>
      <c r="Y37" s="92">
        <f t="shared" si="10"/>
        <v>50000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8">
        <f t="shared" si="3"/>
        <v>0</v>
      </c>
      <c r="AR37" s="8">
        <f t="shared" si="4"/>
        <v>0</v>
      </c>
      <c r="AS37" s="13">
        <f t="shared" si="17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>
        <f t="shared" si="18"/>
        <v>0</v>
      </c>
      <c r="BD37" s="57">
        <f t="shared" si="15"/>
        <v>0</v>
      </c>
      <c r="BE37" s="82"/>
      <c r="BF37" s="29">
        <f t="shared" si="6"/>
        <v>0</v>
      </c>
      <c r="BG37" s="29">
        <v>1</v>
      </c>
      <c r="BH37" s="15"/>
      <c r="BI37" s="15"/>
      <c r="BJ37" s="15"/>
      <c r="BK37" s="15"/>
      <c r="BL37" s="61"/>
      <c r="BO37" s="62" t="s">
        <v>142</v>
      </c>
      <c r="BQ37" s="62">
        <f>SUM(BQ34:BQ36)</f>
        <v>0</v>
      </c>
    </row>
    <row r="38" spans="1:69" ht="18.5" x14ac:dyDescent="0.45">
      <c r="A38" s="1" t="s">
        <v>218</v>
      </c>
      <c r="B38" s="1" t="str">
        <f>VLOOKUP(A38,[5]LISTADHERENT!A$5:H$50,3,0)</f>
        <v>TIEYAM ERNEST</v>
      </c>
      <c r="C38" s="5">
        <f t="shared" si="7"/>
        <v>-284200</v>
      </c>
      <c r="D38" s="9">
        <f>VLOOKUP($A38,[6]HISTOBQUEDEC25!$A$6:$H$48,5,0)</f>
        <v>50000</v>
      </c>
      <c r="E38" s="91">
        <f>VLOOKUP($A38,[6]HISTOBQUEDEC25!$A$6:$H$48,4,0)</f>
        <v>13300</v>
      </c>
      <c r="F38" s="91">
        <f>VLOOKUP($A38,[6]HISTOBQUEDEC25!$A$6:$H$48,6,0)</f>
        <v>0</v>
      </c>
      <c r="G38" s="91">
        <v>297500</v>
      </c>
      <c r="H38" s="5">
        <f t="shared" si="16"/>
        <v>0</v>
      </c>
      <c r="I38" s="10" t="str">
        <f t="shared" si="0"/>
        <v>BANQUE</v>
      </c>
      <c r="J38" s="11">
        <v>1</v>
      </c>
      <c r="K38" s="11">
        <f t="shared" si="8"/>
        <v>50000</v>
      </c>
      <c r="L38" s="6"/>
      <c r="M38" s="11">
        <f t="shared" si="1"/>
        <v>0</v>
      </c>
      <c r="N38" s="6"/>
      <c r="O38" s="11">
        <f t="shared" si="2"/>
        <v>0</v>
      </c>
      <c r="P38" s="2">
        <f>IFERROR(VLOOKUP(A38,[7]TONTDEC25!$A$6:$R$41,12,0),0)</f>
        <v>0</v>
      </c>
      <c r="Q38" s="2">
        <f>IFERROR(VLOOKUP(A38,[8]TONTDEC25!$A$6:$R$38,10,0),0)</f>
        <v>0</v>
      </c>
      <c r="R38" s="2">
        <f>IFERROR(VLOOKUP(A38,[9]TONTDEC25!$A$6:$R$42,10,0),0)</f>
        <v>0</v>
      </c>
      <c r="S38" s="20"/>
      <c r="T38" s="12"/>
      <c r="U38" s="17">
        <f t="shared" si="9"/>
        <v>347500</v>
      </c>
      <c r="V38" s="12"/>
      <c r="W38" s="12"/>
      <c r="X38" s="12"/>
      <c r="Y38" s="92">
        <f t="shared" si="10"/>
        <v>50000</v>
      </c>
      <c r="Z38" s="12"/>
      <c r="AA38" s="12"/>
      <c r="AB38" s="12"/>
      <c r="AC38" s="12">
        <v>2500</v>
      </c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8">
        <f t="shared" si="3"/>
        <v>0</v>
      </c>
      <c r="AR38" s="8">
        <f t="shared" si="4"/>
        <v>0</v>
      </c>
      <c r="AS38" s="13">
        <f t="shared" si="17"/>
        <v>322500</v>
      </c>
      <c r="AT38" s="15"/>
      <c r="AV38" s="15"/>
      <c r="AW38" s="15">
        <f t="shared" si="11"/>
        <v>297500</v>
      </c>
      <c r="AX38" s="15">
        <f t="shared" si="12"/>
        <v>0</v>
      </c>
      <c r="AY38" s="15">
        <f t="shared" si="13"/>
        <v>0</v>
      </c>
      <c r="AZ38" s="16">
        <f t="shared" si="14"/>
        <v>297500</v>
      </c>
      <c r="BA38" s="58"/>
      <c r="BB38" s="58"/>
      <c r="BC38" s="15">
        <f t="shared" si="18"/>
        <v>0</v>
      </c>
      <c r="BD38" s="57">
        <f t="shared" si="15"/>
        <v>297500</v>
      </c>
      <c r="BE38" s="82"/>
      <c r="BF38" s="29">
        <f t="shared" si="6"/>
        <v>0</v>
      </c>
      <c r="BG38" s="29">
        <v>1</v>
      </c>
      <c r="BH38" s="15"/>
      <c r="BI38" s="15"/>
      <c r="BJ38" s="15"/>
      <c r="BK38" s="15"/>
      <c r="BL38" s="61"/>
      <c r="BO38" s="62"/>
      <c r="BQ38" s="62"/>
    </row>
    <row r="39" spans="1:69" ht="18.5" x14ac:dyDescent="0.45">
      <c r="A39" s="21" t="s">
        <v>160</v>
      </c>
      <c r="B39" s="1" t="str">
        <f>VLOOKUP(A39,[5]LISTADHERENT!A$5:H$50,3,0)</f>
        <v>YANTCHOU GERVAIS</v>
      </c>
      <c r="C39" s="5">
        <f t="shared" si="7"/>
        <v>0</v>
      </c>
      <c r="D39" s="9">
        <f>VLOOKUP($A39,[6]HISTOBQUEDEC25!$A$6:$H$48,5,0)</f>
        <v>232500</v>
      </c>
      <c r="E39" s="91">
        <f>VLOOKUP($A39,[6]HISTOBQUEDEC25!$A$6:$H$48,4,0)</f>
        <v>0</v>
      </c>
      <c r="F39" s="91">
        <f>VLOOKUP($A39,[6]HISTOBQUEDEC25!$A$6:$H$48,6,0)</f>
        <v>0</v>
      </c>
      <c r="G39" s="91"/>
      <c r="H39" s="5">
        <f t="shared" si="16"/>
        <v>0</v>
      </c>
      <c r="I39" s="10" t="str">
        <f t="shared" si="0"/>
        <v>BANQUE</v>
      </c>
      <c r="J39" s="11">
        <v>1</v>
      </c>
      <c r="K39" s="11">
        <f t="shared" si="8"/>
        <v>50000</v>
      </c>
      <c r="L39" s="6">
        <v>1</v>
      </c>
      <c r="M39" s="11">
        <f t="shared" si="1"/>
        <v>75000</v>
      </c>
      <c r="N39" s="6"/>
      <c r="O39" s="11">
        <f t="shared" si="2"/>
        <v>0</v>
      </c>
      <c r="P39" s="2">
        <f>IFERROR(VLOOKUP(A39,[7]TONTDEC25!$A$6:$R$41,12,0),0)</f>
        <v>0</v>
      </c>
      <c r="Q39" s="2">
        <f>IFERROR(VLOOKUP(A39,[8]TONTDEC25!$A$6:$R$38,10,0),0)</f>
        <v>0</v>
      </c>
      <c r="R39" s="2">
        <f>IFERROR(VLOOKUP(A39,[9]TONTDEC25!$A$6:$R$42,10,0),0)</f>
        <v>0</v>
      </c>
      <c r="S39" s="20">
        <v>107500</v>
      </c>
      <c r="T39" s="12" t="s">
        <v>9</v>
      </c>
      <c r="U39" s="17">
        <f t="shared" si="9"/>
        <v>232500</v>
      </c>
      <c r="V39" s="12"/>
      <c r="W39" s="12"/>
      <c r="X39" s="12"/>
      <c r="Y39" s="92">
        <f t="shared" si="10"/>
        <v>125000</v>
      </c>
      <c r="Z39" s="12">
        <v>500000</v>
      </c>
      <c r="AA39" s="12" t="s">
        <v>8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8">
        <f t="shared" si="3"/>
        <v>0</v>
      </c>
      <c r="AR39" s="8">
        <f t="shared" si="4"/>
        <v>0</v>
      </c>
      <c r="AS39" s="13">
        <f t="shared" si="17"/>
        <v>25000</v>
      </c>
      <c r="AT39" s="15"/>
      <c r="AV39" s="15"/>
      <c r="AW39" s="15">
        <f t="shared" si="11"/>
        <v>0</v>
      </c>
      <c r="AX39" s="15">
        <f t="shared" si="12"/>
        <v>0</v>
      </c>
      <c r="AY39" s="15">
        <f t="shared" si="13"/>
        <v>0</v>
      </c>
      <c r="AZ39" s="16">
        <f t="shared" si="14"/>
        <v>470000</v>
      </c>
      <c r="BA39" s="58">
        <v>470000</v>
      </c>
      <c r="BB39" s="58" t="s">
        <v>186</v>
      </c>
      <c r="BC39" s="15">
        <f t="shared" si="18"/>
        <v>0</v>
      </c>
      <c r="BD39" s="57" t="e">
        <f t="shared" si="15"/>
        <v>#VALUE!</v>
      </c>
      <c r="BE39" s="82"/>
      <c r="BF39" s="29">
        <f t="shared" si="6"/>
        <v>30000</v>
      </c>
      <c r="BG39" s="29">
        <v>6</v>
      </c>
      <c r="BH39" s="15"/>
      <c r="BI39" s="15"/>
      <c r="BJ39" s="15"/>
      <c r="BK39" s="15"/>
      <c r="BL39" s="61"/>
    </row>
    <row r="40" spans="1:69" ht="18.5" x14ac:dyDescent="0.45">
      <c r="A40" s="1" t="s">
        <v>40</v>
      </c>
      <c r="B40" s="1" t="str">
        <f>VLOOKUP(A40,[5]LISTADHERENT!A$5:H$50,3,0)</f>
        <v>YEPMOU JEAN JACQUES</v>
      </c>
      <c r="C40" s="5">
        <f t="shared" si="7"/>
        <v>0</v>
      </c>
      <c r="D40" s="9">
        <f>VLOOKUP($A40,[6]HISTOBQUEDEC25!$A$6:$H$48,5,0)</f>
        <v>0</v>
      </c>
      <c r="E40" s="91">
        <f>VLOOKUP($A40,[6]HISTOBQUEDEC25!$A$6:$H$48,4,0)</f>
        <v>50000</v>
      </c>
      <c r="F40" s="91">
        <f>VLOOKUP($A40,[6]HISTOBQUEDEC25!$A$6:$H$48,6,0)</f>
        <v>0</v>
      </c>
      <c r="G40" s="91"/>
      <c r="H40" s="5">
        <f t="shared" ref="H40:H41" si="20">IF(I40="ESPECES",3000,0)-3000</f>
        <v>0</v>
      </c>
      <c r="I40" s="10" t="str">
        <f t="shared" si="0"/>
        <v>ESPECES</v>
      </c>
      <c r="J40" s="11">
        <v>1</v>
      </c>
      <c r="K40" s="11">
        <f t="shared" si="8"/>
        <v>50000</v>
      </c>
      <c r="L40" s="6"/>
      <c r="M40" s="11">
        <f t="shared" si="1"/>
        <v>0</v>
      </c>
      <c r="N40" s="6"/>
      <c r="O40" s="11">
        <f t="shared" si="2"/>
        <v>0</v>
      </c>
      <c r="P40" s="2">
        <f>IFERROR(VLOOKUP(A40,[7]TONTDEC25!$A$6:$R$41,12,0),0)</f>
        <v>0</v>
      </c>
      <c r="Q40" s="2">
        <f>IFERROR(VLOOKUP(A40,[8]TONTDEC25!$A$6:$R$38,10,0),0)</f>
        <v>0</v>
      </c>
      <c r="R40" s="2">
        <f>IFERROR(VLOOKUP(A40,[9]TONTDEC25!$A$6:$R$42,10,0),0)</f>
        <v>0</v>
      </c>
      <c r="S40" s="20"/>
      <c r="T40" s="12"/>
      <c r="U40" s="17">
        <f t="shared" si="9"/>
        <v>50000</v>
      </c>
      <c r="V40" s="12"/>
      <c r="W40" s="12"/>
      <c r="X40" s="12"/>
      <c r="Y40" s="92">
        <f t="shared" si="10"/>
        <v>50000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8">
        <f t="shared" si="3"/>
        <v>0</v>
      </c>
      <c r="AR40" s="8">
        <f t="shared" si="4"/>
        <v>0</v>
      </c>
      <c r="AS40" s="13">
        <f t="shared" si="17"/>
        <v>25000</v>
      </c>
      <c r="AT40" s="15"/>
      <c r="AV40" s="15"/>
      <c r="AW40" s="15">
        <f t="shared" si="11"/>
        <v>0</v>
      </c>
      <c r="AX40" s="15">
        <f t="shared" si="12"/>
        <v>0</v>
      </c>
      <c r="AY40" s="15">
        <f t="shared" si="13"/>
        <v>0</v>
      </c>
      <c r="AZ40" s="16">
        <f t="shared" si="14"/>
        <v>0</v>
      </c>
      <c r="BA40" s="58"/>
      <c r="BB40" s="58"/>
      <c r="BC40" s="15">
        <f t="shared" si="18"/>
        <v>0</v>
      </c>
      <c r="BD40" s="57">
        <f t="shared" si="15"/>
        <v>0</v>
      </c>
      <c r="BE40" s="82"/>
      <c r="BF40" s="29">
        <f t="shared" si="6"/>
        <v>0</v>
      </c>
      <c r="BG40" s="29">
        <v>1</v>
      </c>
      <c r="BH40" s="15"/>
      <c r="BI40" s="15"/>
      <c r="BJ40" s="15"/>
      <c r="BK40" s="15"/>
      <c r="BL40" s="61"/>
      <c r="BO40" t="s">
        <v>126</v>
      </c>
      <c r="BP40" t="s">
        <v>126</v>
      </c>
      <c r="BQ40" s="6"/>
    </row>
    <row r="41" spans="1:69" ht="18.5" x14ac:dyDescent="0.45">
      <c r="A41" s="1" t="s">
        <v>193</v>
      </c>
      <c r="B41" s="1" t="str">
        <f>VLOOKUP(A41,[5]LISTADHERENT!A$5:H$50,3,0)</f>
        <v>YIALA ALAIN OSCAR</v>
      </c>
      <c r="C41" s="5">
        <f t="shared" si="7"/>
        <v>0</v>
      </c>
      <c r="D41" s="9">
        <f>VLOOKUP($A41,[6]HISTOBQUEDEC25!$A$6:$H$48,5,0)</f>
        <v>0</v>
      </c>
      <c r="E41" s="91">
        <f>VLOOKUP($A41,[6]HISTOBQUEDEC25!$A$6:$H$48,4,0)</f>
        <v>453000</v>
      </c>
      <c r="F41" s="91">
        <f>VLOOKUP($A41,[6]HISTOBQUEDEC25!$A$6:$H$48,6,0)</f>
        <v>0</v>
      </c>
      <c r="G41" s="91"/>
      <c r="H41" s="5">
        <f t="shared" si="20"/>
        <v>0</v>
      </c>
      <c r="I41" s="10" t="str">
        <f t="shared" si="0"/>
        <v>ESPECES</v>
      </c>
      <c r="J41" s="11">
        <v>1</v>
      </c>
      <c r="K41" s="11">
        <f t="shared" si="8"/>
        <v>50000</v>
      </c>
      <c r="L41" s="6"/>
      <c r="M41" s="11">
        <f t="shared" si="1"/>
        <v>0</v>
      </c>
      <c r="N41" s="6">
        <v>2</v>
      </c>
      <c r="O41" s="11">
        <f t="shared" si="2"/>
        <v>200000</v>
      </c>
      <c r="P41" s="2">
        <f>IFERROR(VLOOKUP(A41,[7]TONTDEC25!$A$6:$R$41,12,0),0)</f>
        <v>0</v>
      </c>
      <c r="Q41" s="2">
        <f>IFERROR(VLOOKUP(A41,[8]TONTDEC25!$A$6:$R$38,10,0),0)</f>
        <v>0</v>
      </c>
      <c r="R41" s="2">
        <f>IFERROR(VLOOKUP(A41,[9]TONTDEC25!$A$6:$R$42,10,0),0)</f>
        <v>203000</v>
      </c>
      <c r="S41" s="6"/>
      <c r="T41" s="12"/>
      <c r="U41" s="17">
        <f t="shared" si="9"/>
        <v>453000</v>
      </c>
      <c r="V41" s="12"/>
      <c r="W41" s="12"/>
      <c r="X41" s="12"/>
      <c r="Y41" s="92">
        <f t="shared" si="10"/>
        <v>250000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1"/>
      <c r="AJ41" s="11"/>
      <c r="AK41" s="11"/>
      <c r="AL41" s="11"/>
      <c r="AM41" s="11"/>
      <c r="AN41" s="11"/>
      <c r="AO41" s="11"/>
      <c r="AP41" s="12" t="s">
        <v>8</v>
      </c>
      <c r="AQ41" s="8">
        <f t="shared" si="3"/>
        <v>0</v>
      </c>
      <c r="AR41" s="8">
        <f t="shared" si="4"/>
        <v>0</v>
      </c>
      <c r="AS41" s="13">
        <f t="shared" si="17"/>
        <v>25000</v>
      </c>
      <c r="AT41" s="15"/>
      <c r="AV41" s="15"/>
      <c r="AW41" s="15">
        <f t="shared" si="11"/>
        <v>0</v>
      </c>
      <c r="AX41" s="15">
        <f t="shared" si="12"/>
        <v>0</v>
      </c>
      <c r="AY41" s="15">
        <f t="shared" si="13"/>
        <v>0</v>
      </c>
      <c r="AZ41" s="16">
        <f t="shared" si="14"/>
        <v>0</v>
      </c>
      <c r="BA41" s="58"/>
      <c r="BB41" s="58"/>
      <c r="BC41" s="15">
        <f t="shared" si="18"/>
        <v>0</v>
      </c>
      <c r="BD41" s="57">
        <f t="shared" si="15"/>
        <v>0</v>
      </c>
      <c r="BE41" s="82"/>
      <c r="BF41" s="29">
        <f t="shared" si="6"/>
        <v>0</v>
      </c>
      <c r="BG41" s="29">
        <v>1</v>
      </c>
      <c r="BH41" s="15"/>
      <c r="BI41" s="15"/>
      <c r="BJ41" s="15"/>
      <c r="BK41" s="15"/>
      <c r="BL41" s="15"/>
      <c r="BO41" t="s">
        <v>127</v>
      </c>
      <c r="BP41" t="s">
        <v>126</v>
      </c>
      <c r="BQ41" s="6"/>
    </row>
    <row r="42" spans="1:69" ht="18.5" x14ac:dyDescent="0.45">
      <c r="A42" s="1" t="s">
        <v>41</v>
      </c>
      <c r="B42" s="1" t="str">
        <f>VLOOKUP(A42,[5]LISTADHERENT!A$5:H$50,3,0)</f>
        <v>YOUMBI EMMANUEL</v>
      </c>
      <c r="C42" s="5">
        <f t="shared" si="7"/>
        <v>0</v>
      </c>
      <c r="D42" s="9">
        <f>VLOOKUP($A42,[6]HISTOBQUEDEC25!$A$6:$H$48,5,0)</f>
        <v>225000</v>
      </c>
      <c r="E42" s="91">
        <f>VLOOKUP($A42,[6]HISTOBQUEDEC25!$A$6:$H$48,4,0)</f>
        <v>0</v>
      </c>
      <c r="F42" s="91">
        <f>VLOOKUP($A42,[6]HISTOBQUEDEC25!$A$6:$H$48,6,0)</f>
        <v>0</v>
      </c>
      <c r="G42" s="91"/>
      <c r="H42" s="5">
        <f t="shared" si="16"/>
        <v>0</v>
      </c>
      <c r="I42" s="10" t="str">
        <f t="shared" si="0"/>
        <v>BANQUE</v>
      </c>
      <c r="J42" s="11">
        <v>1</v>
      </c>
      <c r="K42" s="11">
        <f t="shared" si="8"/>
        <v>50000</v>
      </c>
      <c r="L42" s="6">
        <v>1</v>
      </c>
      <c r="M42" s="11">
        <f t="shared" si="1"/>
        <v>75000</v>
      </c>
      <c r="N42" s="6">
        <v>1</v>
      </c>
      <c r="O42" s="11">
        <f t="shared" si="2"/>
        <v>100000</v>
      </c>
      <c r="P42" s="2">
        <f>IFERROR(VLOOKUP(A42,[7]TONTDEC25!$A$6:$R$41,12,0),0)</f>
        <v>0</v>
      </c>
      <c r="Q42" s="2">
        <f>IFERROR(VLOOKUP(A42,[8]TONTDEC25!$A$6:$R$38,10,0),0)</f>
        <v>0</v>
      </c>
      <c r="R42" s="2">
        <f>IFERROR(VLOOKUP(A42,[9]TONTDEC25!$A$6:$R$42,10,0),0)</f>
        <v>0</v>
      </c>
      <c r="S42" s="6"/>
      <c r="T42" s="12"/>
      <c r="U42" s="17">
        <f t="shared" si="9"/>
        <v>225000</v>
      </c>
      <c r="V42" s="12"/>
      <c r="W42" s="12"/>
      <c r="X42" s="12"/>
      <c r="Y42" s="92">
        <f t="shared" si="10"/>
        <v>225000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1"/>
      <c r="AM42" s="11"/>
      <c r="AN42" s="11"/>
      <c r="AO42" s="11"/>
      <c r="AP42" s="12" t="s">
        <v>8</v>
      </c>
      <c r="AQ42" s="8">
        <f t="shared" si="3"/>
        <v>0</v>
      </c>
      <c r="AR42" s="8">
        <f t="shared" si="4"/>
        <v>0</v>
      </c>
      <c r="AS42" s="13">
        <f t="shared" si="17"/>
        <v>25000</v>
      </c>
      <c r="AT42" s="15"/>
      <c r="AV42" s="15"/>
      <c r="AW42" s="15">
        <f t="shared" si="11"/>
        <v>0</v>
      </c>
      <c r="AX42" s="15">
        <f t="shared" si="12"/>
        <v>0</v>
      </c>
      <c r="AY42" s="15">
        <f t="shared" si="13"/>
        <v>0</v>
      </c>
      <c r="AZ42" s="16">
        <f t="shared" si="14"/>
        <v>0</v>
      </c>
      <c r="BA42" s="58"/>
      <c r="BB42" s="58"/>
      <c r="BC42" s="15">
        <f t="shared" si="18"/>
        <v>0</v>
      </c>
      <c r="BD42" s="57">
        <f t="shared" si="15"/>
        <v>0</v>
      </c>
      <c r="BE42" s="82"/>
      <c r="BF42" s="29">
        <f t="shared" si="6"/>
        <v>0</v>
      </c>
      <c r="BG42" s="29">
        <v>1</v>
      </c>
      <c r="BH42" s="15"/>
      <c r="BI42" s="15"/>
      <c r="BJ42" s="15"/>
      <c r="BK42" s="15"/>
      <c r="BL42" s="15"/>
      <c r="BQ42" s="6"/>
    </row>
    <row r="43" spans="1:69" ht="18.5" x14ac:dyDescent="0.45">
      <c r="P43" s="6"/>
      <c r="Q43" s="6"/>
      <c r="R43" s="6"/>
      <c r="S43" s="6"/>
      <c r="AP43" s="12"/>
      <c r="AW43" s="15"/>
      <c r="AX43" s="15"/>
      <c r="AY43" s="15"/>
      <c r="AZ43" s="16"/>
      <c r="BF43" s="29"/>
    </row>
    <row r="44" spans="1:69" ht="18.5" x14ac:dyDescent="0.45">
      <c r="B44" s="1" t="s">
        <v>44</v>
      </c>
      <c r="C44" s="5">
        <f>SUM(C6:C43)</f>
        <v>-636700</v>
      </c>
      <c r="D44" s="5">
        <f>SUM(D6:D43)</f>
        <v>7392000</v>
      </c>
      <c r="E44" s="5">
        <f>SUM(E6:E43)</f>
        <v>13063300</v>
      </c>
      <c r="F44" s="5">
        <f>SUM(F6:F43)</f>
        <v>1842500</v>
      </c>
      <c r="G44" s="5">
        <f t="shared" ref="G44:S44" si="21">SUM(G6:G43)</f>
        <v>662000</v>
      </c>
      <c r="H44" s="5">
        <f t="shared" si="21"/>
        <v>-3000</v>
      </c>
      <c r="I44" s="5">
        <f t="shared" si="21"/>
        <v>0</v>
      </c>
      <c r="J44" s="5">
        <f t="shared" si="21"/>
        <v>35</v>
      </c>
      <c r="K44" s="5">
        <f t="shared" si="21"/>
        <v>1700000</v>
      </c>
      <c r="L44" s="5">
        <f t="shared" si="21"/>
        <v>13</v>
      </c>
      <c r="M44" s="5">
        <f t="shared" si="21"/>
        <v>975000</v>
      </c>
      <c r="N44" s="5">
        <f t="shared" si="21"/>
        <v>24</v>
      </c>
      <c r="O44" s="5">
        <f t="shared" si="21"/>
        <v>2300000</v>
      </c>
      <c r="P44" s="5">
        <f t="shared" si="21"/>
        <v>319000</v>
      </c>
      <c r="Q44" s="5">
        <f t="shared" si="21"/>
        <v>104500</v>
      </c>
      <c r="R44" s="5">
        <f t="shared" si="21"/>
        <v>2569500</v>
      </c>
      <c r="S44" s="5">
        <f t="shared" si="21"/>
        <v>14257500</v>
      </c>
      <c r="T44" s="5"/>
      <c r="U44" s="5">
        <f t="shared" ref="U44:AA44" si="22">SUM(U6:U43)</f>
        <v>22884500</v>
      </c>
      <c r="V44" s="5">
        <f t="shared" si="22"/>
        <v>0</v>
      </c>
      <c r="W44" s="5">
        <f t="shared" si="22"/>
        <v>0</v>
      </c>
      <c r="X44" s="5">
        <f t="shared" si="22"/>
        <v>0</v>
      </c>
      <c r="Y44" s="5">
        <f t="shared" si="22"/>
        <v>4975000</v>
      </c>
      <c r="Z44" s="5">
        <f t="shared" si="22"/>
        <v>15800000</v>
      </c>
      <c r="AA44" s="5">
        <f t="shared" si="22"/>
        <v>0</v>
      </c>
      <c r="AB44" s="5"/>
      <c r="AC44" s="5">
        <f>SUM(AC6:AC43)</f>
        <v>7500</v>
      </c>
      <c r="AD44" s="5">
        <f>SUM(AD6:AD43)</f>
        <v>7500</v>
      </c>
      <c r="AE44" s="5">
        <f>SUM(AE6:AE43)</f>
        <v>0</v>
      </c>
      <c r="AF44" s="5">
        <f>SUM(AF6:AF43)</f>
        <v>0</v>
      </c>
      <c r="AG44" s="5">
        <f>SUM(AG6:AG43)</f>
        <v>0</v>
      </c>
      <c r="AH44" s="5"/>
      <c r="AI44" s="5">
        <f t="shared" ref="AI44:BF44" si="23">SUM(AI6:AI43)</f>
        <v>0</v>
      </c>
      <c r="AJ44" s="5">
        <f t="shared" si="23"/>
        <v>0</v>
      </c>
      <c r="AK44" s="5">
        <f t="shared" si="23"/>
        <v>0</v>
      </c>
      <c r="AL44" s="5">
        <f t="shared" si="23"/>
        <v>0</v>
      </c>
      <c r="AM44" s="5">
        <f t="shared" si="23"/>
        <v>0</v>
      </c>
      <c r="AN44" s="5">
        <f t="shared" si="23"/>
        <v>0</v>
      </c>
      <c r="AO44" s="5">
        <f t="shared" si="23"/>
        <v>0</v>
      </c>
      <c r="AP44" s="5"/>
      <c r="AQ44" s="5">
        <f t="shared" si="23"/>
        <v>0</v>
      </c>
      <c r="AR44" s="5">
        <f t="shared" si="23"/>
        <v>0</v>
      </c>
      <c r="AS44" s="5">
        <f t="shared" si="23"/>
        <v>1512000</v>
      </c>
      <c r="AT44" s="5">
        <f t="shared" si="23"/>
        <v>0</v>
      </c>
      <c r="AU44" s="5">
        <f t="shared" si="23"/>
        <v>0</v>
      </c>
      <c r="AV44" s="5">
        <f t="shared" si="23"/>
        <v>0</v>
      </c>
      <c r="AW44" s="5">
        <f t="shared" si="23"/>
        <v>892500</v>
      </c>
      <c r="AX44" s="5">
        <f t="shared" si="23"/>
        <v>892500</v>
      </c>
      <c r="AY44" s="5">
        <f t="shared" si="23"/>
        <v>0</v>
      </c>
      <c r="AZ44" s="5">
        <f t="shared" si="23"/>
        <v>16361000</v>
      </c>
      <c r="BA44" s="5">
        <f t="shared" si="23"/>
        <v>13803500</v>
      </c>
      <c r="BB44" s="5">
        <f t="shared" si="23"/>
        <v>0</v>
      </c>
      <c r="BC44" s="5">
        <f t="shared" si="23"/>
        <v>1842500</v>
      </c>
      <c r="BD44" s="5" t="e">
        <f t="shared" si="23"/>
        <v>#VALUE!</v>
      </c>
      <c r="BE44" s="5">
        <f t="shared" si="23"/>
        <v>0</v>
      </c>
      <c r="BF44" s="5">
        <f t="shared" si="23"/>
        <v>1236000</v>
      </c>
      <c r="BH44" s="5">
        <f t="shared" ref="BH44:BL44" si="24">SUM(BH6:BH43)</f>
        <v>52000</v>
      </c>
      <c r="BI44" s="5">
        <f t="shared" si="24"/>
        <v>0</v>
      </c>
      <c r="BJ44" s="5">
        <f t="shared" si="24"/>
        <v>0</v>
      </c>
      <c r="BK44" s="5">
        <f t="shared" si="24"/>
        <v>100000</v>
      </c>
      <c r="BL44" s="5">
        <f t="shared" si="24"/>
        <v>0</v>
      </c>
      <c r="BM44" s="5">
        <f>SUM(BM6:BM43)</f>
        <v>0</v>
      </c>
      <c r="BN44" s="5"/>
      <c r="BO44" s="62" t="s">
        <v>142</v>
      </c>
      <c r="BQ44" s="62">
        <f>SUM(BQ40:BQ42)</f>
        <v>0</v>
      </c>
    </row>
    <row r="45" spans="1:69" ht="18.5" x14ac:dyDescent="0.45">
      <c r="AW45" s="15"/>
      <c r="AX45" s="15"/>
      <c r="AY45" s="15"/>
      <c r="AZ45" s="16"/>
    </row>
    <row r="46" spans="1:69" ht="18.5" x14ac:dyDescent="0.45">
      <c r="Z46" s="12"/>
      <c r="AW46" s="15"/>
      <c r="AX46" s="15"/>
      <c r="AY46" s="15"/>
      <c r="AZ46" s="16"/>
      <c r="BA46" s="9">
        <f>E44</f>
        <v>13063300</v>
      </c>
      <c r="BB46" t="s">
        <v>232</v>
      </c>
      <c r="BD46" s="9"/>
      <c r="BE46" t="s">
        <v>233</v>
      </c>
    </row>
    <row r="47" spans="1:69" ht="18.5" x14ac:dyDescent="0.45">
      <c r="B47" s="1" t="s">
        <v>74</v>
      </c>
      <c r="C47" s="3" t="s">
        <v>8</v>
      </c>
      <c r="D47" s="116"/>
      <c r="E47" s="116"/>
      <c r="F47" s="116"/>
      <c r="G47" s="3" t="s">
        <v>9</v>
      </c>
      <c r="H47" s="116"/>
      <c r="I47" s="116"/>
      <c r="Z47" s="12"/>
      <c r="AI47" s="5"/>
      <c r="AV47" s="3"/>
      <c r="AW47" s="116"/>
      <c r="AX47" s="15"/>
      <c r="AY47" s="15"/>
      <c r="AZ47" s="16"/>
      <c r="BA47" s="14">
        <f>+BA46-BA44</f>
        <v>-740200</v>
      </c>
      <c r="BD47" s="14" t="e">
        <f>+BD46-BD44</f>
        <v>#VALUE!</v>
      </c>
    </row>
    <row r="48" spans="1:69" ht="18.5" x14ac:dyDescent="0.45">
      <c r="C48" s="1" t="s">
        <v>76</v>
      </c>
      <c r="D48" s="1" t="s">
        <v>75</v>
      </c>
      <c r="E48" s="1" t="s">
        <v>209</v>
      </c>
      <c r="F48" s="1"/>
      <c r="G48" s="1" t="s">
        <v>75</v>
      </c>
      <c r="H48" s="1" t="s">
        <v>76</v>
      </c>
      <c r="I48" s="1" t="s">
        <v>77</v>
      </c>
      <c r="J48" s="1"/>
      <c r="K48" s="1"/>
      <c r="Z48" s="12"/>
      <c r="AI48" s="5"/>
      <c r="AW48" s="15"/>
      <c r="AX48" s="15"/>
      <c r="AY48" s="15"/>
      <c r="AZ48" s="16"/>
      <c r="BO48" s="62" t="s">
        <v>142</v>
      </c>
      <c r="BQ48" s="62">
        <f>SUM(BQ46:BQ47)</f>
        <v>0</v>
      </c>
    </row>
    <row r="49" spans="2:69" ht="18.5" x14ac:dyDescent="0.45">
      <c r="B49" s="1" t="s">
        <v>78</v>
      </c>
      <c r="AW49" s="15"/>
      <c r="AX49" s="15"/>
      <c r="AY49" s="15"/>
      <c r="AZ49" s="16"/>
    </row>
    <row r="50" spans="2:69" ht="18.5" x14ac:dyDescent="0.45">
      <c r="B50" s="1" t="s">
        <v>208</v>
      </c>
      <c r="C50" s="14" t="e">
        <f>BD44</f>
        <v>#VALUE!</v>
      </c>
      <c r="D50" s="9">
        <f>+D44</f>
        <v>7392000</v>
      </c>
      <c r="E50" s="9" t="e">
        <f>+C50-D50</f>
        <v>#VALUE!</v>
      </c>
      <c r="F50" s="9"/>
      <c r="G50" s="9">
        <f>E44</f>
        <v>13063300</v>
      </c>
      <c r="H50" s="14">
        <f>+BA44</f>
        <v>13803500</v>
      </c>
      <c r="I50" s="88">
        <f>+G50-H50</f>
        <v>-740200</v>
      </c>
      <c r="J50" s="5"/>
      <c r="AW50" s="15"/>
      <c r="AX50" s="15"/>
      <c r="AY50" s="15"/>
      <c r="AZ50" s="16"/>
      <c r="BO50" t="s">
        <v>229</v>
      </c>
      <c r="BQ50" s="6"/>
    </row>
    <row r="51" spans="2:69" ht="18.5" x14ac:dyDescent="0.45">
      <c r="AW51" s="15"/>
      <c r="AX51" s="15"/>
      <c r="AY51" s="15"/>
      <c r="AZ51" s="16" t="s">
        <v>175</v>
      </c>
      <c r="BA51">
        <v>376500</v>
      </c>
      <c r="BB51">
        <v>350000</v>
      </c>
      <c r="BC51">
        <v>26500</v>
      </c>
    </row>
    <row r="52" spans="2:69" ht="18.5" x14ac:dyDescent="0.45">
      <c r="AW52" s="15"/>
      <c r="AX52" s="15"/>
      <c r="AY52" s="15"/>
      <c r="AZ52" s="16" t="s">
        <v>172</v>
      </c>
      <c r="BA52">
        <v>1244000</v>
      </c>
      <c r="BB52">
        <v>1152000</v>
      </c>
      <c r="BC52">
        <v>92000</v>
      </c>
    </row>
    <row r="53" spans="2:69" ht="18.5" x14ac:dyDescent="0.45">
      <c r="G53" t="s">
        <v>282</v>
      </c>
      <c r="H53">
        <v>100000</v>
      </c>
      <c r="I53">
        <v>10000</v>
      </c>
      <c r="AW53" s="15"/>
      <c r="AX53" s="15"/>
      <c r="AY53" s="15"/>
      <c r="AZ53" s="16" t="s">
        <v>173</v>
      </c>
      <c r="BA53">
        <v>223000</v>
      </c>
      <c r="BB53">
        <v>208000</v>
      </c>
      <c r="BC53">
        <v>15500</v>
      </c>
    </row>
    <row r="54" spans="2:69" ht="18.5" x14ac:dyDescent="0.45">
      <c r="G54" t="s">
        <v>283</v>
      </c>
      <c r="H54">
        <v>6000</v>
      </c>
      <c r="I54">
        <v>6000</v>
      </c>
      <c r="AW54" s="15"/>
      <c r="AX54" s="15"/>
      <c r="AY54" s="15"/>
      <c r="AZ54" s="16"/>
    </row>
    <row r="55" spans="2:69" ht="18.5" x14ac:dyDescent="0.45">
      <c r="AW55" s="15"/>
      <c r="AX55" s="15"/>
      <c r="AY55" s="15"/>
      <c r="AZ55" s="16"/>
    </row>
    <row r="56" spans="2:69" ht="18.5" x14ac:dyDescent="0.45">
      <c r="AW56" s="15"/>
      <c r="AX56" s="15"/>
      <c r="AY56" s="15"/>
      <c r="AZ56" s="16"/>
      <c r="BA56" s="70">
        <f>+BB51+BB52+BB53+BA44</f>
        <v>15513500</v>
      </c>
    </row>
    <row r="57" spans="2:69" ht="18.5" x14ac:dyDescent="0.45">
      <c r="AW57" s="15"/>
      <c r="AX57" s="15"/>
      <c r="AY57" s="15"/>
      <c r="AZ57" s="16" t="s">
        <v>281</v>
      </c>
      <c r="BA57">
        <v>2520000</v>
      </c>
    </row>
    <row r="58" spans="2:69" ht="18.5" x14ac:dyDescent="0.45">
      <c r="AW58" s="15"/>
      <c r="AX58" s="15"/>
      <c r="AY58" s="15"/>
      <c r="AZ58" s="16"/>
      <c r="BA58" s="6">
        <f>BA56+BA57</f>
        <v>18033500</v>
      </c>
    </row>
    <row r="59" spans="2:69" ht="18.5" x14ac:dyDescent="0.45">
      <c r="AW59" s="15"/>
      <c r="AX59" s="15"/>
      <c r="AY59" s="15"/>
      <c r="AZ59" s="16"/>
      <c r="BB59">
        <v>14021300</v>
      </c>
    </row>
    <row r="60" spans="2:69" ht="18.5" x14ac:dyDescent="0.45">
      <c r="AW60" s="15"/>
      <c r="AX60" s="15"/>
      <c r="AY60" s="15"/>
      <c r="AZ60" s="16"/>
    </row>
    <row r="61" spans="2:69" ht="18.5" x14ac:dyDescent="0.45">
      <c r="AW61" s="15"/>
      <c r="AX61" s="15"/>
      <c r="AY61" s="15"/>
      <c r="AZ61" s="16"/>
      <c r="BB61" s="114">
        <f>BB59-BA58</f>
        <v>-4012200</v>
      </c>
    </row>
    <row r="62" spans="2:69" ht="18.5" x14ac:dyDescent="0.45">
      <c r="AW62" s="15"/>
      <c r="AX62" s="15"/>
      <c r="AY62" s="15"/>
      <c r="AZ62" s="16"/>
    </row>
    <row r="63" spans="2:69" ht="18.5" x14ac:dyDescent="0.45">
      <c r="AW63" s="15"/>
      <c r="AX63" s="15"/>
      <c r="AY63" s="15"/>
      <c r="AZ63" s="16" t="s">
        <v>284</v>
      </c>
      <c r="BA63">
        <v>940000</v>
      </c>
      <c r="BB63">
        <v>400000</v>
      </c>
      <c r="BC63">
        <f>BA63+BB63</f>
        <v>1340000</v>
      </c>
    </row>
    <row r="64" spans="2:69" ht="18.5" x14ac:dyDescent="0.45">
      <c r="AW64" s="15"/>
      <c r="AX64" s="15"/>
      <c r="AY64" s="15"/>
      <c r="AZ64" s="16" t="s">
        <v>285</v>
      </c>
      <c r="BA64">
        <v>880000</v>
      </c>
      <c r="BC64">
        <f t="shared" ref="BC64:BC72" si="25">BA64+BB64</f>
        <v>880000</v>
      </c>
    </row>
    <row r="65" spans="49:55" ht="18.5" x14ac:dyDescent="0.45">
      <c r="AW65" s="15"/>
      <c r="AX65" s="15"/>
      <c r="AY65" s="15"/>
      <c r="AZ65" s="16" t="s">
        <v>286</v>
      </c>
      <c r="BA65">
        <f>820000-329500</f>
        <v>490500</v>
      </c>
      <c r="BC65">
        <f t="shared" si="25"/>
        <v>490500</v>
      </c>
    </row>
    <row r="66" spans="49:55" ht="18.5" x14ac:dyDescent="0.45">
      <c r="AW66" s="15"/>
      <c r="AX66" s="15"/>
      <c r="AY66" s="15"/>
      <c r="AZ66" s="16" t="s">
        <v>287</v>
      </c>
      <c r="BA66">
        <v>880000</v>
      </c>
      <c r="BC66">
        <f t="shared" si="25"/>
        <v>880000</v>
      </c>
    </row>
    <row r="67" spans="49:55" ht="18.5" x14ac:dyDescent="0.45">
      <c r="AW67" s="15"/>
      <c r="AX67" s="15"/>
      <c r="AY67" s="15"/>
      <c r="AZ67" s="16" t="s">
        <v>287</v>
      </c>
      <c r="BA67">
        <v>297500</v>
      </c>
      <c r="BC67">
        <f t="shared" si="25"/>
        <v>297500</v>
      </c>
    </row>
    <row r="68" spans="49:55" ht="18.5" x14ac:dyDescent="0.45">
      <c r="AW68" s="15"/>
      <c r="AX68" s="15"/>
      <c r="AY68" s="15"/>
      <c r="AZ68" s="16" t="s">
        <v>288</v>
      </c>
      <c r="BA68">
        <v>652000</v>
      </c>
      <c r="BC68">
        <f t="shared" si="25"/>
        <v>652000</v>
      </c>
    </row>
    <row r="69" spans="49:55" ht="18.5" x14ac:dyDescent="0.45">
      <c r="AW69" s="15"/>
      <c r="AX69" s="15"/>
      <c r="AY69" s="15"/>
      <c r="AZ69" s="16" t="s">
        <v>289</v>
      </c>
      <c r="BA69">
        <v>880000</v>
      </c>
      <c r="BC69">
        <f t="shared" si="25"/>
        <v>880000</v>
      </c>
    </row>
    <row r="70" spans="49:55" ht="18.5" x14ac:dyDescent="0.45">
      <c r="AW70" s="15"/>
      <c r="AX70" s="15"/>
      <c r="AY70" s="15"/>
      <c r="AZ70" s="16" t="s">
        <v>290</v>
      </c>
      <c r="BA70">
        <v>470000</v>
      </c>
      <c r="BC70">
        <f t="shared" si="25"/>
        <v>470000</v>
      </c>
    </row>
    <row r="71" spans="49:55" ht="18.5" x14ac:dyDescent="0.45">
      <c r="AW71" s="15"/>
      <c r="AX71" s="15"/>
      <c r="AY71" s="15"/>
      <c r="AZ71" s="16" t="s">
        <v>291</v>
      </c>
      <c r="BA71">
        <v>1566000</v>
      </c>
      <c r="BC71">
        <f t="shared" si="25"/>
        <v>1566000</v>
      </c>
    </row>
    <row r="72" spans="49:55" ht="18.5" x14ac:dyDescent="0.45">
      <c r="AW72" s="15"/>
      <c r="AX72" s="15"/>
      <c r="AY72" s="15"/>
      <c r="AZ72" s="16" t="s">
        <v>292</v>
      </c>
      <c r="BA72">
        <v>102000</v>
      </c>
      <c r="BC72">
        <f t="shared" si="25"/>
        <v>102000</v>
      </c>
    </row>
    <row r="73" spans="49:55" ht="18.5" x14ac:dyDescent="0.45">
      <c r="AW73" s="15"/>
      <c r="AX73" s="15"/>
      <c r="AY73" s="15"/>
      <c r="AZ73" s="16"/>
      <c r="BC73">
        <f>SUM(BC63:BC72)</f>
        <v>7558000</v>
      </c>
    </row>
    <row r="74" spans="49:55" ht="18.5" x14ac:dyDescent="0.45">
      <c r="AW74" s="15"/>
      <c r="AX74" s="15"/>
      <c r="AY74" s="15"/>
      <c r="AZ74" s="16"/>
    </row>
    <row r="75" spans="49:55" ht="18.5" x14ac:dyDescent="0.45">
      <c r="AW75" s="15"/>
      <c r="AX75" s="15"/>
      <c r="AY75" s="15"/>
      <c r="AZ75" s="16"/>
    </row>
    <row r="76" spans="49:55" ht="18.5" x14ac:dyDescent="0.45">
      <c r="AW76" s="15"/>
      <c r="AX76" s="15"/>
      <c r="AY76" s="15"/>
      <c r="AZ76" s="16"/>
    </row>
    <row r="77" spans="49:55" ht="18.5" x14ac:dyDescent="0.45">
      <c r="AW77" s="15"/>
      <c r="AX77" s="15"/>
      <c r="AY77" s="15"/>
      <c r="AZ77" s="16"/>
    </row>
    <row r="78" spans="49:55" ht="18.5" x14ac:dyDescent="0.45">
      <c r="AW78" s="15"/>
      <c r="AX78" s="15"/>
      <c r="AY78" s="15"/>
      <c r="AZ78" s="16"/>
    </row>
    <row r="79" spans="49:55" ht="18.5" x14ac:dyDescent="0.45">
      <c r="AW79" s="15"/>
      <c r="AX79" s="15"/>
      <c r="AY79" s="15"/>
      <c r="AZ79" s="16"/>
    </row>
    <row r="80" spans="49:55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4" spans="49:52" ht="18.5" x14ac:dyDescent="0.45">
      <c r="AW84" s="15"/>
      <c r="AX84" s="15"/>
      <c r="AY84" s="15"/>
      <c r="AZ84" s="16"/>
    </row>
    <row r="85" spans="49:52" ht="18.5" x14ac:dyDescent="0.45">
      <c r="AW85" s="15"/>
      <c r="AX85" s="15"/>
      <c r="AY85" s="15"/>
      <c r="AZ85" s="16"/>
    </row>
    <row r="86" spans="49:52" ht="18.5" x14ac:dyDescent="0.45">
      <c r="AW86" s="15"/>
      <c r="AX86" s="15"/>
      <c r="AY86" s="15"/>
      <c r="AZ86" s="16"/>
    </row>
    <row r="88" spans="49:52" ht="17.5" x14ac:dyDescent="0.35">
      <c r="AW88" s="5"/>
      <c r="AX88" s="5"/>
      <c r="AY88" s="5"/>
      <c r="AZ88" s="5">
        <f>SUM(AZ8:AZ87)</f>
        <v>30797500</v>
      </c>
    </row>
  </sheetData>
  <autoFilter ref="A5:AF42" xr:uid="{00000000-0009-0000-0000-000004000000}"/>
  <mergeCells count="1">
    <mergeCell ref="B4:M4"/>
  </mergeCells>
  <dataValidations count="2">
    <dataValidation type="list" showInputMessage="1" showErrorMessage="1" sqref="T6:T42 AP6:AP43 AF6:AF42" xr:uid="{483E4936-2996-47F9-9C04-1BC267159229}">
      <formula1>"BANQUE,ESPECES,EN COMPTE,AUTRES"</formula1>
    </dataValidation>
    <dataValidation type="list" showInputMessage="1" showErrorMessage="1" sqref="AA6:AA42" xr:uid="{AFB54BF3-5BEA-4F78-A30A-9A886F944639}">
      <formula1>"BANQUE,ESPECES, EN COMPTE,AUTRES"</formula1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85"/>
  <sheetViews>
    <sheetView zoomScale="87" zoomScaleNormal="87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 t="shared" ref="C6:C38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227000</v>
      </c>
      <c r="BA6" s="58">
        <v>27000</v>
      </c>
      <c r="BB6" s="58"/>
      <c r="BC6" s="15"/>
      <c r="BD6" s="57">
        <f>IF(AZ6=0,(AZ6-BA6-BC6),(AZ6-BA6-BB6-BC6))</f>
        <v>200000</v>
      </c>
      <c r="BE6" s="82" t="s">
        <v>186</v>
      </c>
      <c r="BF6" s="29">
        <f t="shared" ref="BF6:BF38" si="6">Z6*1/100*BG6</f>
        <v>0</v>
      </c>
      <c r="BG6" s="29">
        <v>11</v>
      </c>
      <c r="BH6" s="15">
        <f>BQ16</f>
        <v>27000</v>
      </c>
      <c r="BI6" s="15">
        <f>BQ28</f>
        <v>200000</v>
      </c>
      <c r="BJ6" s="15">
        <f>BQ33</f>
        <v>0</v>
      </c>
      <c r="BK6" s="15"/>
      <c r="BL6" s="15"/>
      <c r="BM6" s="15"/>
      <c r="BN6" s="15">
        <f>+BQ22</f>
        <v>300000</v>
      </c>
      <c r="BO6" t="s">
        <v>115</v>
      </c>
      <c r="BP6" t="s">
        <v>114</v>
      </c>
      <c r="BQ6" s="6">
        <v>8500</v>
      </c>
    </row>
    <row r="7" spans="1:69" ht="18.5" x14ac:dyDescent="0.45">
      <c r="A7" s="1" t="s">
        <v>161</v>
      </c>
      <c r="B7" s="1">
        <v>50000</v>
      </c>
      <c r="C7" s="9">
        <f t="shared" si="0"/>
        <v>6000</v>
      </c>
      <c r="D7" s="9">
        <v>56000</v>
      </c>
      <c r="E7" s="9">
        <v>0</v>
      </c>
      <c r="F7" s="9"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>
        <v>0</v>
      </c>
      <c r="R7" s="2">
        <v>0</v>
      </c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SUM(AV7:AY7)-BF7+Z7-F7+BH7+BI7+BJ7+BK7+BL7+BM7+6000+600000</f>
        <v>600000</v>
      </c>
      <c r="BA7" s="58"/>
      <c r="BB7" s="58"/>
      <c r="BC7" s="15"/>
      <c r="BD7" s="57">
        <f>IF(AZ7=0,(AZ7-BA7-BC7),(AZ7-BA7-BB7-BC7))+F7-600000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5">
        <f t="shared" si="0"/>
        <v>0</v>
      </c>
      <c r="D8" s="9">
        <v>125000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>
        <v>0</v>
      </c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>
        <v>250000</v>
      </c>
      <c r="C9" s="5">
        <f t="shared" si="0"/>
        <v>0</v>
      </c>
      <c r="D9" s="9">
        <v>250000</v>
      </c>
      <c r="E9" s="9">
        <v>0</v>
      </c>
      <c r="F9" s="9"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v>0</v>
      </c>
      <c r="Q9" s="2">
        <v>0</v>
      </c>
      <c r="R9" s="2">
        <v>0</v>
      </c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 t="s">
        <v>186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O9" t="s">
        <v>196</v>
      </c>
      <c r="BP9" t="s">
        <v>114</v>
      </c>
      <c r="BQ9" s="6">
        <v>18500</v>
      </c>
    </row>
    <row r="10" spans="1:69" ht="18.5" x14ac:dyDescent="0.45">
      <c r="A10" s="1" t="s">
        <v>14</v>
      </c>
      <c r="B10" s="1">
        <v>50000</v>
      </c>
      <c r="C10" s="5">
        <f t="shared" si="0"/>
        <v>0</v>
      </c>
      <c r="D10" s="9">
        <v>125000</v>
      </c>
      <c r="E10" s="9">
        <v>0</v>
      </c>
      <c r="F10" s="9"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v>0</v>
      </c>
      <c r="Q10" s="2">
        <v>0</v>
      </c>
      <c r="R10" s="2">
        <v>0</v>
      </c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 t="s">
        <v>186</v>
      </c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7.5" customHeight="1" x14ac:dyDescent="0.45">
      <c r="A11" s="1" t="s">
        <v>15</v>
      </c>
      <c r="B11" s="1">
        <v>125000</v>
      </c>
      <c r="C11" s="5">
        <f t="shared" si="0"/>
        <v>0</v>
      </c>
      <c r="D11" s="9">
        <v>125000</v>
      </c>
      <c r="E11" s="9">
        <v>0</v>
      </c>
      <c r="F11" s="9"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0</v>
      </c>
      <c r="R11" s="2">
        <v>0</v>
      </c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0"/>
        <v>0</v>
      </c>
      <c r="D12" s="9">
        <v>330000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 t="s">
        <v>186</v>
      </c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0"/>
        <v>0</v>
      </c>
      <c r="D13" s="9">
        <v>50000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>
        <v>0</v>
      </c>
      <c r="R13" s="2">
        <v>0</v>
      </c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/>
    </row>
    <row r="14" spans="1:69" ht="18.5" x14ac:dyDescent="0.45">
      <c r="A14" s="1" t="s">
        <v>18</v>
      </c>
      <c r="B14" s="1">
        <v>50000</v>
      </c>
      <c r="C14" s="5">
        <f t="shared" si="0"/>
        <v>0</v>
      </c>
      <c r="D14" s="9">
        <v>0</v>
      </c>
      <c r="E14" s="9">
        <v>50000</v>
      </c>
      <c r="F14" s="9"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0"/>
        <v>0</v>
      </c>
      <c r="D15" s="9">
        <v>125000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0"/>
        <v>0</v>
      </c>
      <c r="D16" s="9">
        <v>260000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 t="s">
        <v>186</v>
      </c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O16" s="62" t="s">
        <v>142</v>
      </c>
      <c r="BQ16" s="62">
        <f>SUM(BQ6:BQ15)</f>
        <v>27000</v>
      </c>
    </row>
    <row r="17" spans="1:69" ht="18.5" x14ac:dyDescent="0.45">
      <c r="A17" s="1" t="s">
        <v>22</v>
      </c>
      <c r="B17" s="1">
        <v>150000</v>
      </c>
      <c r="C17" s="5">
        <f t="shared" si="0"/>
        <v>0</v>
      </c>
      <c r="D17" s="9">
        <v>150000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>
        <v>0</v>
      </c>
      <c r="R17" s="2">
        <v>0</v>
      </c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 t="s">
        <v>186</v>
      </c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0"/>
        <v>0</v>
      </c>
      <c r="D18" s="9">
        <v>150000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0</v>
      </c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 t="s">
        <v>186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300000</v>
      </c>
    </row>
    <row r="19" spans="1:69" ht="18.5" x14ac:dyDescent="0.45">
      <c r="A19" s="1" t="s">
        <v>195</v>
      </c>
      <c r="B19" s="1">
        <v>50000</v>
      </c>
      <c r="C19" s="5">
        <f t="shared" ref="C19" si="16">D19+E19+F19-U19-BB19</f>
        <v>0</v>
      </c>
      <c r="D19" s="9">
        <v>50000</v>
      </c>
      <c r="E19" s="9">
        <v>25000</v>
      </c>
      <c r="F19" s="9"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">
        <v>0</v>
      </c>
      <c r="Q19" s="2">
        <v>0</v>
      </c>
      <c r="R19" s="2">
        <v>0</v>
      </c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0"/>
        <v>0</v>
      </c>
      <c r="D20" s="9">
        <v>225000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0</v>
      </c>
      <c r="R20" s="2">
        <v>0</v>
      </c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 t="s">
        <v>186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0"/>
        <v>0</v>
      </c>
      <c r="D21" s="9">
        <v>50000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>
        <v>0</v>
      </c>
      <c r="R21" s="2">
        <v>0</v>
      </c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0"/>
        <v>0</v>
      </c>
      <c r="D22" s="9">
        <v>125000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>
        <v>0</v>
      </c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300000</v>
      </c>
    </row>
    <row r="23" spans="1:69" ht="18.5" x14ac:dyDescent="0.45">
      <c r="A23" s="1" t="s">
        <v>28</v>
      </c>
      <c r="B23" s="1">
        <v>250000</v>
      </c>
      <c r="C23" s="5">
        <f t="shared" si="0"/>
        <v>0</v>
      </c>
      <c r="D23" s="9">
        <v>260000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>
        <v>0</v>
      </c>
      <c r="R23" s="2">
        <v>0</v>
      </c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0"/>
        <v>0</v>
      </c>
      <c r="D24" s="9">
        <v>225000</v>
      </c>
      <c r="E24" s="9">
        <v>0</v>
      </c>
      <c r="F24" s="9"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0</v>
      </c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O24" t="s">
        <v>197</v>
      </c>
      <c r="BP24" t="s">
        <v>143</v>
      </c>
      <c r="BQ24" s="6">
        <v>200000</v>
      </c>
    </row>
    <row r="25" spans="1:69" ht="18.5" x14ac:dyDescent="0.45">
      <c r="A25" s="1" t="s">
        <v>30</v>
      </c>
      <c r="B25" s="1">
        <v>250000</v>
      </c>
      <c r="C25" s="5">
        <f t="shared" si="0"/>
        <v>0</v>
      </c>
      <c r="D25" s="9">
        <v>375000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0</v>
      </c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 t="s">
        <v>186</v>
      </c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O25" t="s">
        <v>204</v>
      </c>
      <c r="BP25" t="s">
        <v>143</v>
      </c>
      <c r="BQ25" s="6"/>
    </row>
    <row r="26" spans="1:69" ht="18.5" x14ac:dyDescent="0.45">
      <c r="A26" s="1" t="s">
        <v>31</v>
      </c>
      <c r="B26" s="1">
        <v>50000</v>
      </c>
      <c r="C26" s="5">
        <f t="shared" si="0"/>
        <v>50000</v>
      </c>
      <c r="D26" s="9">
        <v>50000</v>
      </c>
      <c r="E26" s="9">
        <v>50000</v>
      </c>
      <c r="F26" s="9">
        <v>0</v>
      </c>
      <c r="G26" s="5">
        <f>IF(H26="ESPECES",3000,0)</f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v>0</v>
      </c>
      <c r="Q26" s="2">
        <v>0</v>
      </c>
      <c r="R26" s="2">
        <v>0</v>
      </c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 t="s">
        <v>186</v>
      </c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>
        <v>0</v>
      </c>
      <c r="R27" s="2">
        <v>0</v>
      </c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0"/>
        <v>0</v>
      </c>
      <c r="D28" s="9">
        <v>125000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200000</v>
      </c>
    </row>
    <row r="29" spans="1:69" ht="18.5" x14ac:dyDescent="0.45">
      <c r="A29" s="1" t="s">
        <v>159</v>
      </c>
      <c r="B29" s="1">
        <v>50000</v>
      </c>
      <c r="C29" s="5">
        <f t="shared" si="0"/>
        <v>0</v>
      </c>
      <c r="D29" s="9">
        <v>500000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>
        <v>0</v>
      </c>
      <c r="R29" s="2">
        <v>0</v>
      </c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0"/>
        <v>0</v>
      </c>
      <c r="D30" s="9">
        <v>250000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v>0</v>
      </c>
      <c r="Q30" s="2">
        <v>0</v>
      </c>
      <c r="R30" s="2">
        <v>0</v>
      </c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0"/>
        <v>0</v>
      </c>
      <c r="D31" s="9">
        <v>150000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>
        <v>0</v>
      </c>
      <c r="R31" s="2">
        <v>0</v>
      </c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0"/>
        <v>0</v>
      </c>
      <c r="D32" s="9">
        <v>125000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0</v>
      </c>
      <c r="R32" s="2">
        <v>0</v>
      </c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 t="s">
        <v>186</v>
      </c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9" ht="18.5" x14ac:dyDescent="0.45">
      <c r="A33" s="1" t="s">
        <v>194</v>
      </c>
      <c r="B33" s="1">
        <v>150000</v>
      </c>
      <c r="C33" s="9">
        <f t="shared" si="0"/>
        <v>120000</v>
      </c>
      <c r="D33" s="9">
        <v>540000</v>
      </c>
      <c r="E33" s="9">
        <v>0</v>
      </c>
      <c r="F33" s="9"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ref="C34" si="30">D34+E34+F34-U34-BB34</f>
        <v>0</v>
      </c>
      <c r="D34" s="9">
        <v>50000</v>
      </c>
      <c r="E34" s="9">
        <v>0</v>
      </c>
      <c r="F34" s="9"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0"/>
        <v>0</v>
      </c>
      <c r="D35" s="9">
        <v>60000</v>
      </c>
      <c r="E35" s="9">
        <v>0</v>
      </c>
      <c r="F35" s="9"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>
        <v>0</v>
      </c>
      <c r="R35" s="2">
        <v>0</v>
      </c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0"/>
        <v>53000</v>
      </c>
      <c r="D36" s="9">
        <v>50000</v>
      </c>
      <c r="E36" s="9">
        <v>50000</v>
      </c>
      <c r="F36" s="9">
        <v>0</v>
      </c>
      <c r="G36" s="5">
        <f>IF(H36="ESPECES",3000,0)-3000</f>
        <v>-3000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13"/>
        <v>47000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>
        <v>150000</v>
      </c>
      <c r="C37" s="5">
        <f t="shared" si="0"/>
        <v>0</v>
      </c>
      <c r="D37" s="9">
        <v>150000</v>
      </c>
      <c r="E37" s="9">
        <v>25000</v>
      </c>
      <c r="F37" s="9"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0"/>
        <v>0</v>
      </c>
      <c r="D38" s="9">
        <v>125000</v>
      </c>
      <c r="E38" s="9">
        <v>0</v>
      </c>
      <c r="F38" s="9"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59">SUM(C6:C39)</f>
        <v>229000</v>
      </c>
      <c r="D40" s="5">
        <f t="shared" si="59"/>
        <v>5456000</v>
      </c>
      <c r="E40" s="5">
        <f t="shared" si="59"/>
        <v>200000</v>
      </c>
      <c r="F40" s="5">
        <f t="shared" si="59"/>
        <v>0</v>
      </c>
      <c r="G40" s="5">
        <f t="shared" si="59"/>
        <v>-3000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5427000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8899000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7565000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200000</v>
      </c>
      <c r="BJ40" s="5">
        <f t="shared" si="62"/>
        <v>0</v>
      </c>
      <c r="BK40" s="5">
        <f t="shared" si="62"/>
        <v>100000</v>
      </c>
      <c r="BL40" s="5">
        <f t="shared" si="62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209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208</v>
      </c>
      <c r="C47" s="14">
        <f>BD40</f>
        <v>7565000</v>
      </c>
      <c r="D47" s="9">
        <f>+D40</f>
        <v>5456000</v>
      </c>
      <c r="E47" s="9">
        <f>+C47-D47</f>
        <v>2109000</v>
      </c>
      <c r="F47" s="9">
        <f>E40</f>
        <v>200000</v>
      </c>
      <c r="G47" s="14">
        <f>+BA40</f>
        <v>790000</v>
      </c>
      <c r="H47" s="88">
        <f>+F47-G47</f>
        <v>-590000</v>
      </c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16971000</v>
      </c>
    </row>
  </sheetData>
  <autoFilter ref="A5:AF38" xr:uid="{00000000-0009-0000-0000-000004000000}"/>
  <mergeCells count="1">
    <mergeCell ref="B4:M4"/>
  </mergeCells>
  <dataValidations count="2">
    <dataValidation type="list" allowBlank="1" showInputMessage="1" showErrorMessage="1" sqref="AF6:AF38" xr:uid="{00000000-0002-0000-0400-000000000000}">
      <formula1>MODEVERSEMENTS</formula1>
    </dataValidation>
    <dataValidation type="list" allowBlank="1" showInputMessage="1" showErrorMessage="1" sqref="AP6:AP38 AA6:AA38 T7:T38 T6" xr:uid="{00000000-0002-0000-0400-000001000000}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85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P8" sqref="P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 t="shared" ref="C6:C38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127000</v>
      </c>
      <c r="BA6" s="58"/>
      <c r="BB6" s="58"/>
      <c r="BC6" s="15"/>
      <c r="BD6" s="57">
        <f>IF(AZ6=0,(AZ6-BA6-BC6),(AZ6-BA6-BB6-BC6))</f>
        <v>127000</v>
      </c>
      <c r="BE6" s="82" t="s">
        <v>186</v>
      </c>
      <c r="BF6" s="29">
        <f t="shared" ref="BF6:BF38" si="6">Z6*1/100*BG6</f>
        <v>0</v>
      </c>
      <c r="BG6" s="29">
        <v>10</v>
      </c>
      <c r="BH6" s="15">
        <f>BQ16</f>
        <v>27000</v>
      </c>
      <c r="BI6" s="15">
        <f>BQ28</f>
        <v>0</v>
      </c>
      <c r="BJ6" s="15">
        <f>BQ33</f>
        <v>100000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>
        <v>3000</v>
      </c>
    </row>
    <row r="7" spans="1:69" ht="18.5" x14ac:dyDescent="0.45">
      <c r="A7" s="1" t="s">
        <v>161</v>
      </c>
      <c r="B7" s="1">
        <v>50000</v>
      </c>
      <c r="C7" s="9">
        <f t="shared" si="0"/>
        <v>6000</v>
      </c>
      <c r="D7" s="9">
        <v>56000</v>
      </c>
      <c r="E7" s="9">
        <v>0</v>
      </c>
      <c r="F7" s="9"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60000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60000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>SUM(AV7:AY7)-BF7+Z7-F7+BH7+BI7+BJ7+BK7+BL7+BM7+6000</f>
        <v>60000</v>
      </c>
      <c r="BA7" s="58"/>
      <c r="BB7" s="58"/>
      <c r="BC7" s="15"/>
      <c r="BD7" s="57">
        <f t="shared" ref="BD7:BD38" si="14">IF(AZ7=0,(AZ7-BA7-BC7),(AZ7-BA7-BB7-BC7))</f>
        <v>60000</v>
      </c>
      <c r="BE7" s="82" t="s">
        <v>186</v>
      </c>
      <c r="BF7" s="29">
        <f>Z7*1/100*BG7+6000</f>
        <v>6000</v>
      </c>
      <c r="BG7" s="29">
        <v>10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9">
        <f t="shared" si="0"/>
        <v>0</v>
      </c>
      <c r="D8" s="9">
        <v>100000</v>
      </c>
      <c r="E8" s="9">
        <v>25000</v>
      </c>
      <c r="F8" s="9">
        <v>0</v>
      </c>
      <c r="G8" s="5">
        <f>IF(H8="ESPECES",3000,0)+3000</f>
        <v>3000</v>
      </c>
      <c r="H8" s="10" t="str">
        <f t="shared" si="1"/>
        <v>BANQUE</v>
      </c>
      <c r="I8" s="10">
        <v>-3000</v>
      </c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>
        <v>0</v>
      </c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10"/>
        <v>22000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ref="AZ8:AZ38" si="15">SUM(AV8:AY8)-BF8+Z8-F8+BH8+BI8+BJ8+BK8+BL8+BM8</f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12000</v>
      </c>
    </row>
    <row r="9" spans="1:69" ht="18.5" x14ac:dyDescent="0.45">
      <c r="A9" s="1" t="s">
        <v>13</v>
      </c>
      <c r="B9" s="1">
        <v>250000</v>
      </c>
      <c r="C9" s="5">
        <f t="shared" si="0"/>
        <v>0</v>
      </c>
      <c r="D9" s="9">
        <v>250000</v>
      </c>
      <c r="E9" s="9">
        <v>0</v>
      </c>
      <c r="F9" s="9"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v>0</v>
      </c>
      <c r="Q9" s="2">
        <v>0</v>
      </c>
      <c r="R9" s="2"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5"/>
        <v>0</v>
      </c>
      <c r="BA9" s="58"/>
      <c r="BB9" s="58"/>
      <c r="BC9" s="15"/>
      <c r="BD9" s="57">
        <f t="shared" si="14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0"/>
        <v>0</v>
      </c>
      <c r="D10" s="9">
        <v>125000</v>
      </c>
      <c r="E10" s="9">
        <v>105000</v>
      </c>
      <c r="F10" s="9">
        <v>0</v>
      </c>
      <c r="G10" s="5">
        <f>IF(H10="ESPECES",3000,0)+3000</f>
        <v>3000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v>0</v>
      </c>
      <c r="Q10" s="2">
        <v>102000</v>
      </c>
      <c r="R10" s="2">
        <v>0</v>
      </c>
      <c r="S10" s="20"/>
      <c r="T10" s="12"/>
      <c r="U10" s="17">
        <f t="shared" si="9"/>
        <v>230000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5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0"/>
        <v>0</v>
      </c>
      <c r="D11" s="9">
        <v>227000</v>
      </c>
      <c r="E11" s="9">
        <v>0</v>
      </c>
      <c r="F11" s="9">
        <v>1000000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102000</v>
      </c>
      <c r="R11" s="2">
        <v>0</v>
      </c>
      <c r="S11" s="20">
        <v>1000000</v>
      </c>
      <c r="T11" s="12"/>
      <c r="U11" s="17">
        <f t="shared" si="9"/>
        <v>1227000</v>
      </c>
      <c r="V11" s="12"/>
      <c r="W11" s="12"/>
      <c r="X11" s="12"/>
      <c r="Y11" s="12"/>
      <c r="Z11" s="12">
        <v>1000000</v>
      </c>
      <c r="AA11" s="12"/>
      <c r="AB11" s="12"/>
      <c r="AC11" s="12">
        <v>16000</v>
      </c>
      <c r="AD11" s="12">
        <v>16000</v>
      </c>
      <c r="AE11" s="12"/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10"/>
        <v>25000</v>
      </c>
      <c r="AT11" s="15"/>
      <c r="AV11" s="15"/>
      <c r="AW11" s="15">
        <f t="shared" si="11"/>
        <v>284000</v>
      </c>
      <c r="AX11" s="15">
        <f t="shared" si="12"/>
        <v>884000</v>
      </c>
      <c r="AY11" s="15">
        <f t="shared" si="13"/>
        <v>0</v>
      </c>
      <c r="AZ11" s="16">
        <f t="shared" si="15"/>
        <v>1148000</v>
      </c>
      <c r="BA11" s="58">
        <v>168000</v>
      </c>
      <c r="BB11" s="58"/>
      <c r="BC11" s="15"/>
      <c r="BD11" s="57">
        <f>IF(AZ11=0,(AZ11-BA11-BC11),(AZ11-BA11-BB11-BC11))-102000</f>
        <v>878000</v>
      </c>
      <c r="BE11" s="82" t="s">
        <v>186</v>
      </c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0"/>
        <v>0</v>
      </c>
      <c r="D12" s="9">
        <v>330000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131000</v>
      </c>
      <c r="AL12" s="12"/>
      <c r="AM12" s="12"/>
      <c r="AN12" s="12">
        <v>1000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131000</v>
      </c>
      <c r="AZ12" s="16">
        <f t="shared" si="15"/>
        <v>131000</v>
      </c>
      <c r="BA12" s="58">
        <v>66700</v>
      </c>
      <c r="BB12" s="58"/>
      <c r="BC12" s="15"/>
      <c r="BD12" s="57">
        <f>IF(AZ12=0,(AZ12-BA12-BC12),(AZ12-BA12-BB12-BC12))+5000</f>
        <v>69300</v>
      </c>
      <c r="BE12" s="82" t="s">
        <v>186</v>
      </c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0"/>
        <v>0</v>
      </c>
      <c r="D13" s="9">
        <v>50000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>
        <v>0</v>
      </c>
      <c r="R13" s="2">
        <v>0</v>
      </c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5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12000</v>
      </c>
    </row>
    <row r="14" spans="1:69" ht="18.5" x14ac:dyDescent="0.45">
      <c r="A14" s="1" t="s">
        <v>18</v>
      </c>
      <c r="B14" s="1">
        <v>50000</v>
      </c>
      <c r="C14" s="5">
        <f t="shared" si="0"/>
        <v>0</v>
      </c>
      <c r="D14" s="9">
        <v>50000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5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0"/>
        <v>0</v>
      </c>
      <c r="D15" s="9">
        <v>125000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5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0"/>
        <v>0</v>
      </c>
      <c r="D16" s="9">
        <v>260000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5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O16" s="62" t="s">
        <v>142</v>
      </c>
      <c r="BQ16" s="62">
        <f>SUM(BQ6:BQ15)</f>
        <v>27000</v>
      </c>
    </row>
    <row r="17" spans="1:69" ht="18.5" x14ac:dyDescent="0.45">
      <c r="A17" s="1" t="s">
        <v>22</v>
      </c>
      <c r="B17" s="1">
        <v>150000</v>
      </c>
      <c r="C17" s="5">
        <f t="shared" si="0"/>
        <v>0</v>
      </c>
      <c r="D17" s="9">
        <v>251000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>
        <v>0</v>
      </c>
      <c r="R17" s="2">
        <v>101000</v>
      </c>
      <c r="S17" s="20"/>
      <c r="T17" s="12"/>
      <c r="U17" s="17">
        <f t="shared" si="9"/>
        <v>251000</v>
      </c>
      <c r="V17" s="12"/>
      <c r="W17" s="12"/>
      <c r="X17" s="12"/>
      <c r="Y17" s="12"/>
      <c r="Z17" s="12"/>
      <c r="AA17" s="12"/>
      <c r="AB17" s="12"/>
      <c r="AC17" s="12">
        <v>17000</v>
      </c>
      <c r="AD17" s="12"/>
      <c r="AE17" s="12"/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0"/>
        <v>25000</v>
      </c>
      <c r="AT17" s="15"/>
      <c r="AV17" s="15"/>
      <c r="AW17" s="15">
        <f t="shared" si="11"/>
        <v>283000</v>
      </c>
      <c r="AX17" s="15">
        <f t="shared" si="12"/>
        <v>0</v>
      </c>
      <c r="AY17" s="15">
        <f t="shared" si="13"/>
        <v>0</v>
      </c>
      <c r="AZ17" s="16">
        <f t="shared" si="15"/>
        <v>283000</v>
      </c>
      <c r="BA17" s="58"/>
      <c r="BB17" s="58"/>
      <c r="BC17" s="15"/>
      <c r="BD17" s="57">
        <f t="shared" si="14"/>
        <v>283000</v>
      </c>
      <c r="BE17" s="82" t="s">
        <v>186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0"/>
        <v>0</v>
      </c>
      <c r="D18" s="9">
        <v>160000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>
        <v>40000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1160000</v>
      </c>
      <c r="AZ18" s="16">
        <f t="shared" si="15"/>
        <v>1160000</v>
      </c>
      <c r="BA18" s="58"/>
      <c r="BB18" s="58"/>
      <c r="BC18" s="15"/>
      <c r="BD18" s="57">
        <f t="shared" si="14"/>
        <v>1160000</v>
      </c>
      <c r="BE18" s="82" t="s">
        <v>186</v>
      </c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>
        <v>50000</v>
      </c>
      <c r="C19" s="5">
        <f t="shared" si="0"/>
        <v>0</v>
      </c>
      <c r="D19" s="9">
        <v>50000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5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0"/>
        <v>0</v>
      </c>
      <c r="D20" s="9">
        <v>225000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0</v>
      </c>
      <c r="R20" s="2"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>
        <v>16000</v>
      </c>
      <c r="AE20" s="12"/>
      <c r="AF20" s="12" t="s">
        <v>8</v>
      </c>
      <c r="AG20" s="12"/>
      <c r="AH20" s="12"/>
      <c r="AI20" s="12"/>
      <c r="AJ20" s="12"/>
      <c r="AK20" s="12">
        <f>100000+100000</f>
        <v>200000</v>
      </c>
      <c r="AL20" s="12"/>
      <c r="AM20" s="12"/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884000</v>
      </c>
      <c r="AY20" s="15">
        <f t="shared" si="13"/>
        <v>200000</v>
      </c>
      <c r="AZ20" s="16">
        <f t="shared" si="15"/>
        <v>1084000</v>
      </c>
      <c r="BA20" s="58">
        <v>140000</v>
      </c>
      <c r="BB20" s="58"/>
      <c r="BC20" s="15"/>
      <c r="BD20" s="57">
        <f t="shared" si="14"/>
        <v>944000</v>
      </c>
      <c r="BE20" s="82" t="s">
        <v>186</v>
      </c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0"/>
        <v>0</v>
      </c>
      <c r="D21" s="9">
        <v>50000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>
        <v>0</v>
      </c>
      <c r="R21" s="2">
        <v>0</v>
      </c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5"/>
        <v>0</v>
      </c>
      <c r="BA21" s="58"/>
      <c r="BB21" s="58"/>
      <c r="BC21" s="15"/>
      <c r="BD21" s="57">
        <f t="shared" si="14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0"/>
        <v>0</v>
      </c>
      <c r="D22" s="9">
        <v>125000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>
        <v>0</v>
      </c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5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>
        <v>250000</v>
      </c>
      <c r="C23" s="5">
        <f t="shared" si="0"/>
        <v>0</v>
      </c>
      <c r="D23" s="9">
        <v>260000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>
        <v>0</v>
      </c>
      <c r="R23" s="2"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5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0"/>
        <v>0</v>
      </c>
      <c r="D24" s="9">
        <v>240000</v>
      </c>
      <c r="E24" s="9">
        <v>0</v>
      </c>
      <c r="F24" s="9">
        <v>0</v>
      </c>
      <c r="G24" s="5">
        <f t="shared" si="7"/>
        <v>0</v>
      </c>
      <c r="H24" s="10" t="str">
        <f t="shared" si="1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5"/>
        <v>100000</v>
      </c>
      <c r="BA24" s="58"/>
      <c r="BB24" s="58"/>
      <c r="BC24" s="15"/>
      <c r="BD24" s="57">
        <f t="shared" si="14"/>
        <v>100000</v>
      </c>
      <c r="BE24" s="82" t="s">
        <v>186</v>
      </c>
      <c r="BF24" s="29">
        <f t="shared" si="6"/>
        <v>0</v>
      </c>
      <c r="BG24" s="29">
        <v>10</v>
      </c>
      <c r="BH24" s="15"/>
      <c r="BI24" s="15"/>
      <c r="BJ24" s="15"/>
      <c r="BK24" s="15">
        <v>100000</v>
      </c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0"/>
        <v>0</v>
      </c>
      <c r="D25" s="9">
        <v>375000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1500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5"/>
        <v>100000</v>
      </c>
      <c r="BA25" s="58">
        <v>100000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>
        <v>50000</v>
      </c>
      <c r="C26" s="5">
        <f t="shared" si="0"/>
        <v>0</v>
      </c>
      <c r="D26" s="9">
        <v>50000</v>
      </c>
      <c r="E26" s="9">
        <v>0</v>
      </c>
      <c r="F26" s="9"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v>0</v>
      </c>
      <c r="Q26" s="2">
        <v>0</v>
      </c>
      <c r="R26" s="2">
        <v>0</v>
      </c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5"/>
        <v>0</v>
      </c>
      <c r="BA26" s="58"/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>
        <v>0</v>
      </c>
      <c r="R27" s="2">
        <v>0</v>
      </c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5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0"/>
        <v>0</v>
      </c>
      <c r="D28" s="9">
        <v>125000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5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>
        <v>50000</v>
      </c>
      <c r="C29" s="5">
        <f t="shared" si="0"/>
        <v>0</v>
      </c>
      <c r="D29" s="9">
        <v>50000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>
        <v>0</v>
      </c>
      <c r="R29" s="2">
        <v>0</v>
      </c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51000</v>
      </c>
      <c r="AJ29" s="12"/>
      <c r="AK29" s="12"/>
      <c r="AL29" s="12">
        <v>1000</v>
      </c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0"/>
        <v>25000</v>
      </c>
      <c r="AT29" s="15"/>
      <c r="AV29" s="15"/>
      <c r="AW29" s="15">
        <f t="shared" si="11"/>
        <v>51000</v>
      </c>
      <c r="AX29" s="15">
        <f t="shared" si="12"/>
        <v>0</v>
      </c>
      <c r="AY29" s="15">
        <f t="shared" si="13"/>
        <v>0</v>
      </c>
      <c r="AZ29" s="16">
        <f t="shared" si="15"/>
        <v>51000</v>
      </c>
      <c r="BA29" s="58"/>
      <c r="BB29" s="58"/>
      <c r="BC29" s="15"/>
      <c r="BD29" s="57">
        <f t="shared" si="14"/>
        <v>51000</v>
      </c>
      <c r="BE29" s="82" t="s">
        <v>186</v>
      </c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0"/>
        <v>0</v>
      </c>
      <c r="D30" s="9">
        <v>250000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v>0</v>
      </c>
      <c r="Q30" s="2">
        <v>0</v>
      </c>
      <c r="R30" s="2"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>
        <v>35000</v>
      </c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1165000</v>
      </c>
      <c r="AZ30" s="16">
        <f t="shared" si="15"/>
        <v>1165000</v>
      </c>
      <c r="BA30" s="58"/>
      <c r="BB30" s="58"/>
      <c r="BC30" s="15"/>
      <c r="BD30" s="57">
        <f t="shared" si="14"/>
        <v>1165000</v>
      </c>
      <c r="BE30" s="82" t="s">
        <v>186</v>
      </c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0"/>
        <v>0</v>
      </c>
      <c r="D31" s="9">
        <v>150000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>
        <v>0</v>
      </c>
      <c r="R31" s="2"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5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0"/>
        <v>0</v>
      </c>
      <c r="D32" s="9">
        <v>125000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0</v>
      </c>
      <c r="R32" s="2">
        <v>0</v>
      </c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5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O32" t="s">
        <v>203</v>
      </c>
      <c r="BQ32" s="6">
        <v>100000</v>
      </c>
    </row>
    <row r="33" spans="1:69" ht="18.5" x14ac:dyDescent="0.45">
      <c r="A33" s="1" t="s">
        <v>194</v>
      </c>
      <c r="B33" s="1">
        <v>150000</v>
      </c>
      <c r="C33" s="5">
        <f t="shared" si="0"/>
        <v>0</v>
      </c>
      <c r="D33" s="9">
        <v>180000</v>
      </c>
      <c r="E33" s="9">
        <v>0</v>
      </c>
      <c r="F33" s="9">
        <v>0</v>
      </c>
      <c r="G33" s="5">
        <f t="shared" si="7"/>
        <v>0</v>
      </c>
      <c r="H33" s="10" t="str">
        <f t="shared" si="1"/>
        <v>BANQUE</v>
      </c>
      <c r="I33" s="10">
        <v>30000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9"/>
        <v>180000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0"/>
        <v>55000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5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100000</v>
      </c>
    </row>
    <row r="34" spans="1:69" ht="18.5" x14ac:dyDescent="0.45">
      <c r="A34" s="1" t="s">
        <v>157</v>
      </c>
      <c r="B34" s="1">
        <v>50000</v>
      </c>
      <c r="C34" s="5">
        <f t="shared" si="0"/>
        <v>0</v>
      </c>
      <c r="D34" s="9">
        <v>50000</v>
      </c>
      <c r="E34" s="9">
        <v>0</v>
      </c>
      <c r="F34" s="9"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5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200000</v>
      </c>
    </row>
    <row r="35" spans="1:69" ht="18.5" x14ac:dyDescent="0.45">
      <c r="A35" s="21" t="s">
        <v>160</v>
      </c>
      <c r="B35" s="1">
        <v>125000</v>
      </c>
      <c r="C35" s="5">
        <f t="shared" si="0"/>
        <v>0</v>
      </c>
      <c r="D35" s="9">
        <v>60000</v>
      </c>
      <c r="E35" s="9">
        <v>0</v>
      </c>
      <c r="F35" s="9"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>
        <v>0</v>
      </c>
      <c r="R35" s="2">
        <v>0</v>
      </c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5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0"/>
        <v>0</v>
      </c>
      <c r="D36" s="9">
        <v>50000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5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>
        <v>150000</v>
      </c>
      <c r="C37" s="5">
        <f t="shared" si="0"/>
        <v>0</v>
      </c>
      <c r="D37" s="9">
        <v>0</v>
      </c>
      <c r="E37" s="9">
        <v>153000</v>
      </c>
      <c r="F37" s="9">
        <v>0</v>
      </c>
      <c r="G37" s="5">
        <f t="shared" si="7"/>
        <v>3000</v>
      </c>
      <c r="H37" s="10" t="str">
        <f t="shared" si="1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2"/>
        <v>0</v>
      </c>
      <c r="N37" s="6">
        <v>1</v>
      </c>
      <c r="O37" s="11">
        <f t="shared" si="3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4"/>
        <v>0</v>
      </c>
      <c r="AR37" s="8">
        <f t="shared" si="5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5"/>
        <v>0</v>
      </c>
      <c r="BA37" s="58"/>
      <c r="BB37" s="58"/>
      <c r="BC37" s="15"/>
      <c r="BD37" s="57">
        <f t="shared" si="14"/>
        <v>0</v>
      </c>
      <c r="BE37" s="82"/>
      <c r="BF37" s="29">
        <f t="shared" si="6"/>
        <v>0</v>
      </c>
      <c r="BG37" s="29">
        <v>10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0"/>
        <v>0</v>
      </c>
      <c r="D38" s="9">
        <v>125000</v>
      </c>
      <c r="E38" s="9">
        <v>0</v>
      </c>
      <c r="F38" s="9"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5"/>
        <v>0</v>
      </c>
      <c r="BA38" s="58"/>
      <c r="BB38" s="58"/>
      <c r="BC38" s="15"/>
      <c r="BD38" s="57">
        <f t="shared" si="14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>SUM(C6:C39)</f>
        <v>6000</v>
      </c>
      <c r="D40" s="5">
        <f>SUM(D6:D39)</f>
        <v>4749000</v>
      </c>
      <c r="E40" s="5">
        <f>SUM(E6:E39)+251700</f>
        <v>534700</v>
      </c>
      <c r="F40" s="5">
        <f t="shared" ref="F40:S40" si="16">SUM(F6:F39)</f>
        <v>1000000</v>
      </c>
      <c r="G40" s="5">
        <f t="shared" si="16"/>
        <v>9000</v>
      </c>
      <c r="H40" s="5">
        <f t="shared" si="16"/>
        <v>0</v>
      </c>
      <c r="I40" s="5">
        <f t="shared" si="16"/>
        <v>112000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0</v>
      </c>
      <c r="Q40" s="5">
        <f t="shared" si="16"/>
        <v>204000</v>
      </c>
      <c r="R40" s="5">
        <f t="shared" si="16"/>
        <v>101000</v>
      </c>
      <c r="S40" s="5">
        <f t="shared" si="16"/>
        <v>1000000</v>
      </c>
      <c r="T40" s="5"/>
      <c r="U40" s="5">
        <f t="shared" ref="U40:AA40" si="17">SUM(U6:U39)</f>
        <v>6026000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33000</v>
      </c>
      <c r="AD40" s="5">
        <f>SUM(AD6:AD39)</f>
        <v>32000</v>
      </c>
      <c r="AE40" s="5">
        <f>SUM(AE6:AE39)</f>
        <v>75000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171000</v>
      </c>
      <c r="AJ40" s="5">
        <f t="shared" si="18"/>
        <v>0</v>
      </c>
      <c r="AK40" s="5">
        <f t="shared" si="18"/>
        <v>431000</v>
      </c>
      <c r="AL40" s="5">
        <f t="shared" si="18"/>
        <v>3000</v>
      </c>
      <c r="AM40" s="5">
        <f t="shared" si="18"/>
        <v>0</v>
      </c>
      <c r="AN40" s="5">
        <f t="shared" si="18"/>
        <v>4500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912000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738000</v>
      </c>
      <c r="AX40" s="5">
        <f t="shared" si="18"/>
        <v>1768000</v>
      </c>
      <c r="AY40" s="5">
        <f t="shared" si="18"/>
        <v>2756000</v>
      </c>
      <c r="AZ40" s="5">
        <f t="shared" si="18"/>
        <v>5469000</v>
      </c>
      <c r="BA40" s="5">
        <f t="shared" si="18"/>
        <v>534700</v>
      </c>
      <c r="BB40" s="5">
        <f t="shared" si="18"/>
        <v>0</v>
      </c>
      <c r="BC40" s="5">
        <f t="shared" si="18"/>
        <v>0</v>
      </c>
      <c r="BD40" s="5">
        <f t="shared" si="18"/>
        <v>4837300</v>
      </c>
      <c r="BE40" s="5">
        <f t="shared" si="18"/>
        <v>0</v>
      </c>
      <c r="BF40" s="5">
        <f t="shared" si="18"/>
        <v>26000</v>
      </c>
      <c r="BH40" s="5">
        <f t="shared" ref="BH40:BL40" si="19">SUM(BH6:BH39)</f>
        <v>27000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5"/>
      <c r="E44" s="85"/>
      <c r="F44" s="3" t="s">
        <v>9</v>
      </c>
      <c r="G44" s="85"/>
      <c r="H44" s="85"/>
      <c r="I44" s="85"/>
      <c r="Z44" s="12"/>
      <c r="AI44" s="5"/>
      <c r="AV44" s="3"/>
      <c r="AW44" s="85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5469000</v>
      </c>
      <c r="D47" s="9">
        <f>SUMIFS(D8:D40,H8:H40,"BANQUE")</f>
        <v>4518000</v>
      </c>
      <c r="F47" s="9">
        <f>E40</f>
        <v>534700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10751000</v>
      </c>
    </row>
  </sheetData>
  <autoFilter ref="A5:AF38" xr:uid="{00000000-0009-0000-0000-000005000000}"/>
  <mergeCells count="1">
    <mergeCell ref="B4:M4"/>
  </mergeCells>
  <dataValidations count="2">
    <dataValidation type="list" allowBlank="1" showInputMessage="1" showErrorMessage="1" sqref="T6:T38 AP6:AP38 AF6:AF38" xr:uid="{00000000-0002-0000-0500-000000000000}">
      <formula1>MODEVERSEMENTS</formula1>
    </dataValidation>
    <dataValidation type="list" allowBlank="1" showInputMessage="1" showErrorMessage="1" sqref="AA6:AA38" xr:uid="{00000000-0002-0000-0500-000001000000}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85"/>
  <sheetViews>
    <sheetView zoomScaleNormal="100" workbookViewId="0">
      <pane xSplit="4" ySplit="5" topLeftCell="N6" activePane="bottomRight" state="frozen"/>
      <selection pane="topRight" activeCell="E1" sqref="E1"/>
      <selection pane="bottomLeft" activeCell="A6" sqref="A6"/>
      <selection pane="bottomRight" activeCell="R12" sqref="R1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48000</v>
      </c>
      <c r="BA6" s="58"/>
      <c r="BB6" s="58"/>
      <c r="BC6" s="15"/>
      <c r="BD6" s="57">
        <f>IF(AZ6=0,(AZ6-BA6-BC6),(AZ6-BA6-BB6-BC6))</f>
        <v>48000</v>
      </c>
      <c r="BE6" s="82" t="s">
        <v>186</v>
      </c>
      <c r="BF6" s="29">
        <f t="shared" ref="BF6:BF38" si="5">Z6*1/100*BG6</f>
        <v>0</v>
      </c>
      <c r="BG6" s="29">
        <v>9</v>
      </c>
      <c r="BH6" s="15">
        <f>BQ16</f>
        <v>48000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14">
        <f t="shared" ref="C7:C38" si="6">D7+E7+F7-U7-BB7</f>
        <v>6000</v>
      </c>
      <c r="D7" s="9">
        <v>78000</v>
      </c>
      <c r="E7" s="9">
        <v>61000</v>
      </c>
      <c r="F7" s="9">
        <v>0</v>
      </c>
      <c r="G7" s="5">
        <f t="shared" ref="G7:G38" si="7">IF(H7="ESPECES",3000,0)</f>
        <v>0</v>
      </c>
      <c r="H7" s="10" t="str">
        <f t="shared" si="0"/>
        <v>BANQUE</v>
      </c>
      <c r="I7" s="10">
        <v>22000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61000</v>
      </c>
      <c r="Q7" s="2"/>
      <c r="R7" s="2"/>
      <c r="S7" s="20"/>
      <c r="T7" s="12"/>
      <c r="U7" s="17">
        <f t="shared" ref="U7:U38" si="9">G7+S7++R7+P7+O7+M7+I7+K7+Q7+V7+W7</f>
        <v>133000</v>
      </c>
      <c r="V7" s="12"/>
      <c r="W7" s="12"/>
      <c r="X7" s="12"/>
      <c r="Y7" s="12"/>
      <c r="Z7" s="12"/>
      <c r="AA7" s="12"/>
      <c r="AB7" s="12"/>
      <c r="AC7" s="12">
        <v>10000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47000</v>
      </c>
      <c r="AT7" s="15"/>
      <c r="AV7" s="15"/>
      <c r="AW7" s="15">
        <f t="shared" ref="AW7:AW38" si="11">IF(AC7=0,AI7,(1*25000*12)+AI7-AC7)</f>
        <v>290000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284000</v>
      </c>
      <c r="BA7" s="58"/>
      <c r="BB7" s="58"/>
      <c r="BC7" s="15"/>
      <c r="BD7" s="57">
        <f>IF(AZ7=0,(AZ7-BA7-BC7),(AZ7-BA7-BB7-BC7))+6000</f>
        <v>290000</v>
      </c>
      <c r="BE7" s="82" t="s">
        <v>186</v>
      </c>
      <c r="BF7" s="29">
        <f>Z7*1/100*BG7+6000</f>
        <v>6000</v>
      </c>
      <c r="BG7" s="29">
        <v>9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14">
        <f t="shared" si="6"/>
        <v>25000</v>
      </c>
      <c r="D8" s="9">
        <v>150000</v>
      </c>
      <c r="E8" s="9">
        <v>0</v>
      </c>
      <c r="F8" s="9"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SUM(AV8:AY8)-BF8+Z8-F8+BH8+BI8+BJ8+BK8+BL8+BM8+25000</f>
        <v>0</v>
      </c>
      <c r="BA8" s="58"/>
      <c r="BB8" s="58"/>
      <c r="BC8" s="15"/>
      <c r="BD8" s="57">
        <f>IF(AZ8=0,(AZ8-BA8-BC8),(AZ8-BA8-BB8-BC8))</f>
        <v>0</v>
      </c>
      <c r="BE8" s="82"/>
      <c r="BF8" s="29">
        <f>Z8*1/100*BG8+25000</f>
        <v>25000</v>
      </c>
      <c r="BG8" s="29">
        <v>9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>
        <v>250000</v>
      </c>
      <c r="C9" s="5">
        <f t="shared" si="6"/>
        <v>0</v>
      </c>
      <c r="D9" s="9">
        <v>250000</v>
      </c>
      <c r="E9" s="9">
        <v>0</v>
      </c>
      <c r="F9" s="9"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/>
      <c r="R9" s="2"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>
        <v>18000</v>
      </c>
      <c r="AD9" s="12"/>
      <c r="AE9" s="12"/>
      <c r="AF9" s="12" t="s">
        <v>8</v>
      </c>
      <c r="AG9" s="12"/>
      <c r="AH9" s="12"/>
      <c r="AI9" s="12"/>
      <c r="AJ9" s="12"/>
      <c r="AK9" s="12">
        <v>205500</v>
      </c>
      <c r="AL9" s="12"/>
      <c r="AM9" s="12"/>
      <c r="AN9" s="12">
        <v>2000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282000</v>
      </c>
      <c r="AX9" s="15">
        <f t="shared" si="12"/>
        <v>0</v>
      </c>
      <c r="AY9" s="15">
        <f t="shared" si="13"/>
        <v>205500</v>
      </c>
      <c r="AZ9" s="16">
        <f t="shared" si="14"/>
        <v>487500</v>
      </c>
      <c r="BA9" s="58">
        <v>282000</v>
      </c>
      <c r="BB9" s="58"/>
      <c r="BC9" s="15"/>
      <c r="BD9" s="57">
        <f t="shared" ref="BD9:BD38" si="15">IF(AZ9=0,(AZ9-BA9-BC9),(AZ9-BA9-BB9-BC9))</f>
        <v>205500</v>
      </c>
      <c r="BE9" s="82" t="s">
        <v>186</v>
      </c>
      <c r="BF9" s="29">
        <f t="shared" si="5"/>
        <v>0</v>
      </c>
      <c r="BG9" s="29">
        <v>9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6"/>
        <v>0</v>
      </c>
      <c r="D10" s="9">
        <v>180000</v>
      </c>
      <c r="E10" s="9">
        <v>0</v>
      </c>
      <c r="F10" s="9">
        <v>0</v>
      </c>
      <c r="G10" s="5">
        <f t="shared" si="7"/>
        <v>0</v>
      </c>
      <c r="H10" s="10" t="str">
        <f t="shared" si="0"/>
        <v>BANQUE</v>
      </c>
      <c r="I10" s="10">
        <v>-6000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61000</v>
      </c>
      <c r="Q10" s="2">
        <v>0</v>
      </c>
      <c r="R10" s="2"/>
      <c r="S10" s="20"/>
      <c r="T10" s="12"/>
      <c r="U10" s="17">
        <f t="shared" si="9"/>
        <v>180000</v>
      </c>
      <c r="V10" s="12"/>
      <c r="W10" s="12"/>
      <c r="X10" s="12"/>
      <c r="Y10" s="12"/>
      <c r="Z10" s="12"/>
      <c r="AA10" s="12"/>
      <c r="AB10" s="12"/>
      <c r="AC10" s="12"/>
      <c r="AD10" s="12">
        <v>28000</v>
      </c>
      <c r="AE10" s="12"/>
      <c r="AF10" s="12" t="s">
        <v>8</v>
      </c>
      <c r="AG10" s="12"/>
      <c r="AH10" s="12"/>
      <c r="AI10" s="12">
        <v>39000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19000</v>
      </c>
      <c r="AT10" s="15"/>
      <c r="AV10" s="15"/>
      <c r="AW10" s="15">
        <f t="shared" si="11"/>
        <v>39000</v>
      </c>
      <c r="AX10" s="15">
        <f t="shared" si="12"/>
        <v>872000</v>
      </c>
      <c r="AY10" s="15">
        <f t="shared" si="13"/>
        <v>0</v>
      </c>
      <c r="AZ10" s="16">
        <f t="shared" si="14"/>
        <v>911000</v>
      </c>
      <c r="BA10" s="58">
        <v>39000</v>
      </c>
      <c r="BB10" s="58"/>
      <c r="BC10" s="15"/>
      <c r="BD10" s="57">
        <f t="shared" si="15"/>
        <v>872000</v>
      </c>
      <c r="BE10" s="82" t="s">
        <v>186</v>
      </c>
      <c r="BF10" s="29">
        <f t="shared" si="5"/>
        <v>0</v>
      </c>
      <c r="BG10" s="29">
        <v>9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6"/>
        <v>0</v>
      </c>
      <c r="D11" s="9">
        <v>125000</v>
      </c>
      <c r="E11" s="9">
        <v>0</v>
      </c>
      <c r="F11" s="9"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40000</v>
      </c>
      <c r="AJ11" s="12">
        <v>100000</v>
      </c>
      <c r="AK11" s="12"/>
      <c r="AL11" s="12">
        <v>1000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40000</v>
      </c>
      <c r="AX11" s="15">
        <f t="shared" si="12"/>
        <v>100000</v>
      </c>
      <c r="AY11" s="15">
        <f t="shared" si="13"/>
        <v>0</v>
      </c>
      <c r="AZ11" s="16">
        <f t="shared" si="14"/>
        <v>140000</v>
      </c>
      <c r="BA11" s="58">
        <v>100000</v>
      </c>
      <c r="BB11" s="58"/>
      <c r="BC11" s="15"/>
      <c r="BD11" s="57">
        <f t="shared" si="15"/>
        <v>40000</v>
      </c>
      <c r="BE11" s="82" t="s">
        <v>186</v>
      </c>
      <c r="BF11" s="29">
        <f t="shared" si="5"/>
        <v>0</v>
      </c>
      <c r="BG11" s="29">
        <v>9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>
        <v>30000</v>
      </c>
    </row>
    <row r="12" spans="1:69" ht="18.5" x14ac:dyDescent="0.45">
      <c r="A12" s="1" t="s">
        <v>16</v>
      </c>
      <c r="B12" s="1">
        <v>250000</v>
      </c>
      <c r="C12" s="5">
        <f t="shared" si="6"/>
        <v>0</v>
      </c>
      <c r="D12" s="9">
        <v>462000</v>
      </c>
      <c r="E12" s="9">
        <v>0</v>
      </c>
      <c r="F12" s="9"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132000</v>
      </c>
      <c r="S12" s="20"/>
      <c r="T12" s="12"/>
      <c r="U12" s="17">
        <f t="shared" si="9"/>
        <v>462000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9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6"/>
        <v>0</v>
      </c>
      <c r="D13" s="9">
        <v>50000</v>
      </c>
      <c r="E13" s="9">
        <v>0</v>
      </c>
      <c r="F13" s="9"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9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18000</v>
      </c>
    </row>
    <row r="14" spans="1:69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9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6"/>
        <v>0</v>
      </c>
      <c r="D15" s="9">
        <v>125000</v>
      </c>
      <c r="E15" s="9">
        <v>0</v>
      </c>
      <c r="F15" s="9"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9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6"/>
        <v>0</v>
      </c>
      <c r="D16" s="9">
        <v>260000</v>
      </c>
      <c r="E16" s="9">
        <v>0</v>
      </c>
      <c r="F16" s="9"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9</v>
      </c>
      <c r="BH16" s="15"/>
      <c r="BI16" s="15"/>
      <c r="BJ16" s="15"/>
      <c r="BK16" s="15"/>
      <c r="BL16" s="61"/>
      <c r="BO16" s="62" t="s">
        <v>142</v>
      </c>
      <c r="BQ16" s="62">
        <f>SUM(BQ6:BQ15)</f>
        <v>48000</v>
      </c>
    </row>
    <row r="17" spans="1:69" ht="18.5" x14ac:dyDescent="0.45">
      <c r="A17" s="1" t="s">
        <v>22</v>
      </c>
      <c r="B17" s="1">
        <v>150000</v>
      </c>
      <c r="C17" s="5">
        <f t="shared" si="6"/>
        <v>0</v>
      </c>
      <c r="D17" s="9">
        <v>150000</v>
      </c>
      <c r="E17" s="9">
        <v>0</v>
      </c>
      <c r="F17" s="9">
        <v>500000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/>
      <c r="R17" s="2">
        <v>0</v>
      </c>
      <c r="S17" s="20">
        <v>500000</v>
      </c>
      <c r="T17" s="12" t="s">
        <v>8</v>
      </c>
      <c r="U17" s="17">
        <f t="shared" si="9"/>
        <v>650000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>
        <v>70000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1130000</v>
      </c>
      <c r="AZ17" s="16">
        <f t="shared" si="14"/>
        <v>630000</v>
      </c>
      <c r="BA17" s="58"/>
      <c r="BB17" s="58"/>
      <c r="BC17" s="15"/>
      <c r="BD17" s="57">
        <f t="shared" si="15"/>
        <v>630000</v>
      </c>
      <c r="BE17" s="82" t="s">
        <v>186</v>
      </c>
      <c r="BF17" s="29">
        <f t="shared" si="5"/>
        <v>0</v>
      </c>
      <c r="BG17" s="29">
        <v>9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6"/>
        <v>0</v>
      </c>
      <c r="D18" s="9">
        <v>160000</v>
      </c>
      <c r="E18" s="9">
        <v>0</v>
      </c>
      <c r="F18" s="9"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/>
      <c r="R18" s="2"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 t="s">
        <v>186</v>
      </c>
      <c r="BF18" s="29">
        <f t="shared" si="5"/>
        <v>0</v>
      </c>
      <c r="BG18" s="29">
        <v>9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>
        <v>50000</v>
      </c>
      <c r="C19" s="5">
        <f t="shared" si="6"/>
        <v>0</v>
      </c>
      <c r="D19" s="9">
        <v>50000</v>
      </c>
      <c r="E19" s="9">
        <v>0</v>
      </c>
      <c r="F19" s="9"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9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6"/>
        <v>0</v>
      </c>
      <c r="D20" s="9">
        <v>427000</v>
      </c>
      <c r="E20" s="9">
        <v>0</v>
      </c>
      <c r="F20" s="9"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0</v>
      </c>
      <c r="Q20" s="2">
        <v>0</v>
      </c>
      <c r="R20" s="2">
        <v>202000</v>
      </c>
      <c r="S20" s="20"/>
      <c r="T20" s="12"/>
      <c r="U20" s="17">
        <f t="shared" si="9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89000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89000</v>
      </c>
      <c r="AY20" s="15">
        <f t="shared" si="13"/>
        <v>200000</v>
      </c>
      <c r="AZ20" s="16">
        <f t="shared" si="14"/>
        <v>289000</v>
      </c>
      <c r="BA20" s="58">
        <f>89000+56500</f>
        <v>145500</v>
      </c>
      <c r="BB20" s="58"/>
      <c r="BC20" s="15"/>
      <c r="BD20" s="57">
        <f t="shared" si="15"/>
        <v>143500</v>
      </c>
      <c r="BE20" s="82" t="s">
        <v>186</v>
      </c>
      <c r="BF20" s="29">
        <f t="shared" si="5"/>
        <v>0</v>
      </c>
      <c r="BG20" s="29">
        <v>9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6"/>
        <v>0</v>
      </c>
      <c r="D21" s="9">
        <v>50000</v>
      </c>
      <c r="E21" s="9">
        <v>0</v>
      </c>
      <c r="F21" s="9"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9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6"/>
        <v>0</v>
      </c>
      <c r="D22" s="9">
        <v>125000</v>
      </c>
      <c r="E22" s="9">
        <v>0</v>
      </c>
      <c r="F22" s="9"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>
        <v>17000</v>
      </c>
      <c r="AD22" s="12"/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283000</v>
      </c>
      <c r="AX22" s="15">
        <f t="shared" si="12"/>
        <v>0</v>
      </c>
      <c r="AY22" s="15">
        <f t="shared" si="13"/>
        <v>0</v>
      </c>
      <c r="AZ22" s="16">
        <f t="shared" si="14"/>
        <v>283000</v>
      </c>
      <c r="BA22" s="58"/>
      <c r="BB22" s="58"/>
      <c r="BC22" s="15"/>
      <c r="BD22" s="57">
        <f t="shared" si="15"/>
        <v>283000</v>
      </c>
      <c r="BE22" s="82" t="s">
        <v>186</v>
      </c>
      <c r="BF22" s="29">
        <f t="shared" si="5"/>
        <v>0</v>
      </c>
      <c r="BG22" s="29">
        <v>9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>
        <v>250000</v>
      </c>
      <c r="C23" s="5">
        <f t="shared" si="6"/>
        <v>0</v>
      </c>
      <c r="D23" s="9">
        <v>260000</v>
      </c>
      <c r="E23" s="9">
        <v>0</v>
      </c>
      <c r="F23" s="9"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/>
      <c r="R23" s="2"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200000</v>
      </c>
      <c r="AZ23" s="16">
        <f t="shared" si="14"/>
        <v>200000</v>
      </c>
      <c r="BA23" s="58"/>
      <c r="BB23" s="58"/>
      <c r="BC23" s="15"/>
      <c r="BD23" s="57">
        <f>IF(AZ23=0,(AZ23-BA23-BC23),(AZ23-BA23-BB23-BC23))-30000</f>
        <v>170000</v>
      </c>
      <c r="BE23" s="82" t="s">
        <v>186</v>
      </c>
      <c r="BF23" s="29">
        <f t="shared" si="5"/>
        <v>0</v>
      </c>
      <c r="BG23" s="29">
        <v>9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6"/>
        <v>0</v>
      </c>
      <c r="D24" s="9">
        <v>240000</v>
      </c>
      <c r="E24" s="9">
        <v>0</v>
      </c>
      <c r="F24" s="9">
        <v>0</v>
      </c>
      <c r="G24" s="5">
        <f t="shared" si="7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100000</v>
      </c>
      <c r="AL24" s="12"/>
      <c r="AM24" s="12"/>
      <c r="AN24" s="12">
        <v>1000</v>
      </c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100000</v>
      </c>
      <c r="AZ24" s="16">
        <f>SUM(AV24:AY24)-BF24+Z24-F24+BH24+BI24+BJ24+BK24+BL24+BM24-100000</f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9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6"/>
        <v>0</v>
      </c>
      <c r="D25" s="9">
        <v>375000</v>
      </c>
      <c r="E25" s="9">
        <v>104500</v>
      </c>
      <c r="F25" s="9">
        <v>0</v>
      </c>
      <c r="G25" s="5">
        <f>IF(H25="ESPECES",3000,0)+3000</f>
        <v>3000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0</v>
      </c>
      <c r="R25" s="2">
        <v>101500</v>
      </c>
      <c r="S25" s="20"/>
      <c r="T25" s="12"/>
      <c r="U25" s="17">
        <f t="shared" si="9"/>
        <v>479500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/>
      <c r="BD25" s="57">
        <f t="shared" si="15"/>
        <v>200000</v>
      </c>
      <c r="BE25" s="82" t="s">
        <v>186</v>
      </c>
      <c r="BF25" s="29">
        <f t="shared" si="5"/>
        <v>0</v>
      </c>
      <c r="BG25" s="29">
        <v>9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>
        <v>50000</v>
      </c>
      <c r="C26" s="5">
        <f t="shared" si="6"/>
        <v>0</v>
      </c>
      <c r="D26" s="9">
        <v>50000</v>
      </c>
      <c r="E26" s="9">
        <v>0</v>
      </c>
      <c r="F26" s="9"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>SUM(AV26:AY26)-BF26+Z26-F26+BH26+BI26+BJ26+BK26+BL26+BM26+30000</f>
        <v>0</v>
      </c>
      <c r="BA26" s="58"/>
      <c r="BB26" s="58"/>
      <c r="BC26" s="15"/>
      <c r="BD26" s="57">
        <f>IF(AZ26=0,(AZ26-BA26-BC26),(AZ26-BA26-BB26-BC26))</f>
        <v>0</v>
      </c>
      <c r="BE26" s="82"/>
      <c r="BF26" s="29">
        <f>Z26*1/100*BG26+30000</f>
        <v>30000</v>
      </c>
      <c r="BG26" s="29">
        <v>9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6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>
        <v>50000</v>
      </c>
      <c r="AA27" s="12" t="s">
        <v>8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48500</v>
      </c>
      <c r="BA27" s="58"/>
      <c r="BB27" s="58"/>
      <c r="BC27" s="15"/>
      <c r="BD27" s="57">
        <f t="shared" si="15"/>
        <v>48500</v>
      </c>
      <c r="BE27" s="82" t="s">
        <v>186</v>
      </c>
      <c r="BF27" s="29">
        <f t="shared" si="5"/>
        <v>1500</v>
      </c>
      <c r="BG27" s="29">
        <v>3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6"/>
        <v>0</v>
      </c>
      <c r="D28" s="9">
        <v>125000</v>
      </c>
      <c r="E28" s="9">
        <v>0</v>
      </c>
      <c r="F28" s="9"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9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>
        <v>50000</v>
      </c>
      <c r="C29" s="5">
        <f t="shared" si="6"/>
        <v>0</v>
      </c>
      <c r="D29" s="9">
        <v>102000</v>
      </c>
      <c r="E29" s="9">
        <v>0</v>
      </c>
      <c r="F29" s="9"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52000</v>
      </c>
      <c r="Q29" s="2"/>
      <c r="R29" s="2"/>
      <c r="S29" s="20"/>
      <c r="T29" s="12"/>
      <c r="U29" s="17">
        <f t="shared" si="9"/>
        <v>102000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40000</v>
      </c>
      <c r="AJ29" s="12"/>
      <c r="AK29" s="12"/>
      <c r="AL29" s="12">
        <v>2500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40000</v>
      </c>
      <c r="AX29" s="15">
        <f t="shared" si="12"/>
        <v>0</v>
      </c>
      <c r="AY29" s="15">
        <f t="shared" si="13"/>
        <v>0</v>
      </c>
      <c r="AZ29" s="16">
        <f t="shared" si="14"/>
        <v>40000</v>
      </c>
      <c r="BA29" s="58">
        <v>40000</v>
      </c>
      <c r="BB29" s="58"/>
      <c r="BC29" s="15"/>
      <c r="BD29" s="57">
        <f t="shared" si="15"/>
        <v>0</v>
      </c>
      <c r="BE29" s="82">
        <v>2889015</v>
      </c>
      <c r="BF29" s="29">
        <f t="shared" si="5"/>
        <v>0</v>
      </c>
      <c r="BG29" s="29">
        <v>9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6"/>
        <v>0</v>
      </c>
      <c r="D30" s="9">
        <v>250000</v>
      </c>
      <c r="E30" s="9">
        <v>0</v>
      </c>
      <c r="F30" s="9"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/>
      <c r="R30" s="2"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9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6"/>
        <v>0</v>
      </c>
      <c r="D31" s="9">
        <v>400000</v>
      </c>
      <c r="E31" s="9">
        <v>0</v>
      </c>
      <c r="F31" s="9"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/>
      <c r="R31" s="2">
        <v>0</v>
      </c>
      <c r="S31" s="20">
        <v>250000</v>
      </c>
      <c r="T31" s="12"/>
      <c r="U31" s="17">
        <f t="shared" si="9"/>
        <v>400000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>SUM(AV31:AY31)-BF31+Z31-F31+BH31+BI31+BJ31+BK31+BL31+BM31+30000</f>
        <v>1000000</v>
      </c>
      <c r="BA31" s="58"/>
      <c r="BB31" s="58"/>
      <c r="BC31" s="15"/>
      <c r="BD31" s="57">
        <f>IF(AZ31=0,(AZ31-BA31-BC31),(AZ31-BA31-BB31-BC31))-30000</f>
        <v>970000</v>
      </c>
      <c r="BE31" s="82" t="s">
        <v>186</v>
      </c>
      <c r="BF31" s="29">
        <f>Z31*1/100*BG31</f>
        <v>30000</v>
      </c>
      <c r="BG31" s="29">
        <v>3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6"/>
        <v>0</v>
      </c>
      <c r="D32" s="9">
        <v>125000</v>
      </c>
      <c r="E32" s="9">
        <v>0</v>
      </c>
      <c r="F32" s="9"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9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5">
        <f t="shared" si="6"/>
        <v>0</v>
      </c>
      <c r="D33" s="9">
        <v>200000</v>
      </c>
      <c r="E33" s="9">
        <v>0</v>
      </c>
      <c r="F33" s="9">
        <v>0</v>
      </c>
      <c r="G33" s="5">
        <f t="shared" si="7"/>
        <v>0</v>
      </c>
      <c r="H33" s="10" t="str">
        <f t="shared" si="0"/>
        <v>BANQUE</v>
      </c>
      <c r="I33" s="10">
        <v>50000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/>
      <c r="R33" s="2">
        <v>0</v>
      </c>
      <c r="S33" s="20"/>
      <c r="T33" s="12"/>
      <c r="U33" s="17">
        <f t="shared" si="9"/>
        <v>200000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75000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9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si="6"/>
        <v>0</v>
      </c>
      <c r="D34" s="9">
        <v>50000</v>
      </c>
      <c r="E34" s="9">
        <v>0</v>
      </c>
      <c r="F34" s="9"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9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6"/>
        <v>0</v>
      </c>
      <c r="D35" s="9">
        <v>60000</v>
      </c>
      <c r="E35" s="9">
        <v>0</v>
      </c>
      <c r="F35" s="9"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9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6"/>
        <v>0</v>
      </c>
      <c r="D36" s="9">
        <v>50000</v>
      </c>
      <c r="E36" s="9">
        <v>0</v>
      </c>
      <c r="F36" s="9"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9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>
        <v>150000</v>
      </c>
      <c r="C37" s="5">
        <f t="shared" si="6"/>
        <v>0</v>
      </c>
      <c r="D37" s="9">
        <v>0</v>
      </c>
      <c r="E37" s="9">
        <v>153000</v>
      </c>
      <c r="F37" s="9"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/>
      <c r="R37" s="2"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9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100000</v>
      </c>
      <c r="BA38" s="58"/>
      <c r="BB38" s="58"/>
      <c r="BC38" s="15"/>
      <c r="BD38" s="57">
        <f t="shared" si="15"/>
        <v>100000</v>
      </c>
      <c r="BE38" s="82" t="s">
        <v>186</v>
      </c>
      <c r="BF38" s="29">
        <f t="shared" si="5"/>
        <v>0</v>
      </c>
      <c r="BG38" s="29">
        <v>9</v>
      </c>
      <c r="BH38" s="15"/>
      <c r="BI38" s="15"/>
      <c r="BJ38" s="15"/>
      <c r="BK38" s="15">
        <v>100000</v>
      </c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31000</v>
      </c>
      <c r="D40" s="5">
        <f t="shared" si="16"/>
        <v>5329000</v>
      </c>
      <c r="E40" s="5">
        <f t="shared" si="16"/>
        <v>318500</v>
      </c>
      <c r="F40" s="5">
        <f t="shared" si="16"/>
        <v>500000</v>
      </c>
      <c r="G40" s="5">
        <f t="shared" si="16"/>
        <v>6000</v>
      </c>
      <c r="H40" s="5">
        <f t="shared" si="16"/>
        <v>0</v>
      </c>
      <c r="I40" s="5">
        <f t="shared" si="16"/>
        <v>151000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174000</v>
      </c>
      <c r="Q40" s="5">
        <f t="shared" si="16"/>
        <v>0</v>
      </c>
      <c r="R40" s="5">
        <f t="shared" si="16"/>
        <v>435500</v>
      </c>
      <c r="S40" s="5">
        <f t="shared" si="16"/>
        <v>750000</v>
      </c>
      <c r="T40" s="5"/>
      <c r="U40" s="5">
        <f t="shared" ref="U40:AA40" si="17">SUM(U6:U39)</f>
        <v>6116500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1050000</v>
      </c>
      <c r="AA40" s="5">
        <f t="shared" si="17"/>
        <v>0</v>
      </c>
      <c r="AB40" s="5"/>
      <c r="AC40" s="5">
        <f>SUM(AC6:AC39)</f>
        <v>45000</v>
      </c>
      <c r="AD40" s="5">
        <f>SUM(AD6:AD39)</f>
        <v>28000</v>
      </c>
      <c r="AE40" s="5">
        <f>SUM(AE6:AE39)</f>
        <v>70000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119000</v>
      </c>
      <c r="AJ40" s="5">
        <f t="shared" si="18"/>
        <v>189000</v>
      </c>
      <c r="AK40" s="5">
        <f t="shared" si="18"/>
        <v>1105500</v>
      </c>
      <c r="AL40" s="5">
        <f t="shared" si="18"/>
        <v>4500</v>
      </c>
      <c r="AM40" s="5">
        <f t="shared" si="18"/>
        <v>5000</v>
      </c>
      <c r="AN40" s="5">
        <f t="shared" si="18"/>
        <v>11000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951000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974000</v>
      </c>
      <c r="AX40" s="5">
        <f t="shared" si="18"/>
        <v>1061000</v>
      </c>
      <c r="AY40" s="5">
        <f t="shared" si="18"/>
        <v>2235500</v>
      </c>
      <c r="AZ40" s="5">
        <f t="shared" si="18"/>
        <v>4861000</v>
      </c>
      <c r="BA40" s="5">
        <f t="shared" si="18"/>
        <v>606500</v>
      </c>
      <c r="BB40" s="5">
        <f t="shared" si="18"/>
        <v>0</v>
      </c>
      <c r="BC40" s="5">
        <f t="shared" si="18"/>
        <v>0</v>
      </c>
      <c r="BD40" s="5">
        <f t="shared" si="18"/>
        <v>4200500</v>
      </c>
      <c r="BE40" s="5">
        <f t="shared" si="18"/>
        <v>2889015</v>
      </c>
      <c r="BF40" s="5">
        <f t="shared" si="18"/>
        <v>92500</v>
      </c>
      <c r="BH40" s="5">
        <f t="shared" ref="BH40:BL40" si="19">SUM(BH6:BH39)</f>
        <v>48000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6"/>
      <c r="E44" s="86"/>
      <c r="F44" s="3" t="s">
        <v>9</v>
      </c>
      <c r="G44" s="86"/>
      <c r="H44" s="86"/>
      <c r="I44" s="86"/>
      <c r="Z44" s="12"/>
      <c r="AI44" s="5"/>
      <c r="AV44" s="3"/>
      <c r="AW44" s="86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4861000</v>
      </c>
      <c r="D47" s="9">
        <f>SUMIFS(D8:D40,H8:H40,"BANQUE")</f>
        <v>5076000</v>
      </c>
      <c r="F47" s="9">
        <f>E40</f>
        <v>318500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9390000</v>
      </c>
    </row>
  </sheetData>
  <autoFilter ref="A5:AF38" xr:uid="{00000000-0009-0000-0000-000006000000}"/>
  <mergeCells count="1">
    <mergeCell ref="B4:M4"/>
  </mergeCells>
  <dataValidations count="1">
    <dataValidation type="list" allowBlank="1" showInputMessage="1" showErrorMessage="1" sqref="T6:T38 AP6:AP38 AF6:AF38 AA6:AA38" xr:uid="{00000000-0002-0000-06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85"/>
  <sheetViews>
    <sheetView zoomScaleNormal="100" workbookViewId="0">
      <pane xSplit="4" ySplit="5" topLeftCell="N6" activePane="bottomRight" state="frozen"/>
      <selection pane="topRight" activeCell="E1" sqref="E1"/>
      <selection pane="bottomLeft" activeCell="A6" sqref="A6"/>
      <selection pane="bottomRight" activeCell="Q11" sqref="Q11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221000</v>
      </c>
      <c r="BA6" s="58"/>
      <c r="BB6" s="58"/>
      <c r="BC6" s="15"/>
      <c r="BD6" s="57">
        <f>IF(AZ6=0,(AZ6-BA6-BC6),(AZ6-BA6-BB6-BC6))</f>
        <v>221000</v>
      </c>
      <c r="BE6" s="82" t="s">
        <v>186</v>
      </c>
      <c r="BF6" s="29">
        <f t="shared" ref="BF6:BF38" si="5">Z6*1/100*BG6</f>
        <v>0</v>
      </c>
      <c r="BG6" s="29">
        <v>8</v>
      </c>
      <c r="BH6" s="15">
        <f>BQ16</f>
        <v>21000</v>
      </c>
      <c r="BI6" s="15">
        <f>BQ28</f>
        <v>100000</v>
      </c>
      <c r="BJ6" s="15">
        <f>BQ33</f>
        <v>0</v>
      </c>
      <c r="BK6" s="15">
        <f>+BQ40</f>
        <v>100000</v>
      </c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5">
        <f t="shared" ref="C7:C38" si="6">D7+E7+F7-U7-BB7</f>
        <v>0</v>
      </c>
      <c r="D7" s="9">
        <v>0</v>
      </c>
      <c r="E7" s="9">
        <v>50000</v>
      </c>
      <c r="F7" s="9"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22000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8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5">
        <f t="shared" si="6"/>
        <v>0</v>
      </c>
      <c r="D8" s="9">
        <v>125000</v>
      </c>
      <c r="E8" s="9">
        <v>0</v>
      </c>
      <c r="F8" s="9"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8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15000</v>
      </c>
    </row>
    <row r="9" spans="1:69" ht="18.5" x14ac:dyDescent="0.45">
      <c r="A9" s="1" t="s">
        <v>13</v>
      </c>
      <c r="B9" s="1">
        <v>250000</v>
      </c>
      <c r="C9" s="5">
        <f t="shared" si="6"/>
        <v>0</v>
      </c>
      <c r="D9" s="9">
        <v>455000</v>
      </c>
      <c r="E9" s="9">
        <v>0</v>
      </c>
      <c r="F9" s="9">
        <v>0</v>
      </c>
      <c r="G9" s="5">
        <f t="shared" si="7"/>
        <v>0</v>
      </c>
      <c r="H9" s="10" t="str">
        <f t="shared" si="0"/>
        <v>BANQUE</v>
      </c>
      <c r="I9" s="10">
        <v>-2500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/>
      <c r="R9" s="2">
        <v>207500</v>
      </c>
      <c r="S9" s="20"/>
      <c r="T9" s="12"/>
      <c r="U9" s="17">
        <f t="shared" si="9"/>
        <v>455000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22500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8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6"/>
        <v>0</v>
      </c>
      <c r="D10" s="9">
        <v>165000</v>
      </c>
      <c r="E10" s="9">
        <v>0</v>
      </c>
      <c r="F10" s="9"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40000</v>
      </c>
      <c r="Q10" s="2">
        <v>0</v>
      </c>
      <c r="R10" s="2"/>
      <c r="S10" s="20"/>
      <c r="T10" s="12"/>
      <c r="U10" s="17">
        <f t="shared" si="9"/>
        <v>165000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101500</v>
      </c>
      <c r="AK10" s="12"/>
      <c r="AL10" s="12"/>
      <c r="AM10" s="12">
        <v>2500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101500</v>
      </c>
      <c r="AY10" s="15">
        <f t="shared" si="13"/>
        <v>0</v>
      </c>
      <c r="AZ10" s="16">
        <f t="shared" si="14"/>
        <v>101500</v>
      </c>
      <c r="BA10" s="58">
        <v>100000</v>
      </c>
      <c r="BB10" s="58"/>
      <c r="BC10" s="15"/>
      <c r="BD10" s="57">
        <f t="shared" si="15"/>
        <v>1500</v>
      </c>
      <c r="BE10" s="82" t="s">
        <v>186</v>
      </c>
      <c r="BF10" s="29">
        <f t="shared" si="5"/>
        <v>0</v>
      </c>
      <c r="BG10" s="29">
        <v>8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14">
        <f t="shared" si="6"/>
        <v>-41000</v>
      </c>
      <c r="D11" s="9">
        <v>238000</v>
      </c>
      <c r="E11" s="9">
        <v>0</v>
      </c>
      <c r="F11" s="9">
        <v>0</v>
      </c>
      <c r="G11" s="5">
        <f t="shared" si="7"/>
        <v>0</v>
      </c>
      <c r="H11" s="10" t="str">
        <f t="shared" si="0"/>
        <v>BANQUE</v>
      </c>
      <c r="I11" s="10">
        <v>10000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41000</v>
      </c>
      <c r="Q11" s="2">
        <v>103000</v>
      </c>
      <c r="R11" s="2"/>
      <c r="S11" s="20"/>
      <c r="T11" s="12"/>
      <c r="U11" s="17">
        <f t="shared" si="9"/>
        <v>279000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41000</v>
      </c>
      <c r="AJ11" s="12">
        <v>200000</v>
      </c>
      <c r="AK11" s="12"/>
      <c r="AL11" s="12">
        <v>2000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35000</v>
      </c>
      <c r="AT11" s="15"/>
      <c r="AV11" s="15"/>
      <c r="AW11" s="15">
        <f t="shared" si="11"/>
        <v>41000</v>
      </c>
      <c r="AX11" s="15">
        <f t="shared" si="12"/>
        <v>200000</v>
      </c>
      <c r="AY11" s="15">
        <f t="shared" si="13"/>
        <v>0</v>
      </c>
      <c r="AZ11" s="16">
        <f>SUM(AV11:AY11)-BF11+Z11-F11+BH11+BI11+BJ11+BK11+BL11+BM11-41000</f>
        <v>200000</v>
      </c>
      <c r="BA11" s="58">
        <v>200000</v>
      </c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6"/>
        <v>0</v>
      </c>
      <c r="D12" s="9">
        <v>330000</v>
      </c>
      <c r="E12" s="9">
        <v>0</v>
      </c>
      <c r="F12" s="9"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8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6"/>
        <v>0</v>
      </c>
      <c r="D13" s="9">
        <v>50000</v>
      </c>
      <c r="E13" s="9">
        <v>0</v>
      </c>
      <c r="F13" s="9"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8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8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6"/>
        <v>0</v>
      </c>
      <c r="D15" s="9">
        <v>125000</v>
      </c>
      <c r="E15" s="9">
        <v>0</v>
      </c>
      <c r="F15" s="9"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>
        <v>10000</v>
      </c>
      <c r="AD15" s="12"/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290000</v>
      </c>
      <c r="AX15" s="15">
        <f t="shared" si="12"/>
        <v>0</v>
      </c>
      <c r="AY15" s="15">
        <f t="shared" si="13"/>
        <v>0</v>
      </c>
      <c r="AZ15" s="16">
        <f t="shared" si="14"/>
        <v>290000</v>
      </c>
      <c r="BA15" s="58"/>
      <c r="BB15" s="58"/>
      <c r="BC15" s="15"/>
      <c r="BD15" s="57">
        <f t="shared" si="15"/>
        <v>290000</v>
      </c>
      <c r="BE15" s="82" t="s">
        <v>186</v>
      </c>
      <c r="BF15" s="29">
        <f t="shared" si="5"/>
        <v>0</v>
      </c>
      <c r="BG15" s="29">
        <v>8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6"/>
        <v>0</v>
      </c>
      <c r="D16" s="9">
        <v>260000</v>
      </c>
      <c r="E16" s="9">
        <v>0</v>
      </c>
      <c r="F16" s="9"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>
        <v>15000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1185000</v>
      </c>
      <c r="AZ16" s="16">
        <f t="shared" si="14"/>
        <v>1185000</v>
      </c>
      <c r="BA16" s="58"/>
      <c r="BB16" s="58"/>
      <c r="BC16" s="15"/>
      <c r="BD16" s="57">
        <f t="shared" si="15"/>
        <v>1185000</v>
      </c>
      <c r="BE16" s="82" t="s">
        <v>186</v>
      </c>
      <c r="BF16" s="29">
        <f t="shared" si="5"/>
        <v>0</v>
      </c>
      <c r="BG16" s="29">
        <v>8</v>
      </c>
      <c r="BH16" s="15"/>
      <c r="BI16" s="15"/>
      <c r="BJ16" s="15"/>
      <c r="BK16" s="15"/>
      <c r="BL16" s="61"/>
      <c r="BO16" s="62" t="s">
        <v>142</v>
      </c>
      <c r="BQ16" s="62">
        <f>SUM(BQ6:BQ15)</f>
        <v>21000</v>
      </c>
    </row>
    <row r="17" spans="1:69" ht="18.5" x14ac:dyDescent="0.45">
      <c r="A17" s="1" t="s">
        <v>22</v>
      </c>
      <c r="B17" s="1">
        <v>150000</v>
      </c>
      <c r="C17" s="5">
        <f t="shared" si="6"/>
        <v>0</v>
      </c>
      <c r="D17" s="9">
        <v>150000</v>
      </c>
      <c r="E17" s="9">
        <v>0</v>
      </c>
      <c r="F17" s="9"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/>
      <c r="R17" s="2"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8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6"/>
        <v>0</v>
      </c>
      <c r="D18" s="9">
        <v>362000</v>
      </c>
      <c r="E18" s="9">
        <v>0</v>
      </c>
      <c r="F18" s="9"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/>
      <c r="R18" s="2"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f>2500+2500</f>
        <v>5000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 t="s">
        <v>186</v>
      </c>
      <c r="BF18" s="29">
        <f t="shared" si="5"/>
        <v>0</v>
      </c>
      <c r="BG18" s="29">
        <v>8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>
        <v>50000</v>
      </c>
      <c r="C19" s="5">
        <f t="shared" si="6"/>
        <v>0</v>
      </c>
      <c r="D19" s="9">
        <v>50000</v>
      </c>
      <c r="E19" s="9">
        <v>0</v>
      </c>
      <c r="F19" s="9"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8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6"/>
        <v>0</v>
      </c>
      <c r="D20" s="9">
        <v>517000</v>
      </c>
      <c r="E20" s="9">
        <v>0</v>
      </c>
      <c r="F20" s="9">
        <v>0</v>
      </c>
      <c r="G20" s="5">
        <f t="shared" si="7"/>
        <v>0</v>
      </c>
      <c r="H20" s="10" t="str">
        <f t="shared" si="0"/>
        <v>BANQUE</v>
      </c>
      <c r="I20" s="10">
        <v>-1000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0</v>
      </c>
      <c r="Q20" s="2">
        <v>91000</v>
      </c>
      <c r="R20" s="2">
        <v>202000</v>
      </c>
      <c r="S20" s="20"/>
      <c r="T20" s="12"/>
      <c r="U20" s="17">
        <f t="shared" si="9"/>
        <v>517000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70500</v>
      </c>
      <c r="AL20" s="12"/>
      <c r="AM20" s="12">
        <v>1500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24000</v>
      </c>
      <c r="AT20" s="15"/>
      <c r="AV20" s="15"/>
      <c r="AW20" s="15">
        <f t="shared" si="11"/>
        <v>0</v>
      </c>
      <c r="AX20" s="15">
        <f t="shared" si="12"/>
        <v>100000</v>
      </c>
      <c r="AY20" s="15">
        <f t="shared" si="13"/>
        <v>70500</v>
      </c>
      <c r="AZ20" s="16">
        <f t="shared" si="14"/>
        <v>170500</v>
      </c>
      <c r="BA20" s="58">
        <v>80000</v>
      </c>
      <c r="BB20" s="58"/>
      <c r="BC20" s="15"/>
      <c r="BD20" s="57">
        <f t="shared" si="15"/>
        <v>90500</v>
      </c>
      <c r="BE20" s="82" t="s">
        <v>186</v>
      </c>
      <c r="BF20" s="29">
        <f t="shared" si="5"/>
        <v>0</v>
      </c>
      <c r="BG20" s="29">
        <v>8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6"/>
        <v>0</v>
      </c>
      <c r="D21" s="9">
        <v>50000</v>
      </c>
      <c r="E21" s="9">
        <v>0</v>
      </c>
      <c r="F21" s="9"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8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6"/>
        <v>0</v>
      </c>
      <c r="D22" s="9">
        <v>125000</v>
      </c>
      <c r="E22" s="9">
        <v>0</v>
      </c>
      <c r="F22" s="9"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8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>
        <v>250000</v>
      </c>
      <c r="C23" s="5">
        <f t="shared" si="6"/>
        <v>0</v>
      </c>
      <c r="D23" s="9">
        <v>462000</v>
      </c>
      <c r="E23" s="9">
        <v>0</v>
      </c>
      <c r="F23" s="9"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/>
      <c r="R23" s="2"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8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6"/>
        <v>-101000</v>
      </c>
      <c r="D24" s="9">
        <v>0</v>
      </c>
      <c r="E24" s="9">
        <v>250000</v>
      </c>
      <c r="F24" s="9">
        <v>0</v>
      </c>
      <c r="G24" s="5">
        <f t="shared" si="7"/>
        <v>3000</v>
      </c>
      <c r="H24" s="10" t="str">
        <f t="shared" si="0"/>
        <v>ESPECES</v>
      </c>
      <c r="I24" s="10">
        <v>22000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101000</v>
      </c>
      <c r="S24" s="20"/>
      <c r="T24" s="12"/>
      <c r="U24" s="17">
        <f t="shared" si="9"/>
        <v>351000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101500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47000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101500</v>
      </c>
      <c r="AZ24" s="16">
        <f t="shared" si="14"/>
        <v>101500</v>
      </c>
      <c r="BA24" s="58"/>
      <c r="BB24" s="58"/>
      <c r="BC24" s="15"/>
      <c r="BD24" s="57">
        <f>IF(AZ24=0,(AZ24-BA24-BC24),(AZ24-BA24-BB24-BC24))-101500</f>
        <v>0</v>
      </c>
      <c r="BE24" s="82"/>
      <c r="BF24" s="29">
        <f t="shared" si="5"/>
        <v>0</v>
      </c>
      <c r="BG24" s="29">
        <v>8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6"/>
        <v>0</v>
      </c>
      <c r="D25" s="9">
        <v>575000</v>
      </c>
      <c r="E25" s="9">
        <v>0</v>
      </c>
      <c r="F25" s="9">
        <v>0</v>
      </c>
      <c r="G25" s="5">
        <f t="shared" si="7"/>
        <v>0</v>
      </c>
      <c r="H25" s="10" t="str">
        <f t="shared" si="0"/>
        <v>BANQUE</v>
      </c>
      <c r="I25" s="10">
        <v>-2000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0</v>
      </c>
      <c r="R25" s="2">
        <v>202000</v>
      </c>
      <c r="S25" s="20"/>
      <c r="T25" s="12"/>
      <c r="U25" s="17">
        <f t="shared" si="9"/>
        <v>575000</v>
      </c>
      <c r="V25" s="12"/>
      <c r="W25" s="12"/>
      <c r="X25" s="12"/>
      <c r="Y25" s="12"/>
      <c r="Z25" s="12"/>
      <c r="AA25" s="12"/>
      <c r="AB25" s="12"/>
      <c r="AC25" s="12">
        <v>11000</v>
      </c>
      <c r="AD25" s="12"/>
      <c r="AE25" s="12"/>
      <c r="AF25" s="12" t="s">
        <v>8</v>
      </c>
      <c r="AG25" s="12"/>
      <c r="AH25" s="12"/>
      <c r="AI25" s="12"/>
      <c r="AJ25" s="12"/>
      <c r="AK25" s="12">
        <v>200000</v>
      </c>
      <c r="AL25" s="12"/>
      <c r="AM25" s="12"/>
      <c r="AN25" s="12">
        <f>3000+2500</f>
        <v>5500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23000</v>
      </c>
      <c r="AT25" s="15"/>
      <c r="AV25" s="15"/>
      <c r="AW25" s="15">
        <f t="shared" si="11"/>
        <v>289000</v>
      </c>
      <c r="AX25" s="15">
        <f t="shared" si="12"/>
        <v>0</v>
      </c>
      <c r="AY25" s="15">
        <f t="shared" si="13"/>
        <v>200000</v>
      </c>
      <c r="AZ25" s="16">
        <f t="shared" si="14"/>
        <v>489000</v>
      </c>
      <c r="BA25" s="58"/>
      <c r="BB25" s="58"/>
      <c r="BC25" s="15"/>
      <c r="BD25" s="57">
        <f t="shared" si="15"/>
        <v>489000</v>
      </c>
      <c r="BE25" s="82" t="s">
        <v>186</v>
      </c>
      <c r="BF25" s="29">
        <f t="shared" si="5"/>
        <v>0</v>
      </c>
      <c r="BG25" s="29">
        <v>8</v>
      </c>
      <c r="BH25" s="15"/>
      <c r="BI25" s="15"/>
      <c r="BJ25" s="15"/>
      <c r="BK25" s="15"/>
      <c r="BL25" s="61"/>
      <c r="BO25" t="s">
        <v>207</v>
      </c>
      <c r="BP25" t="s">
        <v>143</v>
      </c>
      <c r="BQ25" s="6">
        <v>100000</v>
      </c>
    </row>
    <row r="26" spans="1:69" ht="18.5" x14ac:dyDescent="0.45">
      <c r="A26" s="1" t="s">
        <v>31</v>
      </c>
      <c r="B26" s="1">
        <v>50000</v>
      </c>
      <c r="C26" s="5">
        <f t="shared" si="6"/>
        <v>0</v>
      </c>
      <c r="D26" s="9">
        <v>50000</v>
      </c>
      <c r="E26" s="9">
        <v>0</v>
      </c>
      <c r="F26" s="9"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8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6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8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6"/>
        <v>0</v>
      </c>
      <c r="D28" s="9">
        <v>125000</v>
      </c>
      <c r="E28" s="9">
        <v>0</v>
      </c>
      <c r="F28" s="9"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8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100000</v>
      </c>
    </row>
    <row r="29" spans="1:69" ht="18.5" x14ac:dyDescent="0.45">
      <c r="A29" s="1" t="s">
        <v>159</v>
      </c>
      <c r="B29" s="1">
        <v>50000</v>
      </c>
      <c r="C29" s="5">
        <f t="shared" si="6"/>
        <v>0</v>
      </c>
      <c r="D29" s="9">
        <v>92500</v>
      </c>
      <c r="E29" s="9">
        <v>0</v>
      </c>
      <c r="F29" s="9"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42500</v>
      </c>
      <c r="Q29" s="2"/>
      <c r="R29" s="2"/>
      <c r="S29" s="20"/>
      <c r="T29" s="12"/>
      <c r="U29" s="17">
        <f t="shared" si="9"/>
        <v>92500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8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6"/>
        <v>0</v>
      </c>
      <c r="D30" s="9">
        <v>250000</v>
      </c>
      <c r="E30" s="9">
        <v>0</v>
      </c>
      <c r="F30" s="9"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/>
      <c r="R30" s="2"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8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6"/>
        <v>0</v>
      </c>
      <c r="D31" s="9">
        <v>150000</v>
      </c>
      <c r="E31" s="9">
        <v>0</v>
      </c>
      <c r="F31" s="9"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/>
      <c r="R31" s="2"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40000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1160000</v>
      </c>
      <c r="AZ31" s="16">
        <f t="shared" si="14"/>
        <v>1160000</v>
      </c>
      <c r="BA31" s="58"/>
      <c r="BB31" s="58"/>
      <c r="BC31" s="15"/>
      <c r="BD31" s="57">
        <f t="shared" si="15"/>
        <v>1160000</v>
      </c>
      <c r="BE31" s="82" t="s">
        <v>186</v>
      </c>
      <c r="BF31" s="29">
        <f t="shared" si="5"/>
        <v>0</v>
      </c>
      <c r="BG31" s="29">
        <v>8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6"/>
        <v>0</v>
      </c>
      <c r="D32" s="9">
        <v>125000</v>
      </c>
      <c r="E32" s="9">
        <v>0</v>
      </c>
      <c r="F32" s="9"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>
        <v>10500</v>
      </c>
      <c r="AD32" s="12">
        <v>7500</v>
      </c>
      <c r="AE32" s="12"/>
      <c r="AF32" s="12" t="s">
        <v>8</v>
      </c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289500</v>
      </c>
      <c r="AX32" s="15">
        <f t="shared" si="12"/>
        <v>992500</v>
      </c>
      <c r="AY32" s="15">
        <f t="shared" si="13"/>
        <v>0</v>
      </c>
      <c r="AZ32" s="16">
        <f t="shared" si="14"/>
        <v>1282000</v>
      </c>
      <c r="BA32" s="58">
        <v>20000</v>
      </c>
      <c r="BB32" s="58"/>
      <c r="BC32" s="15"/>
      <c r="BD32" s="57">
        <f t="shared" si="15"/>
        <v>1262000</v>
      </c>
      <c r="BE32" s="82" t="s">
        <v>186</v>
      </c>
      <c r="BF32" s="29">
        <f t="shared" si="5"/>
        <v>0</v>
      </c>
      <c r="BG32" s="29">
        <v>8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5">
        <f t="shared" si="6"/>
        <v>0</v>
      </c>
      <c r="D33" s="9">
        <v>230000</v>
      </c>
      <c r="E33" s="9">
        <v>0</v>
      </c>
      <c r="F33" s="9">
        <v>0</v>
      </c>
      <c r="G33" s="5">
        <f t="shared" si="7"/>
        <v>0</v>
      </c>
      <c r="H33" s="10" t="str">
        <f t="shared" si="0"/>
        <v>BANQUE</v>
      </c>
      <c r="I33" s="10">
        <v>80000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/>
      <c r="R33" s="2">
        <v>0</v>
      </c>
      <c r="S33" s="20"/>
      <c r="T33" s="12"/>
      <c r="U33" s="17">
        <f t="shared" si="9"/>
        <v>230000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105000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8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si="6"/>
        <v>0</v>
      </c>
      <c r="D34" s="9">
        <v>0</v>
      </c>
      <c r="E34" s="9">
        <v>50000</v>
      </c>
      <c r="F34" s="9">
        <v>0</v>
      </c>
      <c r="G34" s="5">
        <f t="shared" si="7"/>
        <v>3000</v>
      </c>
      <c r="H34" s="10" t="str">
        <f t="shared" si="0"/>
        <v>ESPECES</v>
      </c>
      <c r="I34" s="10">
        <v>-3000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22000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8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6"/>
        <v>0</v>
      </c>
      <c r="D35" s="9">
        <v>60000</v>
      </c>
      <c r="E35" s="9">
        <v>0</v>
      </c>
      <c r="F35" s="9"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8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6"/>
        <v>0</v>
      </c>
      <c r="D36" s="9">
        <v>0</v>
      </c>
      <c r="E36" s="9">
        <v>53000</v>
      </c>
      <c r="F36" s="9"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8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>
        <v>150000</v>
      </c>
      <c r="C37" s="5">
        <f t="shared" si="6"/>
        <v>0</v>
      </c>
      <c r="D37" s="9">
        <v>150000</v>
      </c>
      <c r="E37" s="9">
        <v>0</v>
      </c>
      <c r="F37" s="9"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/>
      <c r="R37" s="2"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8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8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-142000</v>
      </c>
      <c r="D40" s="5">
        <f t="shared" si="16"/>
        <v>5671500</v>
      </c>
      <c r="E40" s="5">
        <f t="shared" si="16"/>
        <v>403000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170500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123500</v>
      </c>
      <c r="Q40" s="5">
        <f t="shared" si="16"/>
        <v>194000</v>
      </c>
      <c r="R40" s="5">
        <f t="shared" si="16"/>
        <v>1116500</v>
      </c>
      <c r="S40" s="5">
        <f t="shared" si="16"/>
        <v>0</v>
      </c>
      <c r="T40" s="5"/>
      <c r="U40" s="5">
        <f t="shared" ref="U40:AA40" si="17">SUM(U6:U39)</f>
        <v>6216500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31500</v>
      </c>
      <c r="AD40" s="5">
        <f>SUM(AD6:AD39)</f>
        <v>7500</v>
      </c>
      <c r="AE40" s="5">
        <f>SUM(AE6:AE39)</f>
        <v>55000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41000</v>
      </c>
      <c r="AJ40" s="5">
        <f t="shared" si="18"/>
        <v>501500</v>
      </c>
      <c r="AK40" s="5">
        <f t="shared" si="18"/>
        <v>572000</v>
      </c>
      <c r="AL40" s="5">
        <f t="shared" si="18"/>
        <v>2000</v>
      </c>
      <c r="AM40" s="5">
        <f t="shared" si="18"/>
        <v>8000</v>
      </c>
      <c r="AN40" s="5">
        <f t="shared" si="18"/>
        <v>13500</v>
      </c>
      <c r="AO40" s="5">
        <f t="shared" si="18"/>
        <v>0</v>
      </c>
      <c r="AP40" s="5"/>
      <c r="AQ40" s="5">
        <f t="shared" si="18"/>
        <v>0</v>
      </c>
      <c r="AR40" s="5">
        <f t="shared" si="18"/>
        <v>0</v>
      </c>
      <c r="AS40" s="5">
        <f t="shared" si="18"/>
        <v>970500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909500</v>
      </c>
      <c r="AX40" s="5">
        <f t="shared" si="18"/>
        <v>1394000</v>
      </c>
      <c r="AY40" s="5">
        <f t="shared" si="18"/>
        <v>2917000</v>
      </c>
      <c r="AZ40" s="5">
        <f t="shared" si="18"/>
        <v>5400500</v>
      </c>
      <c r="BA40" s="5">
        <f t="shared" si="18"/>
        <v>400000</v>
      </c>
      <c r="BB40" s="5">
        <f t="shared" si="18"/>
        <v>0</v>
      </c>
      <c r="BC40" s="5">
        <f t="shared" si="18"/>
        <v>0</v>
      </c>
      <c r="BD40" s="5">
        <f t="shared" si="18"/>
        <v>4899000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21000</v>
      </c>
      <c r="BI40" s="5">
        <f t="shared" si="19"/>
        <v>100000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5400500</v>
      </c>
      <c r="D47" s="9">
        <f>SUMIFS(D8:D40,H8:H40,"BANQUE")</f>
        <v>5496500</v>
      </c>
      <c r="F47" s="9">
        <f>E40</f>
        <v>403000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10580000</v>
      </c>
    </row>
  </sheetData>
  <autoFilter ref="A5:AF38" xr:uid="{00000000-0009-0000-0000-000007000000}"/>
  <mergeCells count="1">
    <mergeCell ref="B4:M4"/>
  </mergeCells>
  <dataValidations count="1">
    <dataValidation type="list" allowBlank="1" showInputMessage="1" showErrorMessage="1" sqref="T6:T38 AP6:AP38 AF6:AF38 AA6:AA38" xr:uid="{00000000-0002-0000-07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85"/>
  <sheetViews>
    <sheetView zoomScale="93" zoomScaleNormal="93" workbookViewId="0">
      <pane xSplit="4" ySplit="5" topLeftCell="BN9" activePane="bottomRight" state="frozen"/>
      <selection pane="topRight" activeCell="E1" sqref="E1"/>
      <selection pane="bottomLeft" activeCell="A6" sqref="A6"/>
      <selection pane="bottomRight" activeCell="BQ13" sqref="BQ1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3.0898437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119000</v>
      </c>
      <c r="BA6" s="58">
        <v>19000</v>
      </c>
      <c r="BB6" s="58"/>
      <c r="BC6" s="15"/>
      <c r="BD6" s="57">
        <f>IF(AZ6=0,(AZ6-BA6-BC6),(AZ6-BA6-BB6-BC6))</f>
        <v>100000</v>
      </c>
      <c r="BE6" s="82"/>
      <c r="BF6" s="29">
        <f t="shared" ref="BF6:BF38" si="5">Z6*1/100*BG6</f>
        <v>0</v>
      </c>
      <c r="BG6" s="29">
        <v>7</v>
      </c>
      <c r="BH6" s="15">
        <f>BQ16</f>
        <v>19000</v>
      </c>
      <c r="BI6" s="15">
        <f>BQ28</f>
        <v>0</v>
      </c>
      <c r="BJ6" s="15">
        <f>BQ33</f>
        <v>0</v>
      </c>
      <c r="BK6" s="15">
        <v>100000</v>
      </c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5">
        <f t="shared" ref="C7:C38" si="6">D7+E7+F7-U7-BB7</f>
        <v>0</v>
      </c>
      <c r="D7" s="9">
        <v>50000</v>
      </c>
      <c r="E7" s="9">
        <v>0</v>
      </c>
      <c r="F7" s="9">
        <v>0</v>
      </c>
      <c r="G7" s="5">
        <f t="shared" ref="G7:G38" si="7">IF(H7="ESPECES",3000,0)</f>
        <v>0</v>
      </c>
      <c r="H7" s="10" t="str">
        <f t="shared" si="0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5">
        <f t="shared" si="6"/>
        <v>0</v>
      </c>
      <c r="D8" s="9">
        <v>125000</v>
      </c>
      <c r="E8" s="9">
        <v>0</v>
      </c>
      <c r="F8" s="9"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13000</v>
      </c>
    </row>
    <row r="9" spans="1:69" ht="18.5" x14ac:dyDescent="0.45">
      <c r="A9" s="1" t="s">
        <v>13</v>
      </c>
      <c r="B9" s="1">
        <v>250000</v>
      </c>
      <c r="C9" s="5">
        <f t="shared" si="6"/>
        <v>0</v>
      </c>
      <c r="D9" s="9">
        <v>250000</v>
      </c>
      <c r="E9" s="9">
        <v>0</v>
      </c>
      <c r="F9" s="9"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/>
      <c r="R9" s="2"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6"/>
        <v>0</v>
      </c>
      <c r="D10" s="9">
        <v>227000</v>
      </c>
      <c r="E10" s="9">
        <v>0</v>
      </c>
      <c r="F10" s="9">
        <v>0</v>
      </c>
      <c r="G10" s="5">
        <f t="shared" si="7"/>
        <v>0</v>
      </c>
      <c r="H10" s="10" t="str">
        <f t="shared" si="0"/>
        <v>BANQUE</v>
      </c>
      <c r="I10" s="10">
        <v>-2000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0</v>
      </c>
      <c r="Q10" s="2">
        <v>104000</v>
      </c>
      <c r="R10" s="2"/>
      <c r="S10" s="20"/>
      <c r="T10" s="12"/>
      <c r="U10" s="17">
        <f t="shared" si="9"/>
        <v>227000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23000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6"/>
        <v>0</v>
      </c>
      <c r="D11" s="9">
        <v>376000</v>
      </c>
      <c r="E11" s="9">
        <v>0</v>
      </c>
      <c r="F11" s="9">
        <v>0</v>
      </c>
      <c r="G11" s="5">
        <f t="shared" si="7"/>
        <v>0</v>
      </c>
      <c r="H11" s="10" t="str">
        <f t="shared" si="0"/>
        <v>BANQUE</v>
      </c>
      <c r="I11" s="10">
        <v>5000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43000</v>
      </c>
      <c r="Q11" s="2">
        <v>203000</v>
      </c>
      <c r="R11" s="2"/>
      <c r="S11" s="20"/>
      <c r="T11" s="12"/>
      <c r="U11" s="17">
        <f t="shared" si="9"/>
        <v>376000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150000</v>
      </c>
      <c r="AK11" s="12"/>
      <c r="AL11" s="12"/>
      <c r="AM11" s="12">
        <v>2000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30000</v>
      </c>
      <c r="AT11" s="15"/>
      <c r="AV11" s="15"/>
      <c r="AW11" s="15">
        <f t="shared" si="11"/>
        <v>0</v>
      </c>
      <c r="AX11" s="15">
        <f t="shared" si="12"/>
        <v>150000</v>
      </c>
      <c r="AY11" s="15">
        <f t="shared" si="13"/>
        <v>0</v>
      </c>
      <c r="AZ11" s="16">
        <f t="shared" si="14"/>
        <v>150000</v>
      </c>
      <c r="BA11" s="58">
        <v>100000</v>
      </c>
      <c r="BB11" s="58"/>
      <c r="BC11" s="15"/>
      <c r="BD11" s="57">
        <f>IF(AZ11=0,(AZ11-BA11-BC11),(AZ11-BA11-BB11-BC11))-50000</f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6"/>
        <v>0</v>
      </c>
      <c r="D12" s="9">
        <v>825000</v>
      </c>
      <c r="E12" s="9">
        <v>5000</v>
      </c>
      <c r="F12" s="9"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0</v>
      </c>
      <c r="S12" s="20">
        <v>500000</v>
      </c>
      <c r="T12" s="12" t="s">
        <v>8</v>
      </c>
      <c r="U12" s="17">
        <f t="shared" si="9"/>
        <v>830000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>
        <v>100000</v>
      </c>
      <c r="AK12" s="12"/>
      <c r="AL12" s="12"/>
      <c r="AM12" s="12">
        <v>1000</v>
      </c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100000</v>
      </c>
      <c r="AY12" s="15">
        <f t="shared" si="13"/>
        <v>1190000</v>
      </c>
      <c r="AZ12" s="16">
        <f>SUM(AV12:AY12)-BF12+Z12-F12+BH12+BI12+BJ12+BK12+BL12+BM12-100000</f>
        <v>1190000</v>
      </c>
      <c r="BA12" s="58"/>
      <c r="BB12" s="58"/>
      <c r="BC12" s="15"/>
      <c r="BD12" s="57">
        <f t="shared" si="15"/>
        <v>1190000</v>
      </c>
      <c r="BE12" s="82" t="s">
        <v>186</v>
      </c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6"/>
        <v>0</v>
      </c>
      <c r="D13" s="9">
        <v>50000</v>
      </c>
      <c r="E13" s="9">
        <v>0</v>
      </c>
      <c r="F13" s="9"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6"/>
        <v>0</v>
      </c>
      <c r="D15" s="9">
        <v>125000</v>
      </c>
      <c r="E15" s="9">
        <v>0</v>
      </c>
      <c r="F15" s="9"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>
        <v>1000000</v>
      </c>
      <c r="AA15" s="12" t="s">
        <v>206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930000</v>
      </c>
      <c r="BA15" s="58"/>
      <c r="BB15" s="58"/>
      <c r="BC15" s="15"/>
      <c r="BD15" s="57">
        <f t="shared" si="15"/>
        <v>930000</v>
      </c>
      <c r="BE15" s="82" t="s">
        <v>186</v>
      </c>
      <c r="BF15" s="29">
        <f t="shared" si="5"/>
        <v>70000</v>
      </c>
      <c r="BG15" s="29">
        <v>7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6"/>
        <v>0</v>
      </c>
      <c r="D16" s="9">
        <v>260000</v>
      </c>
      <c r="E16" s="9">
        <v>0</v>
      </c>
      <c r="F16" s="9"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O16" s="62" t="s">
        <v>142</v>
      </c>
      <c r="BQ16" s="62">
        <f>SUM(BQ6:BQ15)</f>
        <v>19000</v>
      </c>
    </row>
    <row r="17" spans="1:69" ht="18.5" x14ac:dyDescent="0.45">
      <c r="A17" s="1" t="s">
        <v>22</v>
      </c>
      <c r="B17" s="1">
        <v>150000</v>
      </c>
      <c r="C17" s="5">
        <f t="shared" si="6"/>
        <v>0</v>
      </c>
      <c r="D17" s="9">
        <v>150000</v>
      </c>
      <c r="E17" s="9">
        <v>0</v>
      </c>
      <c r="F17" s="9"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/>
      <c r="R17" s="2"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>
        <v>50000</v>
      </c>
      <c r="AJ17" s="12"/>
      <c r="AK17" s="12"/>
      <c r="AL17" s="12">
        <v>500</v>
      </c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50000</v>
      </c>
      <c r="AX17" s="15">
        <f t="shared" si="12"/>
        <v>0</v>
      </c>
      <c r="AY17" s="15">
        <f t="shared" si="13"/>
        <v>0</v>
      </c>
      <c r="AZ17" s="16">
        <f t="shared" si="14"/>
        <v>50000</v>
      </c>
      <c r="BA17" s="58">
        <v>50000</v>
      </c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6"/>
        <v>0</v>
      </c>
      <c r="D18" s="9">
        <v>365000</v>
      </c>
      <c r="E18" s="9">
        <v>1003000</v>
      </c>
      <c r="F18" s="9">
        <v>0</v>
      </c>
      <c r="G18" s="5">
        <f>IF(H18="ESPECES",3000,0)+3000</f>
        <v>3000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/>
      <c r="R18" s="2">
        <v>205000</v>
      </c>
      <c r="S18" s="20">
        <v>1000000</v>
      </c>
      <c r="T18" s="12" t="s">
        <v>8</v>
      </c>
      <c r="U18" s="17">
        <f t="shared" si="9"/>
        <v>1368000</v>
      </c>
      <c r="V18" s="12"/>
      <c r="W18" s="12"/>
      <c r="X18" s="12"/>
      <c r="Y18" s="12"/>
      <c r="Z18" s="12">
        <v>350000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336000</v>
      </c>
      <c r="BA18" s="58">
        <v>336000</v>
      </c>
      <c r="BB18" s="58"/>
      <c r="BC18" s="15"/>
      <c r="BD18" s="57">
        <f t="shared" si="15"/>
        <v>0</v>
      </c>
      <c r="BE18" s="82"/>
      <c r="BF18" s="29">
        <f t="shared" si="5"/>
        <v>14000</v>
      </c>
      <c r="BG18" s="29">
        <v>4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>
        <v>50000</v>
      </c>
      <c r="C19" s="5">
        <f t="shared" si="6"/>
        <v>0</v>
      </c>
      <c r="D19" s="9">
        <v>50000</v>
      </c>
      <c r="E19" s="9">
        <v>0</v>
      </c>
      <c r="F19" s="9"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6"/>
        <v>-500</v>
      </c>
      <c r="D20" s="9">
        <v>296000</v>
      </c>
      <c r="E20" s="9">
        <v>101000</v>
      </c>
      <c r="F20" s="9">
        <v>0</v>
      </c>
      <c r="G20" s="5">
        <f t="shared" si="7"/>
        <v>0</v>
      </c>
      <c r="H20" s="10" t="str">
        <f t="shared" si="0"/>
        <v>BANQUE</v>
      </c>
      <c r="I20" s="10">
        <v>-500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0</v>
      </c>
      <c r="Q20" s="2">
        <v>101500</v>
      </c>
      <c r="R20" s="2">
        <v>71500</v>
      </c>
      <c r="S20" s="20"/>
      <c r="T20" s="12"/>
      <c r="U20" s="17">
        <f t="shared" si="9"/>
        <v>397500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200000</v>
      </c>
      <c r="AK20" s="12"/>
      <c r="AL20" s="12"/>
      <c r="AM20" s="12">
        <v>2000</v>
      </c>
      <c r="AN20" s="12"/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24500</v>
      </c>
      <c r="AT20" s="15"/>
      <c r="AV20" s="15"/>
      <c r="AW20" s="15">
        <f t="shared" si="11"/>
        <v>0</v>
      </c>
      <c r="AX20" s="15">
        <f t="shared" si="12"/>
        <v>200000</v>
      </c>
      <c r="AY20" s="15">
        <f t="shared" si="13"/>
        <v>0</v>
      </c>
      <c r="AZ20" s="16">
        <f t="shared" si="14"/>
        <v>200000</v>
      </c>
      <c r="BA20" s="58">
        <v>200000</v>
      </c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6"/>
        <v>0</v>
      </c>
      <c r="D21" s="9">
        <v>50000</v>
      </c>
      <c r="E21" s="9">
        <v>0</v>
      </c>
      <c r="F21" s="9"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>
        <v>3000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297000</v>
      </c>
      <c r="AX21" s="15">
        <f t="shared" si="12"/>
        <v>0</v>
      </c>
      <c r="AY21" s="15">
        <f t="shared" si="13"/>
        <v>0</v>
      </c>
      <c r="AZ21" s="16">
        <f t="shared" si="14"/>
        <v>297000</v>
      </c>
      <c r="BA21" s="58">
        <v>297000</v>
      </c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6"/>
        <v>0</v>
      </c>
      <c r="D22" s="9">
        <v>125000</v>
      </c>
      <c r="E22" s="9">
        <v>0</v>
      </c>
      <c r="F22" s="9"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>
        <v>250000</v>
      </c>
      <c r="C23" s="5">
        <f t="shared" si="6"/>
        <v>0</v>
      </c>
      <c r="D23" s="9">
        <v>270000</v>
      </c>
      <c r="E23" s="9">
        <v>0</v>
      </c>
      <c r="F23" s="9">
        <v>0</v>
      </c>
      <c r="G23" s="5">
        <f t="shared" si="7"/>
        <v>0</v>
      </c>
      <c r="H23" s="10" t="str">
        <f t="shared" si="0"/>
        <v>BANQUE</v>
      </c>
      <c r="I23" s="10">
        <v>20000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/>
      <c r="R23" s="2">
        <v>0</v>
      </c>
      <c r="S23" s="20"/>
      <c r="T23" s="12"/>
      <c r="U23" s="17">
        <f t="shared" si="9"/>
        <v>270000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45000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 t="s">
        <v>186</v>
      </c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6"/>
        <v>-500</v>
      </c>
      <c r="D24" s="9">
        <v>250000</v>
      </c>
      <c r="E24" s="9">
        <v>0</v>
      </c>
      <c r="F24" s="9">
        <v>0</v>
      </c>
      <c r="G24" s="5">
        <f t="shared" si="7"/>
        <v>0</v>
      </c>
      <c r="H24" s="10" t="str">
        <f t="shared" si="0"/>
        <v>BANQUE</v>
      </c>
      <c r="I24" s="10">
        <v>25000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500</v>
      </c>
      <c r="S24" s="20"/>
      <c r="T24" s="12"/>
      <c r="U24" s="17">
        <f t="shared" si="9"/>
        <v>250500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103000</v>
      </c>
      <c r="AL24" s="12"/>
      <c r="AM24" s="12"/>
      <c r="AN24" s="12">
        <v>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50000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103000</v>
      </c>
      <c r="AZ24" s="16">
        <f t="shared" si="14"/>
        <v>103000</v>
      </c>
      <c r="BA24" s="58"/>
      <c r="BB24" s="58"/>
      <c r="BC24" s="15"/>
      <c r="BD24" s="57">
        <f>IF(AZ24=0,(AZ24-BA24-BC24),(AZ24-BA24-BB24-BC24))-103000</f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6"/>
        <v>0</v>
      </c>
      <c r="D25" s="9">
        <v>580000</v>
      </c>
      <c r="E25" s="9">
        <v>0</v>
      </c>
      <c r="F25" s="9">
        <v>0</v>
      </c>
      <c r="G25" s="5">
        <f t="shared" si="7"/>
        <v>0</v>
      </c>
      <c r="H25" s="10" t="str">
        <f t="shared" si="0"/>
        <v>BANQUE</v>
      </c>
      <c r="I25" s="10">
        <v>-500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0</v>
      </c>
      <c r="R25" s="2">
        <v>205500</v>
      </c>
      <c r="S25" s="20"/>
      <c r="T25" s="12"/>
      <c r="U25" s="17">
        <f t="shared" si="9"/>
        <v>580000</v>
      </c>
      <c r="V25" s="12"/>
      <c r="W25" s="12"/>
      <c r="X25" s="12"/>
      <c r="Y25" s="12"/>
      <c r="Z25" s="12"/>
      <c r="AA25" s="12"/>
      <c r="AB25" s="12"/>
      <c r="AC25" s="12"/>
      <c r="AD25" s="12">
        <v>25000</v>
      </c>
      <c r="AE25" s="12"/>
      <c r="AF25" s="12" t="s">
        <v>8</v>
      </c>
      <c r="AG25" s="12"/>
      <c r="AH25" s="12"/>
      <c r="AI25" s="12"/>
      <c r="AJ25" s="12">
        <v>34000</v>
      </c>
      <c r="AK25" s="12"/>
      <c r="AL25" s="12"/>
      <c r="AM25" s="12">
        <v>500</v>
      </c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24500</v>
      </c>
      <c r="AT25" s="15"/>
      <c r="AV25" s="15"/>
      <c r="AW25" s="15">
        <f t="shared" si="11"/>
        <v>0</v>
      </c>
      <c r="AX25" s="15">
        <f t="shared" si="12"/>
        <v>909000</v>
      </c>
      <c r="AY25" s="15">
        <f t="shared" si="13"/>
        <v>0</v>
      </c>
      <c r="AZ25" s="16">
        <f t="shared" si="14"/>
        <v>909000</v>
      </c>
      <c r="BA25" s="58">
        <v>34000</v>
      </c>
      <c r="BB25" s="58"/>
      <c r="BC25" s="15"/>
      <c r="BD25" s="57">
        <f t="shared" si="15"/>
        <v>875000</v>
      </c>
      <c r="BE25" s="82" t="s">
        <v>186</v>
      </c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>
        <v>50000</v>
      </c>
      <c r="C26" s="5">
        <f t="shared" si="6"/>
        <v>0</v>
      </c>
      <c r="D26" s="9">
        <v>50000</v>
      </c>
      <c r="E26" s="9">
        <v>0</v>
      </c>
      <c r="F26" s="9"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50000</v>
      </c>
      <c r="AJ26" s="12"/>
      <c r="AK26" s="12"/>
      <c r="AL26" s="12">
        <v>500</v>
      </c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50000</v>
      </c>
      <c r="AX26" s="15">
        <f t="shared" si="12"/>
        <v>0</v>
      </c>
      <c r="AY26" s="15">
        <f t="shared" si="13"/>
        <v>0</v>
      </c>
      <c r="AZ26" s="16">
        <f t="shared" si="14"/>
        <v>50000</v>
      </c>
      <c r="BA26" s="58">
        <v>50000</v>
      </c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6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6"/>
        <v>0</v>
      </c>
      <c r="D28" s="9">
        <v>125000</v>
      </c>
      <c r="E28" s="9">
        <v>0</v>
      </c>
      <c r="F28" s="9"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>
        <v>50000</v>
      </c>
      <c r="C29" s="5">
        <f t="shared" si="6"/>
        <v>0</v>
      </c>
      <c r="D29" s="9">
        <v>50000</v>
      </c>
      <c r="E29" s="9">
        <v>0</v>
      </c>
      <c r="F29" s="9"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6"/>
        <v>0</v>
      </c>
      <c r="D30" s="9">
        <v>250000</v>
      </c>
      <c r="E30" s="9">
        <v>0</v>
      </c>
      <c r="F30" s="9"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/>
      <c r="R30" s="2"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6"/>
        <v>0</v>
      </c>
      <c r="D31" s="9">
        <v>150000</v>
      </c>
      <c r="E31" s="9">
        <v>0</v>
      </c>
      <c r="F31" s="9"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/>
      <c r="R31" s="2"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>
        <v>3500</v>
      </c>
      <c r="AD31" s="12"/>
      <c r="AE31" s="12"/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296500</v>
      </c>
      <c r="AX31" s="15">
        <f t="shared" si="12"/>
        <v>0</v>
      </c>
      <c r="AY31" s="15">
        <f t="shared" si="13"/>
        <v>0</v>
      </c>
      <c r="AZ31" s="16">
        <f t="shared" si="14"/>
        <v>296500</v>
      </c>
      <c r="BA31" s="58">
        <v>29500</v>
      </c>
      <c r="BB31" s="58"/>
      <c r="BC31" s="15"/>
      <c r="BD31" s="57">
        <f t="shared" si="15"/>
        <v>267000</v>
      </c>
      <c r="BE31" s="82" t="s">
        <v>186</v>
      </c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6"/>
        <v>0</v>
      </c>
      <c r="D32" s="9">
        <v>226000</v>
      </c>
      <c r="E32" s="9">
        <v>0</v>
      </c>
      <c r="F32" s="9"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101000</v>
      </c>
      <c r="R32" s="2"/>
      <c r="S32" s="20"/>
      <c r="T32" s="12"/>
      <c r="U32" s="17">
        <f t="shared" si="9"/>
        <v>226000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200000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200000</v>
      </c>
      <c r="AY32" s="15">
        <f t="shared" si="13"/>
        <v>0</v>
      </c>
      <c r="AZ32" s="16">
        <f t="shared" si="14"/>
        <v>200000</v>
      </c>
      <c r="BA32" s="58">
        <v>200000</v>
      </c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5">
        <f t="shared" si="6"/>
        <v>0</v>
      </c>
      <c r="D33" s="9">
        <v>160000</v>
      </c>
      <c r="E33" s="9">
        <v>0</v>
      </c>
      <c r="F33" s="9">
        <v>0</v>
      </c>
      <c r="G33" s="5">
        <f t="shared" si="7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/>
      <c r="R33" s="2">
        <v>0</v>
      </c>
      <c r="S33" s="20"/>
      <c r="T33" s="12"/>
      <c r="U33" s="17">
        <f t="shared" si="9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35000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si="6"/>
        <v>0</v>
      </c>
      <c r="D34" s="9">
        <v>50000</v>
      </c>
      <c r="E34" s="9">
        <v>0</v>
      </c>
      <c r="F34" s="9"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6"/>
        <v>0</v>
      </c>
      <c r="D35" s="9">
        <v>60000</v>
      </c>
      <c r="E35" s="9">
        <v>0</v>
      </c>
      <c r="F35" s="9"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6"/>
        <v>0</v>
      </c>
      <c r="D36" s="9">
        <v>0</v>
      </c>
      <c r="E36" s="9">
        <v>53000</v>
      </c>
      <c r="F36" s="9"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>
        <v>150000</v>
      </c>
      <c r="C37" s="5">
        <f t="shared" si="6"/>
        <v>0</v>
      </c>
      <c r="D37" s="9">
        <v>0</v>
      </c>
      <c r="E37" s="9">
        <v>153000</v>
      </c>
      <c r="F37" s="9"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/>
      <c r="R37" s="2"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-1000</v>
      </c>
      <c r="D40" s="5">
        <f t="shared" si="16"/>
        <v>5945000</v>
      </c>
      <c r="E40" s="5">
        <f t="shared" si="16"/>
        <v>1315000</v>
      </c>
      <c r="F40" s="5">
        <f t="shared" si="16"/>
        <v>0</v>
      </c>
      <c r="G40" s="5">
        <f t="shared" si="16"/>
        <v>9000</v>
      </c>
      <c r="H40" s="5">
        <f t="shared" si="16"/>
        <v>0</v>
      </c>
      <c r="I40" s="5">
        <f t="shared" si="16"/>
        <v>117000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43000</v>
      </c>
      <c r="Q40" s="5">
        <f t="shared" si="16"/>
        <v>509500</v>
      </c>
      <c r="R40" s="5">
        <f t="shared" si="16"/>
        <v>482500</v>
      </c>
      <c r="S40" s="5">
        <f t="shared" si="16"/>
        <v>1500000</v>
      </c>
      <c r="T40" s="5"/>
      <c r="U40" s="5">
        <f t="shared" ref="U40:AA40" si="17">SUM(U6:U39)</f>
        <v>7261000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1350000</v>
      </c>
      <c r="AA40" s="5">
        <f t="shared" si="17"/>
        <v>0</v>
      </c>
      <c r="AB40" s="5"/>
      <c r="AC40" s="5">
        <f>SUM(AC6:AC39)</f>
        <v>6500</v>
      </c>
      <c r="AD40" s="5">
        <f>SUM(AD6:AD39)</f>
        <v>25000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100000</v>
      </c>
      <c r="AJ40" s="5">
        <f t="shared" si="18"/>
        <v>684000</v>
      </c>
      <c r="AK40" s="5">
        <f t="shared" si="18"/>
        <v>103000</v>
      </c>
      <c r="AL40" s="5">
        <f t="shared" si="18"/>
        <v>1000</v>
      </c>
      <c r="AM40" s="5">
        <f t="shared" si="18"/>
        <v>7500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917000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693500</v>
      </c>
      <c r="AX40" s="5">
        <f t="shared" si="18"/>
        <v>1559000</v>
      </c>
      <c r="AY40" s="5">
        <f t="shared" si="18"/>
        <v>1293000</v>
      </c>
      <c r="AZ40" s="5">
        <f t="shared" si="18"/>
        <v>4830500</v>
      </c>
      <c r="BA40" s="5">
        <f t="shared" si="18"/>
        <v>1315500</v>
      </c>
      <c r="BB40" s="5">
        <f t="shared" si="18"/>
        <v>0</v>
      </c>
      <c r="BC40" s="5">
        <f t="shared" si="18"/>
        <v>0</v>
      </c>
      <c r="BD40" s="5">
        <f t="shared" si="18"/>
        <v>3362000</v>
      </c>
      <c r="BE40" s="5">
        <f t="shared" si="18"/>
        <v>0</v>
      </c>
      <c r="BF40" s="5">
        <f t="shared" si="18"/>
        <v>84000</v>
      </c>
      <c r="BH40" s="5">
        <f t="shared" ref="BH40:BL40" si="19">SUM(BH6:BH39)</f>
        <v>19000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4830500</v>
      </c>
      <c r="D47" s="9">
        <f>SUMIFS(D8:D40,H8:H40,"BANQUE")</f>
        <v>5720000</v>
      </c>
      <c r="F47" s="9">
        <f>E40</f>
        <v>1315000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9542000</v>
      </c>
    </row>
  </sheetData>
  <autoFilter ref="A5:AF38" xr:uid="{00000000-0009-0000-0000-000008000000}"/>
  <mergeCells count="1">
    <mergeCell ref="B4:M4"/>
  </mergeCells>
  <dataValidations count="1">
    <dataValidation type="list" allowBlank="1" showInputMessage="1" showErrorMessage="1" sqref="T6:T38 AP6:AP38 AF6:AF38 AA6:AA38" xr:uid="{00000000-0002-0000-08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85"/>
  <sheetViews>
    <sheetView zoomScale="96" zoomScaleNormal="96" workbookViewId="0">
      <pane xSplit="4" ySplit="5" topLeftCell="BH30" activePane="bottomRight" state="frozen"/>
      <selection pane="topRight" activeCell="E1" sqref="E1"/>
      <selection pane="bottomLeft" activeCell="A6" sqref="A6"/>
      <selection pane="bottomRight" activeCell="AK1" sqref="AK1:AK104857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36" width="16" customWidth="1"/>
    <col min="37" max="37" width="12" customWidth="1"/>
    <col min="38" max="38" width="12.1796875" customWidth="1"/>
    <col min="39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12000</v>
      </c>
      <c r="BA6" s="58">
        <v>6000</v>
      </c>
      <c r="BB6" s="58"/>
      <c r="BC6" s="15"/>
      <c r="BD6" s="57">
        <f>IF(AZ6=0,(AZ6-BA6-BC6),(AZ6-BA6-BB6-BC6))</f>
        <v>6000</v>
      </c>
      <c r="BE6" s="82" t="s">
        <v>186</v>
      </c>
      <c r="BF6" s="29">
        <f t="shared" ref="BF6:BF38" si="5">Z6*1/100*BG6</f>
        <v>0</v>
      </c>
      <c r="BG6" s="29">
        <v>6</v>
      </c>
      <c r="BH6" s="15">
        <f>BQ16</f>
        <v>12000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2000000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5">
        <f>D7+E7+F7-U7-BB7</f>
        <v>54000</v>
      </c>
      <c r="D7" s="9">
        <v>50000</v>
      </c>
      <c r="E7" s="9">
        <v>50000</v>
      </c>
      <c r="F7" s="9">
        <v>0</v>
      </c>
      <c r="G7" s="5">
        <f t="shared" ref="G7:G38" si="6">IF(H7="ESPECES",3000,0)</f>
        <v>0</v>
      </c>
      <c r="H7" s="10" t="str">
        <f t="shared" si="0"/>
        <v>BANQUE</v>
      </c>
      <c r="I7" s="10">
        <f>-3000-1000</f>
        <v>-4000</v>
      </c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/>
      <c r="R7" s="2"/>
      <c r="S7" s="20"/>
      <c r="T7" s="12"/>
      <c r="U7" s="17">
        <f t="shared" ref="U7:U38" si="8">G7+S7++R7+P7+O7+M7+I7+K7+Q7+V7+W7</f>
        <v>46000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21000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5">
        <f t="shared" ref="C8:C38" si="15">D8+E8+F8-U8-BB8</f>
        <v>0</v>
      </c>
      <c r="D8" s="9">
        <v>115000</v>
      </c>
      <c r="E8" s="9">
        <v>10000</v>
      </c>
      <c r="F8" s="9">
        <v>0</v>
      </c>
      <c r="G8" s="5">
        <f t="shared" si="6"/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/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>
        <v>250000</v>
      </c>
      <c r="C9" s="5">
        <f t="shared" si="15"/>
        <v>0</v>
      </c>
      <c r="D9" s="9">
        <v>250000</v>
      </c>
      <c r="E9" s="9">
        <v>0</v>
      </c>
      <c r="F9" s="9">
        <v>0</v>
      </c>
      <c r="G9" s="5">
        <f t="shared" si="6"/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/>
      <c r="R9" s="2">
        <v>0</v>
      </c>
      <c r="S9" s="20"/>
      <c r="T9" s="12"/>
      <c r="U9" s="17">
        <f t="shared" si="8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15"/>
        <v>0</v>
      </c>
      <c r="D10" s="9">
        <v>0</v>
      </c>
      <c r="E10" s="9">
        <v>128000</v>
      </c>
      <c r="F10" s="9">
        <v>0</v>
      </c>
      <c r="G10" s="5">
        <f t="shared" si="6"/>
        <v>3000</v>
      </c>
      <c r="H10" s="10" t="str">
        <f t="shared" si="0"/>
        <v>ESPECES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0</v>
      </c>
      <c r="Q10" s="2">
        <v>0</v>
      </c>
      <c r="R10" s="2"/>
      <c r="S10" s="20"/>
      <c r="T10" s="12"/>
      <c r="U10" s="17">
        <f t="shared" si="8"/>
        <v>128000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30000</v>
      </c>
      <c r="AJ10" s="12"/>
      <c r="AK10" s="12"/>
      <c r="AL10" s="12">
        <v>500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30000</v>
      </c>
      <c r="AX10" s="15">
        <f t="shared" si="11"/>
        <v>0</v>
      </c>
      <c r="AY10" s="15">
        <f t="shared" si="12"/>
        <v>0</v>
      </c>
      <c r="AZ10" s="16">
        <f t="shared" si="13"/>
        <v>30000</v>
      </c>
      <c r="BA10" s="58">
        <v>30000</v>
      </c>
      <c r="BB10" s="58"/>
      <c r="BC10" s="15"/>
      <c r="BD10" s="57">
        <f t="shared" si="14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15"/>
        <v>122000</v>
      </c>
      <c r="D11" s="9">
        <v>404000</v>
      </c>
      <c r="E11" s="9">
        <v>0</v>
      </c>
      <c r="F11" s="9">
        <v>0</v>
      </c>
      <c r="G11" s="5">
        <f t="shared" si="6"/>
        <v>0</v>
      </c>
      <c r="H11" s="10" t="str">
        <f t="shared" si="0"/>
        <v>BANQUE</v>
      </c>
      <c r="I11" s="10">
        <v>5000</v>
      </c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152000</v>
      </c>
      <c r="R11" s="2"/>
      <c r="S11" s="20"/>
      <c r="T11" s="12"/>
      <c r="U11" s="17">
        <f t="shared" si="8"/>
        <v>282000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56500</v>
      </c>
      <c r="AK11" s="12"/>
      <c r="AL11" s="12">
        <v>500</v>
      </c>
      <c r="AM11" s="12">
        <v>1000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30000</v>
      </c>
      <c r="AT11" s="15"/>
      <c r="AV11" s="15"/>
      <c r="AW11" s="15">
        <f t="shared" si="10"/>
        <v>30000</v>
      </c>
      <c r="AX11" s="15">
        <f t="shared" si="11"/>
        <v>56500</v>
      </c>
      <c r="AY11" s="15">
        <f t="shared" si="12"/>
        <v>0</v>
      </c>
      <c r="AZ11" s="16">
        <f>SUM(AV11:AY11)-BF11+Z11-F11+BH11+BI11+BJ11+BK11+BL11+BM11+20000</f>
        <v>86500</v>
      </c>
      <c r="BA11" s="58">
        <v>86500</v>
      </c>
      <c r="BB11" s="58"/>
      <c r="BC11" s="15"/>
      <c r="BD11" s="57">
        <f>IF(AZ11=0,(AZ11-BA11-BC11),(AZ11-BA11-BB11-BC11))</f>
        <v>0</v>
      </c>
      <c r="BE11" s="82"/>
      <c r="BF11" s="29">
        <f>Z11*1/100*BG11+20000</f>
        <v>20000</v>
      </c>
      <c r="BG11" s="29">
        <v>6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15"/>
        <v>0</v>
      </c>
      <c r="D12" s="9">
        <v>795000</v>
      </c>
      <c r="E12" s="9">
        <v>0</v>
      </c>
      <c r="F12" s="9">
        <v>0</v>
      </c>
      <c r="G12" s="5">
        <f t="shared" si="6"/>
        <v>0</v>
      </c>
      <c r="H12" s="10" t="str">
        <f t="shared" si="0"/>
        <v>BANQUE</v>
      </c>
      <c r="I12" s="10">
        <v>9000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101000</v>
      </c>
      <c r="R12" s="2">
        <v>0</v>
      </c>
      <c r="S12" s="20">
        <v>360000</v>
      </c>
      <c r="T12" s="12" t="s">
        <v>8</v>
      </c>
      <c r="U12" s="17">
        <f t="shared" si="8"/>
        <v>795000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9"/>
        <v>34000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15"/>
        <v>0</v>
      </c>
      <c r="D13" s="9">
        <v>50000</v>
      </c>
      <c r="E13" s="9">
        <v>0</v>
      </c>
      <c r="F13" s="9">
        <v>0</v>
      </c>
      <c r="G13" s="5">
        <f t="shared" si="6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/>
      <c r="R13" s="2"/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12000</v>
      </c>
    </row>
    <row r="14" spans="1:69" ht="18.5" x14ac:dyDescent="0.45">
      <c r="A14" s="1" t="s">
        <v>18</v>
      </c>
      <c r="B14" s="1">
        <v>50000</v>
      </c>
      <c r="C14" s="5">
        <f t="shared" si="15"/>
        <v>0</v>
      </c>
      <c r="D14" s="9">
        <v>50000</v>
      </c>
      <c r="E14" s="9">
        <v>0</v>
      </c>
      <c r="F14" s="9">
        <v>0</v>
      </c>
      <c r="G14" s="5">
        <f t="shared" si="6"/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/>
      <c r="R14" s="2"/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Q14" s="6"/>
    </row>
    <row r="15" spans="1:69" ht="18.5" x14ac:dyDescent="0.45">
      <c r="A15" s="1" t="s">
        <v>20</v>
      </c>
      <c r="B15" s="1">
        <v>125000</v>
      </c>
      <c r="C15" s="5">
        <f t="shared" si="15"/>
        <v>0</v>
      </c>
      <c r="D15" s="9">
        <v>125000</v>
      </c>
      <c r="E15" s="9">
        <v>0</v>
      </c>
      <c r="F15" s="9">
        <v>0</v>
      </c>
      <c r="G15" s="5">
        <f t="shared" si="6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/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892500</v>
      </c>
      <c r="AY15" s="15">
        <f t="shared" si="12"/>
        <v>0</v>
      </c>
      <c r="AZ15" s="16">
        <f t="shared" si="13"/>
        <v>892500</v>
      </c>
      <c r="BA15" s="58"/>
      <c r="BB15" s="58"/>
      <c r="BC15" s="15"/>
      <c r="BD15" s="57">
        <f t="shared" si="14"/>
        <v>892500</v>
      </c>
      <c r="BE15" s="82" t="s">
        <v>186</v>
      </c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15"/>
        <v>0</v>
      </c>
      <c r="D16" s="9">
        <v>260000</v>
      </c>
      <c r="E16" s="9">
        <v>0</v>
      </c>
      <c r="F16" s="9">
        <v>0</v>
      </c>
      <c r="G16" s="5">
        <f t="shared" si="6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8"/>
        <v>260000</v>
      </c>
      <c r="V16" s="12"/>
      <c r="W16" s="12"/>
      <c r="X16" s="12"/>
      <c r="Y16" s="12"/>
      <c r="Z16" s="12"/>
      <c r="AA16" s="12"/>
      <c r="AB16" s="12"/>
      <c r="AC16" s="12"/>
      <c r="AD16" s="12">
        <v>7500</v>
      </c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9"/>
        <v>60000</v>
      </c>
      <c r="AT16" s="15"/>
      <c r="AV16" s="15"/>
      <c r="AW16" s="15">
        <f t="shared" si="10"/>
        <v>0</v>
      </c>
      <c r="AX16" s="15">
        <f t="shared" si="11"/>
        <v>892500</v>
      </c>
      <c r="AY16" s="15">
        <f t="shared" si="12"/>
        <v>0</v>
      </c>
      <c r="AZ16" s="16">
        <f t="shared" si="13"/>
        <v>892500</v>
      </c>
      <c r="BA16" s="58"/>
      <c r="BB16" s="58"/>
      <c r="BC16" s="15"/>
      <c r="BD16" s="57">
        <f t="shared" si="14"/>
        <v>892500</v>
      </c>
      <c r="BE16" s="82" t="s">
        <v>186</v>
      </c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O16" s="62" t="s">
        <v>142</v>
      </c>
      <c r="BQ16" s="62">
        <f>SUM(BQ6:BQ15)</f>
        <v>12000</v>
      </c>
    </row>
    <row r="17" spans="1:69" ht="18.5" x14ac:dyDescent="0.45">
      <c r="A17" s="1" t="s">
        <v>22</v>
      </c>
      <c r="B17" s="1">
        <v>150000</v>
      </c>
      <c r="C17" s="5">
        <f t="shared" si="15"/>
        <v>0</v>
      </c>
      <c r="D17" s="9">
        <v>201000</v>
      </c>
      <c r="E17" s="9">
        <v>0</v>
      </c>
      <c r="F17" s="9">
        <v>0</v>
      </c>
      <c r="G17" s="5">
        <f t="shared" si="6"/>
        <v>0</v>
      </c>
      <c r="H17" s="10" t="str">
        <f t="shared" si="0"/>
        <v>BANQUE</v>
      </c>
      <c r="I17" s="10">
        <v>500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50500</v>
      </c>
      <c r="Q17" s="2"/>
      <c r="R17" s="2">
        <v>0</v>
      </c>
      <c r="S17" s="20"/>
      <c r="T17" s="12"/>
      <c r="U17" s="17">
        <f t="shared" si="8"/>
        <v>201000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25500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 t="shared" si="13"/>
        <v>100000</v>
      </c>
      <c r="BA17" s="58"/>
      <c r="BB17" s="58"/>
      <c r="BC17" s="15"/>
      <c r="BD17" s="57">
        <f t="shared" si="14"/>
        <v>100000</v>
      </c>
      <c r="BE17" s="82" t="s">
        <v>186</v>
      </c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15"/>
        <v>0</v>
      </c>
      <c r="D18" s="9">
        <v>160000</v>
      </c>
      <c r="E18" s="9">
        <v>0</v>
      </c>
      <c r="F18" s="9">
        <v>0</v>
      </c>
      <c r="G18" s="5">
        <f t="shared" si="6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/>
      <c r="R18" s="2">
        <v>0</v>
      </c>
      <c r="S18" s="20"/>
      <c r="T18" s="12"/>
      <c r="U18" s="17">
        <f t="shared" si="8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0</v>
      </c>
      <c r="BA18" s="58"/>
      <c r="BB18" s="58"/>
      <c r="BC18" s="15"/>
      <c r="BD18" s="57">
        <f t="shared" si="14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2000000</v>
      </c>
    </row>
    <row r="19" spans="1:69" ht="18.5" x14ac:dyDescent="0.45">
      <c r="A19" s="1" t="s">
        <v>195</v>
      </c>
      <c r="B19" s="1">
        <v>50000</v>
      </c>
      <c r="C19" s="5">
        <f t="shared" si="15"/>
        <v>0</v>
      </c>
      <c r="D19" s="9">
        <v>50000</v>
      </c>
      <c r="E19" s="9">
        <v>0</v>
      </c>
      <c r="F19" s="9">
        <v>0</v>
      </c>
      <c r="G19" s="5">
        <f t="shared" si="6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15"/>
        <v>0</v>
      </c>
      <c r="D20" s="9">
        <v>427000</v>
      </c>
      <c r="E20" s="9">
        <v>0</v>
      </c>
      <c r="F20" s="9">
        <v>0</v>
      </c>
      <c r="G20" s="5">
        <f t="shared" si="6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0</v>
      </c>
      <c r="Q20" s="2">
        <v>202000</v>
      </c>
      <c r="R20" s="2">
        <v>0</v>
      </c>
      <c r="S20" s="20"/>
      <c r="T20" s="12"/>
      <c r="U20" s="17">
        <f t="shared" si="8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100000</v>
      </c>
      <c r="AK20" s="12">
        <v>100000</v>
      </c>
      <c r="AL20" s="12">
        <v>500</v>
      </c>
      <c r="AM20" s="12">
        <v>2000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30000</v>
      </c>
      <c r="AX20" s="15">
        <f t="shared" si="11"/>
        <v>100000</v>
      </c>
      <c r="AY20" s="15">
        <f t="shared" si="12"/>
        <v>100000</v>
      </c>
      <c r="AZ20" s="16">
        <f t="shared" si="13"/>
        <v>230000</v>
      </c>
      <c r="BA20" s="58">
        <v>100000</v>
      </c>
      <c r="BB20" s="58"/>
      <c r="BC20" s="15"/>
      <c r="BD20" s="57">
        <f>IF(AZ20=0,(AZ20-BA20-BC20),(AZ20-BA20-BB20-BC20))-30000</f>
        <v>100000</v>
      </c>
      <c r="BE20" s="82" t="s">
        <v>186</v>
      </c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15"/>
        <v>0</v>
      </c>
      <c r="D21" s="9">
        <v>50000</v>
      </c>
      <c r="E21" s="9">
        <v>0</v>
      </c>
      <c r="F21" s="9">
        <v>0</v>
      </c>
      <c r="G21" s="5">
        <f t="shared" si="6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/>
      <c r="R21" s="2"/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15"/>
        <v>0</v>
      </c>
      <c r="D22" s="9">
        <v>0</v>
      </c>
      <c r="E22" s="9">
        <v>128000</v>
      </c>
      <c r="F22" s="9">
        <v>0</v>
      </c>
      <c r="G22" s="5">
        <f t="shared" si="6"/>
        <v>3000</v>
      </c>
      <c r="H22" s="10" t="str">
        <f t="shared" si="0"/>
        <v>ESPECES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/>
      <c r="S22" s="20"/>
      <c r="T22" s="12"/>
      <c r="U22" s="17">
        <f t="shared" si="8"/>
        <v>128000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2000000</v>
      </c>
    </row>
    <row r="23" spans="1:69" ht="18.5" x14ac:dyDescent="0.45">
      <c r="A23" s="1" t="s">
        <v>28</v>
      </c>
      <c r="B23" s="1">
        <v>250000</v>
      </c>
      <c r="C23" s="5">
        <f t="shared" si="15"/>
        <v>0</v>
      </c>
      <c r="D23" s="9">
        <v>260000</v>
      </c>
      <c r="E23" s="9">
        <v>0</v>
      </c>
      <c r="F23" s="9">
        <v>0</v>
      </c>
      <c r="G23" s="5">
        <f t="shared" si="6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/>
      <c r="R23" s="2">
        <v>0</v>
      </c>
      <c r="S23" s="20"/>
      <c r="T23" s="12"/>
      <c r="U23" s="17">
        <f t="shared" si="8"/>
        <v>260000</v>
      </c>
      <c r="V23" s="12"/>
      <c r="W23" s="12"/>
      <c r="X23" s="12"/>
      <c r="Y23" s="12"/>
      <c r="Z23" s="12"/>
      <c r="AA23" s="12"/>
      <c r="AB23" s="12"/>
      <c r="AC23" s="12">
        <v>3000</v>
      </c>
      <c r="AD23" s="12"/>
      <c r="AE23" s="12"/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297000</v>
      </c>
      <c r="AX23" s="15">
        <f t="shared" si="11"/>
        <v>0</v>
      </c>
      <c r="AY23" s="15">
        <f t="shared" si="12"/>
        <v>200000</v>
      </c>
      <c r="AZ23" s="16">
        <f t="shared" si="13"/>
        <v>497000</v>
      </c>
      <c r="BA23" s="58">
        <v>100000</v>
      </c>
      <c r="BB23" s="58"/>
      <c r="BC23" s="15"/>
      <c r="BD23" s="57">
        <f t="shared" si="14"/>
        <v>397000</v>
      </c>
      <c r="BE23" s="82" t="s">
        <v>186</v>
      </c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15"/>
        <v>0</v>
      </c>
      <c r="D24" s="9">
        <v>343000</v>
      </c>
      <c r="E24" s="9">
        <v>0</v>
      </c>
      <c r="F24" s="9">
        <v>0</v>
      </c>
      <c r="G24" s="5">
        <f t="shared" si="6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103000</v>
      </c>
      <c r="S24" s="20"/>
      <c r="T24" s="12"/>
      <c r="U24" s="17">
        <f t="shared" si="8"/>
        <v>343000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>
        <v>15000</v>
      </c>
      <c r="AF24" s="12" t="s">
        <v>8</v>
      </c>
      <c r="AG24" s="12"/>
      <c r="AH24" s="12"/>
      <c r="AI24" s="12"/>
      <c r="AJ24" s="12"/>
      <c r="AK24" s="12">
        <v>100000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297000</v>
      </c>
      <c r="AX24" s="15">
        <f t="shared" si="11"/>
        <v>0</v>
      </c>
      <c r="AY24" s="15">
        <f>IF(AE24=0,AK24,(1*100000*12)+(AK24)-AE24)</f>
        <v>1285000</v>
      </c>
      <c r="AZ24" s="16">
        <f t="shared" si="13"/>
        <v>1582000</v>
      </c>
      <c r="BA24" s="58"/>
      <c r="BB24" s="58"/>
      <c r="BC24" s="15"/>
      <c r="BD24" s="57">
        <f t="shared" si="14"/>
        <v>1582000</v>
      </c>
      <c r="BE24" s="82" t="s">
        <v>186</v>
      </c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15"/>
        <v>0</v>
      </c>
      <c r="D25" s="9">
        <v>415000</v>
      </c>
      <c r="E25" s="9">
        <v>0</v>
      </c>
      <c r="F25" s="9">
        <v>0</v>
      </c>
      <c r="G25" s="5">
        <f t="shared" si="6"/>
        <v>0</v>
      </c>
      <c r="H25" s="10" t="str">
        <f t="shared" si="0"/>
        <v>BANQUE</v>
      </c>
      <c r="I25" s="10">
        <v>5500</v>
      </c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34500</v>
      </c>
      <c r="R25" s="2">
        <v>0</v>
      </c>
      <c r="S25" s="20"/>
      <c r="T25" s="12"/>
      <c r="U25" s="17">
        <f t="shared" si="8"/>
        <v>415000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60000</v>
      </c>
      <c r="AJ25" s="12"/>
      <c r="AK25" s="12"/>
      <c r="AL25" s="12">
        <v>1000</v>
      </c>
      <c r="AM25" s="12"/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30500</v>
      </c>
      <c r="AT25" s="15"/>
      <c r="AV25" s="15"/>
      <c r="AW25" s="15">
        <f t="shared" si="10"/>
        <v>60000</v>
      </c>
      <c r="AX25" s="15">
        <f t="shared" si="11"/>
        <v>0</v>
      </c>
      <c r="AY25" s="15">
        <f t="shared" si="12"/>
        <v>0</v>
      </c>
      <c r="AZ25" s="16">
        <f>SUM(AV25:AY25)-BF25+Z25-F25+BH25+BI25+BJ25+BK25+BL25+BM25</f>
        <v>60000</v>
      </c>
      <c r="BA25" s="58"/>
      <c r="BB25" s="58"/>
      <c r="BC25" s="15"/>
      <c r="BD25" s="57">
        <f t="shared" si="14"/>
        <v>60000</v>
      </c>
      <c r="BE25" s="82" t="s">
        <v>186</v>
      </c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>
        <v>50000</v>
      </c>
      <c r="C26" s="5">
        <f t="shared" si="15"/>
        <v>0</v>
      </c>
      <c r="D26" s="9">
        <v>101000</v>
      </c>
      <c r="E26" s="9">
        <v>0</v>
      </c>
      <c r="F26" s="9">
        <v>0</v>
      </c>
      <c r="G26" s="5">
        <f t="shared" si="6"/>
        <v>0</v>
      </c>
      <c r="H26" s="10" t="str">
        <f t="shared" si="0"/>
        <v>BANQUE</v>
      </c>
      <c r="I26" s="10">
        <v>500</v>
      </c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50500</v>
      </c>
      <c r="Q26" s="2"/>
      <c r="R26" s="2"/>
      <c r="S26" s="20"/>
      <c r="T26" s="12"/>
      <c r="U26" s="17">
        <f t="shared" si="8"/>
        <v>101000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23500</v>
      </c>
      <c r="AJ26" s="12"/>
      <c r="AK26" s="12"/>
      <c r="AL26" s="12">
        <v>500</v>
      </c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9"/>
        <v>25500</v>
      </c>
      <c r="AT26" s="15"/>
      <c r="AV26" s="15"/>
      <c r="AW26" s="15">
        <f t="shared" si="10"/>
        <v>23500</v>
      </c>
      <c r="AX26" s="15">
        <f t="shared" si="11"/>
        <v>0</v>
      </c>
      <c r="AY26" s="15">
        <f t="shared" si="12"/>
        <v>0</v>
      </c>
      <c r="AZ26" s="16">
        <f t="shared" si="13"/>
        <v>23500</v>
      </c>
      <c r="BA26" s="58">
        <v>2500</v>
      </c>
      <c r="BB26" s="58"/>
      <c r="BC26" s="15"/>
      <c r="BD26" s="57">
        <f t="shared" si="14"/>
        <v>21000</v>
      </c>
      <c r="BE26" s="82" t="s">
        <v>186</v>
      </c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15"/>
        <v>0</v>
      </c>
      <c r="D27" s="9">
        <v>50000</v>
      </c>
      <c r="E27" s="9">
        <v>0</v>
      </c>
      <c r="F27" s="9">
        <v>0</v>
      </c>
      <c r="G27" s="5">
        <f t="shared" si="6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/>
      <c r="R27" s="2"/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15"/>
        <v>0</v>
      </c>
      <c r="D28" s="9">
        <v>125000</v>
      </c>
      <c r="E28" s="9">
        <v>0</v>
      </c>
      <c r="F28" s="9">
        <v>0</v>
      </c>
      <c r="G28" s="5">
        <f t="shared" si="6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/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>
        <v>50000</v>
      </c>
      <c r="C29" s="5">
        <f t="shared" si="15"/>
        <v>0</v>
      </c>
      <c r="D29" s="9">
        <v>50000</v>
      </c>
      <c r="E29" s="9">
        <v>0</v>
      </c>
      <c r="F29" s="9">
        <v>0</v>
      </c>
      <c r="G29" s="5">
        <f t="shared" si="6"/>
        <v>0</v>
      </c>
      <c r="H29" s="10" t="str">
        <f t="shared" si="0"/>
        <v>BANQUE</v>
      </c>
      <c r="I29" s="10"/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0</v>
      </c>
      <c r="Q29" s="2"/>
      <c r="R29" s="2"/>
      <c r="S29" s="20"/>
      <c r="T29" s="12"/>
      <c r="U29" s="17">
        <f t="shared" si="8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15"/>
        <v>0</v>
      </c>
      <c r="D30" s="9">
        <v>250000</v>
      </c>
      <c r="E30" s="9">
        <v>0</v>
      </c>
      <c r="F30" s="9">
        <v>0</v>
      </c>
      <c r="G30" s="5">
        <f t="shared" si="6"/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/>
      <c r="R30" s="2">
        <v>0</v>
      </c>
      <c r="S30" s="20"/>
      <c r="T30" s="12"/>
      <c r="U30" s="17">
        <f t="shared" si="8"/>
        <v>250000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/>
      <c r="AE30" s="12">
        <v>15000</v>
      </c>
      <c r="AF30" s="12" t="s">
        <v>8</v>
      </c>
      <c r="AG30" s="12"/>
      <c r="AH30" s="12"/>
      <c r="AI30" s="12"/>
      <c r="AJ30" s="12"/>
      <c r="AK30" s="12">
        <v>125000</v>
      </c>
      <c r="AL30" s="12"/>
      <c r="AM30" s="12"/>
      <c r="AN30" s="12">
        <v>1000</v>
      </c>
      <c r="AO30" s="12"/>
      <c r="AP30" s="12" t="s">
        <v>8</v>
      </c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297000</v>
      </c>
      <c r="AX30" s="15">
        <f t="shared" si="11"/>
        <v>0</v>
      </c>
      <c r="AY30" s="15">
        <f t="shared" si="12"/>
        <v>1310000</v>
      </c>
      <c r="AZ30" s="16">
        <f>SUM(AV30:AY30)-BF30+Z30-F30+BH30+BI30+BJ30+BK30+BL30+BM30+30000</f>
        <v>1607000</v>
      </c>
      <c r="BA30" s="58">
        <v>125000</v>
      </c>
      <c r="BB30" s="58"/>
      <c r="BC30" s="15"/>
      <c r="BD30" s="57">
        <f t="shared" si="14"/>
        <v>1482000</v>
      </c>
      <c r="BE30" s="82" t="s">
        <v>186</v>
      </c>
      <c r="BF30" s="29">
        <f>Z30*1/100*BG30+30000</f>
        <v>30000</v>
      </c>
      <c r="BG30" s="29">
        <v>6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15"/>
        <v>60000</v>
      </c>
      <c r="D31" s="9">
        <v>200000</v>
      </c>
      <c r="E31" s="9">
        <v>10000</v>
      </c>
      <c r="F31" s="9">
        <v>0</v>
      </c>
      <c r="G31" s="5">
        <f t="shared" si="6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/>
      <c r="R31" s="2"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>SUM(AV31:AY31)-BF31+Z31-F31+BH31+BI31+BJ31+BK31+BL31+BM31+60000</f>
        <v>100000</v>
      </c>
      <c r="BA31" s="58"/>
      <c r="BB31" s="58"/>
      <c r="BC31" s="15"/>
      <c r="BD31" s="57">
        <f>IF(AZ31=0,(AZ31-BA31-BC31),(AZ31-BA31-BB31-BC31))</f>
        <v>100000</v>
      </c>
      <c r="BE31" s="82" t="s">
        <v>186</v>
      </c>
      <c r="BF31" s="29">
        <f>Z31*1/100*BG31+60000</f>
        <v>60000</v>
      </c>
      <c r="BG31" s="29">
        <v>6</v>
      </c>
      <c r="BH31" s="15"/>
      <c r="BI31" s="15"/>
      <c r="BJ31" s="15"/>
      <c r="BK31" s="15">
        <v>100000</v>
      </c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15"/>
        <v>0</v>
      </c>
      <c r="D32" s="9">
        <v>327000</v>
      </c>
      <c r="E32" s="9">
        <v>0</v>
      </c>
      <c r="F32" s="9">
        <v>0</v>
      </c>
      <c r="G32" s="5">
        <f t="shared" si="6"/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202000</v>
      </c>
      <c r="R32" s="2"/>
      <c r="S32" s="20"/>
      <c r="T32" s="12"/>
      <c r="U32" s="17">
        <f t="shared" si="8"/>
        <v>327000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100000</v>
      </c>
      <c r="AY32" s="15">
        <f t="shared" si="12"/>
        <v>0</v>
      </c>
      <c r="AZ32" s="16">
        <f t="shared" si="13"/>
        <v>100000</v>
      </c>
      <c r="BA32" s="58">
        <v>100000</v>
      </c>
      <c r="BB32" s="58"/>
      <c r="BC32" s="15"/>
      <c r="BD32" s="57">
        <f t="shared" si="14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5">
        <f t="shared" si="15"/>
        <v>0</v>
      </c>
      <c r="D33" s="9">
        <v>170000</v>
      </c>
      <c r="E33" s="9">
        <v>0</v>
      </c>
      <c r="F33" s="9">
        <v>0</v>
      </c>
      <c r="G33" s="5">
        <f t="shared" si="6"/>
        <v>0</v>
      </c>
      <c r="H33" s="10" t="str">
        <f t="shared" si="0"/>
        <v>BANQUE</v>
      </c>
      <c r="I33" s="10">
        <v>20000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/>
      <c r="R33" s="2">
        <v>0</v>
      </c>
      <c r="S33" s="20"/>
      <c r="T33" s="12"/>
      <c r="U33" s="17">
        <f t="shared" si="8"/>
        <v>170000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45000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si="15"/>
        <v>0</v>
      </c>
      <c r="D34" s="9">
        <v>50000</v>
      </c>
      <c r="E34" s="9">
        <v>0</v>
      </c>
      <c r="F34" s="9">
        <v>0</v>
      </c>
      <c r="G34" s="5">
        <f t="shared" si="6"/>
        <v>0</v>
      </c>
      <c r="H34" s="10" t="str">
        <f t="shared" si="0"/>
        <v>BANQUE</v>
      </c>
      <c r="I34" s="10"/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/>
      <c r="R34" s="2"/>
      <c r="S34" s="20"/>
      <c r="T34" s="12"/>
      <c r="U34" s="17">
        <f t="shared" si="8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25000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15"/>
        <v>0</v>
      </c>
      <c r="D35" s="9">
        <v>60000</v>
      </c>
      <c r="E35" s="9">
        <v>0</v>
      </c>
      <c r="F35" s="9">
        <v>0</v>
      </c>
      <c r="G35" s="5">
        <f t="shared" si="6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/>
      <c r="R35" s="2"/>
      <c r="S35" s="20"/>
      <c r="T35" s="12"/>
      <c r="U35" s="17">
        <f t="shared" si="8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15"/>
        <v>0</v>
      </c>
      <c r="D36" s="9">
        <v>50000</v>
      </c>
      <c r="E36" s="9">
        <v>0</v>
      </c>
      <c r="F36" s="9">
        <v>0</v>
      </c>
      <c r="G36" s="5">
        <f t="shared" si="6"/>
        <v>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/>
      <c r="R36" s="2"/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>
        <v>150000</v>
      </c>
      <c r="C37" s="5">
        <f t="shared" si="15"/>
        <v>0</v>
      </c>
      <c r="D37" s="9">
        <v>150000</v>
      </c>
      <c r="E37" s="9">
        <v>0</v>
      </c>
      <c r="F37" s="9">
        <v>0</v>
      </c>
      <c r="G37" s="5">
        <f t="shared" si="6"/>
        <v>0</v>
      </c>
      <c r="H37" s="10" t="str">
        <f t="shared" si="0"/>
        <v>BANQUE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/>
      <c r="R37" s="2"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15"/>
        <v>0</v>
      </c>
      <c r="D38" s="9">
        <v>125000</v>
      </c>
      <c r="E38" s="9">
        <v>0</v>
      </c>
      <c r="F38" s="9">
        <v>0</v>
      </c>
      <c r="G38" s="5">
        <f t="shared" si="6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/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236000</v>
      </c>
      <c r="D40" s="5">
        <f t="shared" si="16"/>
        <v>5888000</v>
      </c>
      <c r="E40" s="5">
        <f t="shared" si="16"/>
        <v>326000</v>
      </c>
      <c r="F40" s="5">
        <f t="shared" si="16"/>
        <v>0</v>
      </c>
      <c r="G40" s="5">
        <f t="shared" si="16"/>
        <v>6000</v>
      </c>
      <c r="H40" s="5">
        <f t="shared" si="16"/>
        <v>0</v>
      </c>
      <c r="I40" s="5">
        <f t="shared" si="16"/>
        <v>116500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101000</v>
      </c>
      <c r="Q40" s="5">
        <f t="shared" si="16"/>
        <v>691500</v>
      </c>
      <c r="R40" s="5">
        <f t="shared" si="16"/>
        <v>103000</v>
      </c>
      <c r="S40" s="5">
        <f t="shared" si="16"/>
        <v>360000</v>
      </c>
      <c r="T40" s="5"/>
      <c r="U40" s="5">
        <f t="shared" ref="U40:AA40" si="17">SUM(U6:U39)</f>
        <v>5978000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9000</v>
      </c>
      <c r="AD40" s="5">
        <f>SUM(AD6:AD39)</f>
        <v>15000</v>
      </c>
      <c r="AE40" s="5">
        <f>SUM(AE6:AE39)</f>
        <v>30000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173500</v>
      </c>
      <c r="AJ40" s="5">
        <f t="shared" si="18"/>
        <v>256500</v>
      </c>
      <c r="AK40" s="5">
        <f t="shared" si="18"/>
        <v>625000</v>
      </c>
      <c r="AL40" s="5">
        <f t="shared" si="18"/>
        <v>3000</v>
      </c>
      <c r="AM40" s="5">
        <f t="shared" si="18"/>
        <v>5000</v>
      </c>
      <c r="AN40" s="5">
        <f t="shared" si="18"/>
        <v>7000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916500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1064500</v>
      </c>
      <c r="AX40" s="5">
        <f t="shared" si="18"/>
        <v>2041500</v>
      </c>
      <c r="AY40" s="5">
        <f t="shared" si="18"/>
        <v>2995000</v>
      </c>
      <c r="AZ40" s="5">
        <f t="shared" si="18"/>
        <v>6213000</v>
      </c>
      <c r="BA40" s="5">
        <f t="shared" si="18"/>
        <v>550000</v>
      </c>
      <c r="BB40" s="5">
        <f t="shared" si="18"/>
        <v>0</v>
      </c>
      <c r="BC40" s="5">
        <f t="shared" si="18"/>
        <v>0</v>
      </c>
      <c r="BD40" s="5">
        <f t="shared" si="18"/>
        <v>5633000</v>
      </c>
      <c r="BE40" s="5">
        <f t="shared" si="18"/>
        <v>0</v>
      </c>
      <c r="BF40" s="5">
        <f t="shared" si="18"/>
        <v>110000</v>
      </c>
      <c r="BH40" s="5">
        <f t="shared" ref="BH40:BL40" si="19">SUM(BH6:BH39)</f>
        <v>12000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6213000</v>
      </c>
      <c r="D47" s="9">
        <f>SUMIFS(D8:D40,H8:H40,"BANQUE")</f>
        <v>5663000</v>
      </c>
      <c r="F47" s="9">
        <f>E40</f>
        <v>326000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12414000</v>
      </c>
    </row>
  </sheetData>
  <autoFilter ref="A5:AF38" xr:uid="{00000000-0009-0000-0000-000009000000}"/>
  <mergeCells count="1">
    <mergeCell ref="B4:M4"/>
  </mergeCells>
  <dataValidations count="1">
    <dataValidation type="list" allowBlank="1" showInputMessage="1" showErrorMessage="1" sqref="T6:T38 AP6:AP38 AF6:AF38 AA6:AA38" xr:uid="{00000000-0002-0000-09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Q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7" sqref="G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0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18" customHeight="1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30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330500</v>
      </c>
      <c r="BA6" s="58">
        <v>36000</v>
      </c>
      <c r="BB6" s="58"/>
      <c r="BC6" s="15"/>
      <c r="BD6" s="57">
        <f>IF(AZ6=0,(AZ6-BA6-BC6),(AZ6-BA6-BB6-BC6))-559500</f>
        <v>-265000</v>
      </c>
      <c r="BE6" s="82" t="s">
        <v>186</v>
      </c>
      <c r="BF6" s="29">
        <f t="shared" ref="BF6:BF38" si="5">Z6*1/100*BG6</f>
        <v>0</v>
      </c>
      <c r="BG6" s="29">
        <v>5</v>
      </c>
      <c r="BH6" s="15">
        <f>BQ16</f>
        <v>42000</v>
      </c>
      <c r="BI6" s="15">
        <f>BQ28</f>
        <v>288500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14">
        <f t="shared" ref="C7:C38" si="6">D7+E7+F7-U7-BB7</f>
        <v>-3000</v>
      </c>
      <c r="D7" s="9">
        <v>0</v>
      </c>
      <c r="E7" s="9">
        <v>50000</v>
      </c>
      <c r="F7" s="9">
        <v>0</v>
      </c>
      <c r="G7" s="5">
        <f>IF(H7="ESPECES",3000,0)+3000</f>
        <v>6000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38" si="8">G7+S7++R7+P7+O7+M7+I7+K7+Q7+V7+W7</f>
        <v>53000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22000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14">
        <f t="shared" si="6"/>
        <v>0</v>
      </c>
      <c r="D8" s="9">
        <v>125000</v>
      </c>
      <c r="E8" s="9">
        <v>0</v>
      </c>
      <c r="F8" s="9">
        <v>0</v>
      </c>
      <c r="G8" s="5">
        <f t="shared" ref="G8:G38" si="15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36000</v>
      </c>
    </row>
    <row r="9" spans="1:69" ht="18.5" x14ac:dyDescent="0.45">
      <c r="A9" s="1" t="s">
        <v>13</v>
      </c>
      <c r="B9" s="1">
        <v>250000</v>
      </c>
      <c r="C9" s="5">
        <f t="shared" si="6"/>
        <v>0</v>
      </c>
      <c r="D9" s="9">
        <v>250000</v>
      </c>
      <c r="E9" s="9">
        <v>0</v>
      </c>
      <c r="F9" s="9">
        <v>0</v>
      </c>
      <c r="G9" s="5">
        <f t="shared" si="15"/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0</v>
      </c>
      <c r="S9" s="20"/>
      <c r="T9" s="12"/>
      <c r="U9" s="17">
        <f t="shared" si="8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6"/>
        <v>0</v>
      </c>
      <c r="D10" s="9">
        <v>159000</v>
      </c>
      <c r="E10" s="9">
        <v>0</v>
      </c>
      <c r="F10" s="9">
        <v>0</v>
      </c>
      <c r="G10" s="5">
        <f t="shared" si="15"/>
        <v>0</v>
      </c>
      <c r="H10" s="10" t="str">
        <f t="shared" si="0"/>
        <v>BANQUE</v>
      </c>
      <c r="I10" s="10">
        <v>3500</v>
      </c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30500</v>
      </c>
      <c r="Q10" s="2">
        <v>0</v>
      </c>
      <c r="R10" s="2">
        <v>0</v>
      </c>
      <c r="S10" s="20"/>
      <c r="T10" s="12"/>
      <c r="U10" s="17">
        <f t="shared" si="8"/>
        <v>159000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9"/>
        <v>28500</v>
      </c>
      <c r="AT10" s="15"/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0</v>
      </c>
      <c r="BA10" s="58"/>
      <c r="BB10" s="58"/>
      <c r="BC10" s="15"/>
      <c r="BD10" s="57">
        <f t="shared" si="14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6"/>
        <v>0</v>
      </c>
      <c r="D11" s="9">
        <v>216000</v>
      </c>
      <c r="E11" s="9">
        <v>0</v>
      </c>
      <c r="F11" s="9">
        <v>0</v>
      </c>
      <c r="G11" s="5">
        <f>IF(H11="ESPECES",3000,0)+3000</f>
        <v>3000</v>
      </c>
      <c r="H11" s="10" t="str">
        <f t="shared" si="0"/>
        <v>BANQUE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30500</v>
      </c>
      <c r="Q11" s="2">
        <v>57500</v>
      </c>
      <c r="R11" s="2">
        <v>0</v>
      </c>
      <c r="S11" s="20"/>
      <c r="T11" s="12"/>
      <c r="U11" s="17">
        <f t="shared" si="8"/>
        <v>216000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69000+100000</f>
        <v>169000</v>
      </c>
      <c r="AK11" s="12"/>
      <c r="AL11" s="12"/>
      <c r="AM11" s="12">
        <v>2000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169000</v>
      </c>
      <c r="AY11" s="15">
        <f t="shared" si="12"/>
        <v>0</v>
      </c>
      <c r="AZ11" s="16">
        <f t="shared" si="13"/>
        <v>169000</v>
      </c>
      <c r="BA11" s="58"/>
      <c r="BB11" s="58"/>
      <c r="BC11" s="15"/>
      <c r="BD11" s="57">
        <f>IF(AZ11=0,(AZ11-BA11-BC11),(AZ11-BA11-BB11-BC11))-60000</f>
        <v>109000</v>
      </c>
      <c r="BE11" s="82" t="s">
        <v>186</v>
      </c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14">
        <f t="shared" si="6"/>
        <v>8400</v>
      </c>
      <c r="D12" s="9">
        <v>340000</v>
      </c>
      <c r="E12" s="9">
        <v>0</v>
      </c>
      <c r="F12" s="9">
        <v>0</v>
      </c>
      <c r="G12" s="5">
        <f t="shared" si="15"/>
        <v>0</v>
      </c>
      <c r="H12" s="10" t="str">
        <f t="shared" si="0"/>
        <v>BANQUE</v>
      </c>
      <c r="I12" s="10">
        <f>1600+5000</f>
        <v>6600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8"/>
        <v>331600</v>
      </c>
      <c r="V12" s="12"/>
      <c r="W12" s="12"/>
      <c r="X12" s="12"/>
      <c r="Y12" s="12"/>
      <c r="Z12" s="12"/>
      <c r="AA12" s="12"/>
      <c r="AB12" s="12"/>
      <c r="AC12" s="12">
        <v>3000</v>
      </c>
      <c r="AD12" s="12"/>
      <c r="AE12" s="12">
        <v>10000</v>
      </c>
      <c r="AF12" s="12" t="s">
        <v>8</v>
      </c>
      <c r="AG12" s="12"/>
      <c r="AH12" s="12"/>
      <c r="AI12" s="12"/>
      <c r="AJ12" s="12"/>
      <c r="AK12" s="12">
        <v>100000</v>
      </c>
      <c r="AL12" s="12"/>
      <c r="AM12" s="12"/>
      <c r="AN12" s="12">
        <v>1000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9"/>
        <v>31600</v>
      </c>
      <c r="AT12" s="15"/>
      <c r="AV12" s="15"/>
      <c r="AW12" s="15">
        <f t="shared" si="10"/>
        <v>297000</v>
      </c>
      <c r="AX12" s="15">
        <f t="shared" si="11"/>
        <v>0</v>
      </c>
      <c r="AY12" s="15">
        <f t="shared" si="12"/>
        <v>1290000</v>
      </c>
      <c r="AZ12" s="16">
        <f t="shared" si="13"/>
        <v>1578600</v>
      </c>
      <c r="BA12" s="58"/>
      <c r="BB12" s="58"/>
      <c r="BC12" s="15"/>
      <c r="BD12" s="57">
        <f>IF(AZ12=0,(AZ12-BA12-BC12),(AZ12-BA12-BB12-BC12))+8400</f>
        <v>1587000</v>
      </c>
      <c r="BE12" s="82" t="s">
        <v>186</v>
      </c>
      <c r="BF12" s="29">
        <f>Z12*1/100*BG12+8400</f>
        <v>8400</v>
      </c>
      <c r="BG12" s="29">
        <v>5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6"/>
        <v>0</v>
      </c>
      <c r="D13" s="9">
        <v>50000</v>
      </c>
      <c r="E13" s="9">
        <v>0</v>
      </c>
      <c r="F13" s="9">
        <v>0</v>
      </c>
      <c r="G13" s="5">
        <f t="shared" si="15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>
        <v>2500</v>
      </c>
      <c r="AD13" s="12"/>
      <c r="AE13" s="12"/>
      <c r="AF13" s="12" t="s">
        <v>8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297500</v>
      </c>
      <c r="AX13" s="15">
        <f t="shared" si="11"/>
        <v>0</v>
      </c>
      <c r="AY13" s="15">
        <f t="shared" si="12"/>
        <v>0</v>
      </c>
      <c r="AZ13" s="16">
        <f t="shared" si="13"/>
        <v>297500</v>
      </c>
      <c r="BA13" s="58">
        <v>100000</v>
      </c>
      <c r="BB13" s="58"/>
      <c r="BC13" s="15"/>
      <c r="BD13" s="57">
        <f t="shared" si="14"/>
        <v>197500</v>
      </c>
      <c r="BE13" s="82" t="s">
        <v>186</v>
      </c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f t="shared" si="15"/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6"/>
        <v>0</v>
      </c>
      <c r="D15" s="9">
        <v>125000</v>
      </c>
      <c r="E15" s="9">
        <v>0</v>
      </c>
      <c r="F15" s="9">
        <v>0</v>
      </c>
      <c r="G15" s="5">
        <f t="shared" si="15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14">
        <f t="shared" si="6"/>
        <v>-238500</v>
      </c>
      <c r="D16" s="9">
        <v>240000</v>
      </c>
      <c r="E16" s="9">
        <v>0</v>
      </c>
      <c r="F16" s="9">
        <v>0</v>
      </c>
      <c r="G16" s="5">
        <f t="shared" si="15"/>
        <v>0</v>
      </c>
      <c r="H16" s="10" t="str">
        <f t="shared" si="0"/>
        <v>BANQUE</v>
      </c>
      <c r="I16" s="10">
        <v>15000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0</v>
      </c>
      <c r="S16" s="20">
        <v>238500</v>
      </c>
      <c r="T16" s="12"/>
      <c r="U16" s="17">
        <f t="shared" si="8"/>
        <v>478500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100000</v>
      </c>
      <c r="AL16" s="12"/>
      <c r="AM16" s="12"/>
      <c r="AN16" s="12">
        <v>1000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9"/>
        <v>40000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100000</v>
      </c>
      <c r="AZ16" s="16">
        <f t="shared" si="13"/>
        <v>100000</v>
      </c>
      <c r="BA16" s="58"/>
      <c r="BB16" s="58"/>
      <c r="BC16" s="15"/>
      <c r="BD16" s="57">
        <f t="shared" si="14"/>
        <v>100000</v>
      </c>
      <c r="BE16" s="82" t="s">
        <v>186</v>
      </c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O16" s="62" t="s">
        <v>142</v>
      </c>
      <c r="BQ16" s="62">
        <f>SUM(BQ6:BQ15)</f>
        <v>42000</v>
      </c>
    </row>
    <row r="17" spans="1:69" ht="18.5" x14ac:dyDescent="0.45">
      <c r="A17" s="1" t="s">
        <v>22</v>
      </c>
      <c r="B17" s="1">
        <v>150000</v>
      </c>
      <c r="C17" s="5">
        <f t="shared" si="6"/>
        <v>-4000</v>
      </c>
      <c r="D17" s="9">
        <v>150000</v>
      </c>
      <c r="E17" s="9">
        <v>100000</v>
      </c>
      <c r="F17" s="9">
        <v>0</v>
      </c>
      <c r="G17" s="5">
        <f>IF(H17="ESPECES",3000,0)+3000</f>
        <v>3000</v>
      </c>
      <c r="H17" s="10" t="str">
        <f t="shared" si="0"/>
        <v>BANQUE</v>
      </c>
      <c r="I17" s="10"/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>
        <v>0</v>
      </c>
      <c r="R17" s="2">
        <v>101000</v>
      </c>
      <c r="S17" s="20"/>
      <c r="T17" s="12"/>
      <c r="U17" s="17">
        <f t="shared" si="8"/>
        <v>254000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54000</v>
      </c>
      <c r="AL17" s="12"/>
      <c r="AM17" s="12"/>
      <c r="AN17" s="12">
        <v>1000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54000</v>
      </c>
      <c r="AZ17" s="16">
        <f t="shared" si="13"/>
        <v>54000</v>
      </c>
      <c r="BA17" s="58"/>
      <c r="BB17" s="58"/>
      <c r="BC17" s="15"/>
      <c r="BD17" s="57">
        <f>IF(AZ17=0,(AZ17-BA17-BC17),(AZ17-BA17-BB17-BC17))-54000</f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6"/>
        <v>0</v>
      </c>
      <c r="D18" s="9">
        <v>160000</v>
      </c>
      <c r="E18" s="9">
        <v>0</v>
      </c>
      <c r="F18" s="9">
        <v>0</v>
      </c>
      <c r="G18" s="5">
        <f t="shared" si="15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0</v>
      </c>
      <c r="S18" s="20"/>
      <c r="T18" s="12"/>
      <c r="U18" s="17">
        <f t="shared" si="8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200000</v>
      </c>
      <c r="AZ18" s="16">
        <f t="shared" si="13"/>
        <v>200000</v>
      </c>
      <c r="BA18" s="58"/>
      <c r="BB18" s="58"/>
      <c r="BC18" s="15"/>
      <c r="BD18" s="57">
        <f t="shared" si="14"/>
        <v>200000</v>
      </c>
      <c r="BE18" s="82" t="s">
        <v>186</v>
      </c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>
        <v>50000</v>
      </c>
      <c r="C19" s="5">
        <f t="shared" si="6"/>
        <v>0</v>
      </c>
      <c r="D19" s="9">
        <v>50000</v>
      </c>
      <c r="E19" s="9">
        <v>0</v>
      </c>
      <c r="F19" s="9">
        <v>0</v>
      </c>
      <c r="G19" s="5">
        <f t="shared" si="15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14">
        <f t="shared" si="6"/>
        <v>57500</v>
      </c>
      <c r="D20" s="9">
        <v>516000</v>
      </c>
      <c r="E20" s="9">
        <v>0</v>
      </c>
      <c r="F20" s="9">
        <v>0</v>
      </c>
      <c r="G20" s="5">
        <f t="shared" si="15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30500</v>
      </c>
      <c r="Q20" s="2">
        <v>102000</v>
      </c>
      <c r="R20" s="2">
        <v>101000</v>
      </c>
      <c r="S20" s="20"/>
      <c r="T20" s="12"/>
      <c r="U20" s="17">
        <f t="shared" si="8"/>
        <v>458500</v>
      </c>
      <c r="V20" s="12"/>
      <c r="W20" s="12"/>
      <c r="X20" s="12"/>
      <c r="Y20" s="12"/>
      <c r="Z20" s="12"/>
      <c r="AA20" s="12"/>
      <c r="AB20" s="12"/>
      <c r="AC20" s="12">
        <v>2500</v>
      </c>
      <c r="AD20" s="12"/>
      <c r="AE20" s="12"/>
      <c r="AF20" s="12" t="s">
        <v>8</v>
      </c>
      <c r="AG20" s="12"/>
      <c r="AH20" s="12"/>
      <c r="AI20" s="12"/>
      <c r="AJ20" s="12">
        <v>200000</v>
      </c>
      <c r="AK20" s="12">
        <v>200000</v>
      </c>
      <c r="AL20" s="12"/>
      <c r="AM20" s="12">
        <v>2500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297500</v>
      </c>
      <c r="AX20" s="15">
        <f t="shared" si="11"/>
        <v>200000</v>
      </c>
      <c r="AY20" s="15">
        <f t="shared" si="12"/>
        <v>200000</v>
      </c>
      <c r="AZ20" s="16">
        <f>SUM(AV20:AY20)-BF20+Z20-F20+BH20+BI20+BJ20+BK20+BL20+BM20+57500</f>
        <v>695000</v>
      </c>
      <c r="BA20" s="58">
        <v>23500</v>
      </c>
      <c r="BB20" s="58"/>
      <c r="BC20" s="15"/>
      <c r="BD20" s="71">
        <f>IF(AZ20=0,(AZ20-BA20-BC20),(AZ20-BA20-BB20-BC20))</f>
        <v>671500</v>
      </c>
      <c r="BE20" s="82"/>
      <c r="BF20" s="29">
        <f>Z20*1/100*BG20+60000</f>
        <v>60000</v>
      </c>
      <c r="BG20" s="29">
        <v>5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6"/>
        <v>0</v>
      </c>
      <c r="D21" s="9">
        <v>50000</v>
      </c>
      <c r="E21" s="9">
        <v>0</v>
      </c>
      <c r="F21" s="9">
        <v>0</v>
      </c>
      <c r="G21" s="5">
        <f t="shared" si="15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6"/>
        <v>0</v>
      </c>
      <c r="D22" s="9">
        <v>125000</v>
      </c>
      <c r="E22" s="9">
        <v>0</v>
      </c>
      <c r="F22" s="9">
        <v>0</v>
      </c>
      <c r="G22" s="5">
        <f t="shared" si="15"/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>
        <v>0</v>
      </c>
      <c r="S22" s="20"/>
      <c r="T22" s="12"/>
      <c r="U22" s="17">
        <f t="shared" si="8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>
        <v>250000</v>
      </c>
      <c r="C23" s="14">
        <f t="shared" si="6"/>
        <v>30000</v>
      </c>
      <c r="D23" s="9">
        <v>502000</v>
      </c>
      <c r="E23" s="9">
        <v>0</v>
      </c>
      <c r="F23" s="9">
        <v>0</v>
      </c>
      <c r="G23" s="5">
        <f t="shared" si="15"/>
        <v>0</v>
      </c>
      <c r="H23" s="10" t="str">
        <f t="shared" si="0"/>
        <v>BANQUE</v>
      </c>
      <c r="I23" s="10">
        <v>20000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>
        <v>0</v>
      </c>
      <c r="R23" s="2">
        <v>202000</v>
      </c>
      <c r="S23" s="20"/>
      <c r="T23" s="12"/>
      <c r="U23" s="17">
        <f t="shared" si="8"/>
        <v>472000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45000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1390000</v>
      </c>
      <c r="AZ23" s="16">
        <f t="shared" si="13"/>
        <v>1360000</v>
      </c>
      <c r="BA23" s="58"/>
      <c r="BB23" s="58"/>
      <c r="BC23" s="15"/>
      <c r="BD23" s="57">
        <f>IF(AZ23=0,(AZ23-BA23-BC23),(AZ23-BA23-BB23-BC23))+30000</f>
        <v>1390000</v>
      </c>
      <c r="BE23" s="82" t="s">
        <v>186</v>
      </c>
      <c r="BF23" s="29">
        <f>Z23*1/100*BG23+30000</f>
        <v>30000</v>
      </c>
      <c r="BG23" s="29">
        <v>5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14">
        <f t="shared" si="6"/>
        <v>-102000</v>
      </c>
      <c r="D24" s="9">
        <v>240000</v>
      </c>
      <c r="E24" s="9">
        <v>0</v>
      </c>
      <c r="F24" s="9">
        <v>500000</v>
      </c>
      <c r="G24" s="5">
        <f t="shared" si="15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102000</v>
      </c>
      <c r="S24" s="20">
        <v>500000</v>
      </c>
      <c r="T24" s="12" t="s">
        <v>8</v>
      </c>
      <c r="U24" s="17">
        <f t="shared" si="8"/>
        <v>842000</v>
      </c>
      <c r="V24" s="12"/>
      <c r="W24" s="12"/>
      <c r="X24" s="12"/>
      <c r="Y24" s="12"/>
      <c r="Z24" s="12"/>
      <c r="AA24" s="12"/>
      <c r="AB24" s="12"/>
      <c r="AC24" s="12"/>
      <c r="AD24" s="12">
        <v>7500</v>
      </c>
      <c r="AE24" s="12"/>
      <c r="AF24" s="12" t="s">
        <v>8</v>
      </c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0</v>
      </c>
      <c r="AX24" s="15">
        <f t="shared" si="11"/>
        <v>892500</v>
      </c>
      <c r="AY24" s="15">
        <f>IF(AE24=0,AK24,(1*100000*12)+(AK24)-AE24)</f>
        <v>200000</v>
      </c>
      <c r="AZ24" s="16">
        <f>SUM(AV24:AY24)-BF24+Z24-F24+BH24+BI24+BJ24+BK24+BL24+BM24-102000</f>
        <v>490500</v>
      </c>
      <c r="BA24" s="58"/>
      <c r="BB24" s="58"/>
      <c r="BC24" s="15"/>
      <c r="BD24" s="57">
        <f>IF(AZ24=0,(AZ24-BA24-BC24),(AZ24-BA24-BB24-BC24))</f>
        <v>490500</v>
      </c>
      <c r="BE24" s="82" t="s">
        <v>186</v>
      </c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6"/>
        <v>0</v>
      </c>
      <c r="D25" s="9">
        <v>436000</v>
      </c>
      <c r="E25" s="9">
        <v>0</v>
      </c>
      <c r="F25" s="9">
        <v>0</v>
      </c>
      <c r="G25" s="5">
        <f t="shared" si="15"/>
        <v>0</v>
      </c>
      <c r="H25" s="10" t="str">
        <f t="shared" si="0"/>
        <v>BANQUE</v>
      </c>
      <c r="I25" s="10"/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61000</v>
      </c>
      <c r="Q25" s="2">
        <v>0</v>
      </c>
      <c r="R25" s="2">
        <v>0</v>
      </c>
      <c r="S25" s="20"/>
      <c r="T25" s="12"/>
      <c r="U25" s="17">
        <f t="shared" si="8"/>
        <v>436000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v>100000</v>
      </c>
      <c r="AK25" s="12">
        <v>100000</v>
      </c>
      <c r="AL25" s="12">
        <v>1000</v>
      </c>
      <c r="AM25" s="12">
        <v>1500</v>
      </c>
      <c r="AN25" s="12">
        <v>1000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25000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100000</v>
      </c>
      <c r="AZ25" s="16">
        <f t="shared" si="13"/>
        <v>230000</v>
      </c>
      <c r="BA25" s="58">
        <v>4000</v>
      </c>
      <c r="BB25" s="58"/>
      <c r="BC25" s="15"/>
      <c r="BD25" s="57">
        <f>IF(AZ25=0,(AZ25-BA25-BC25),(AZ25-BA25-BB25-BC25))-26000</f>
        <v>200000</v>
      </c>
      <c r="BE25" s="82" t="s">
        <v>186</v>
      </c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O25" t="s">
        <v>125</v>
      </c>
      <c r="BP25" t="s">
        <v>143</v>
      </c>
      <c r="BQ25" s="6">
        <v>50000</v>
      </c>
    </row>
    <row r="26" spans="1:69" ht="18.5" x14ac:dyDescent="0.45">
      <c r="A26" s="1" t="s">
        <v>31</v>
      </c>
      <c r="B26" s="1">
        <v>50000</v>
      </c>
      <c r="C26" s="5">
        <f t="shared" si="6"/>
        <v>0</v>
      </c>
      <c r="D26" s="9">
        <v>74000</v>
      </c>
      <c r="E26" s="9">
        <v>0</v>
      </c>
      <c r="F26" s="9">
        <v>0</v>
      </c>
      <c r="G26" s="5">
        <f t="shared" si="15"/>
        <v>0</v>
      </c>
      <c r="H26" s="10" t="str">
        <f t="shared" si="0"/>
        <v>BANQUE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24000</v>
      </c>
      <c r="Q26" s="2">
        <v>0</v>
      </c>
      <c r="R26" s="2">
        <v>0</v>
      </c>
      <c r="S26" s="20"/>
      <c r="T26" s="12"/>
      <c r="U26" s="17">
        <f t="shared" si="8"/>
        <v>74000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-30000</v>
      </c>
      <c r="BA26" s="58"/>
      <c r="BB26" s="58"/>
      <c r="BC26" s="15"/>
      <c r="BD26" s="57">
        <f>IF(AZ26=0,(AZ26-BA26-BC26),(AZ26-BA26-BB26-BC26))+30000</f>
        <v>0</v>
      </c>
      <c r="BE26" s="82"/>
      <c r="BF26" s="29">
        <f>Z26*1/100*BG26+30000</f>
        <v>30000</v>
      </c>
      <c r="BG26" s="29">
        <v>5</v>
      </c>
      <c r="BH26" s="15"/>
      <c r="BI26" s="15"/>
      <c r="BJ26" s="15"/>
      <c r="BK26" s="15"/>
      <c r="BL26" s="61"/>
      <c r="BP26" t="s">
        <v>143</v>
      </c>
      <c r="BQ26" s="6"/>
    </row>
    <row r="27" spans="1:69" ht="18.5" x14ac:dyDescent="0.45">
      <c r="A27" s="1" t="s">
        <v>158</v>
      </c>
      <c r="B27" s="1">
        <v>50000</v>
      </c>
      <c r="C27" s="5">
        <f t="shared" si="6"/>
        <v>0</v>
      </c>
      <c r="D27" s="9">
        <v>50000</v>
      </c>
      <c r="E27" s="9">
        <v>0</v>
      </c>
      <c r="F27" s="9">
        <v>0</v>
      </c>
      <c r="G27" s="5">
        <f t="shared" si="15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>
        <v>0</v>
      </c>
      <c r="R27" s="2">
        <v>0</v>
      </c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O27" t="s">
        <v>213</v>
      </c>
      <c r="BP27" t="s">
        <v>143</v>
      </c>
      <c r="BQ27" s="6">
        <v>238500</v>
      </c>
    </row>
    <row r="28" spans="1:69" ht="18.5" x14ac:dyDescent="0.45">
      <c r="A28" s="1" t="s">
        <v>34</v>
      </c>
      <c r="B28" s="1">
        <v>125000</v>
      </c>
      <c r="C28" s="5">
        <f t="shared" si="6"/>
        <v>0</v>
      </c>
      <c r="D28" s="9">
        <v>125000</v>
      </c>
      <c r="E28" s="9">
        <v>0</v>
      </c>
      <c r="F28" s="9">
        <v>0</v>
      </c>
      <c r="G28" s="5">
        <f t="shared" si="15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O28" s="62" t="s">
        <v>142</v>
      </c>
      <c r="BQ28" s="62">
        <f>SUM(BQ24:BQ27)</f>
        <v>288500</v>
      </c>
    </row>
    <row r="29" spans="1:69" ht="18.5" x14ac:dyDescent="0.45">
      <c r="A29" s="1" t="s">
        <v>159</v>
      </c>
      <c r="B29" s="1">
        <v>50000</v>
      </c>
      <c r="C29" s="5">
        <f t="shared" si="6"/>
        <v>0</v>
      </c>
      <c r="D29" s="9">
        <v>50000</v>
      </c>
      <c r="E29" s="9">
        <v>0</v>
      </c>
      <c r="F29" s="9">
        <v>0</v>
      </c>
      <c r="G29" s="5">
        <f t="shared" si="15"/>
        <v>0</v>
      </c>
      <c r="H29" s="10" t="str">
        <f t="shared" si="0"/>
        <v>BANQUE</v>
      </c>
      <c r="I29" s="10"/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0</v>
      </c>
      <c r="Q29" s="2">
        <v>0</v>
      </c>
      <c r="R29" s="2">
        <v>0</v>
      </c>
      <c r="S29" s="20"/>
      <c r="T29" s="12"/>
      <c r="U29" s="17">
        <f t="shared" si="8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54500</v>
      </c>
      <c r="AJ29" s="12"/>
      <c r="AK29" s="12"/>
      <c r="AL29" s="12">
        <v>1500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25000</v>
      </c>
      <c r="AT29" s="15"/>
      <c r="AV29" s="15"/>
      <c r="AW29" s="15">
        <f t="shared" si="10"/>
        <v>54500</v>
      </c>
      <c r="AX29" s="15">
        <f t="shared" si="11"/>
        <v>0</v>
      </c>
      <c r="AY29" s="15">
        <f t="shared" si="12"/>
        <v>0</v>
      </c>
      <c r="AZ29" s="16">
        <f t="shared" si="13"/>
        <v>54500</v>
      </c>
      <c r="BA29" s="58"/>
      <c r="BB29" s="58"/>
      <c r="BC29" s="15"/>
      <c r="BD29" s="57">
        <f t="shared" si="14"/>
        <v>54500</v>
      </c>
      <c r="BE29" s="82" t="s">
        <v>186</v>
      </c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6"/>
        <v>0</v>
      </c>
      <c r="D30" s="9">
        <v>379000</v>
      </c>
      <c r="E30" s="9">
        <v>0</v>
      </c>
      <c r="F30" s="9">
        <v>0</v>
      </c>
      <c r="G30" s="5">
        <f t="shared" si="15"/>
        <v>0</v>
      </c>
      <c r="H30" s="10" t="str">
        <f t="shared" si="0"/>
        <v>BANQUE</v>
      </c>
      <c r="I30" s="10">
        <v>3000</v>
      </c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>
        <v>0</v>
      </c>
      <c r="R30" s="2">
        <v>126000</v>
      </c>
      <c r="S30" s="20"/>
      <c r="T30" s="12"/>
      <c r="U30" s="17">
        <f t="shared" si="8"/>
        <v>379000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 t="s">
        <v>8</v>
      </c>
      <c r="AQ30" s="8">
        <f t="shared" si="3"/>
        <v>0</v>
      </c>
      <c r="AR30" s="8">
        <f t="shared" si="4"/>
        <v>0</v>
      </c>
      <c r="AS30" s="13">
        <f t="shared" si="9"/>
        <v>28000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6"/>
        <v>0</v>
      </c>
      <c r="D31" s="9">
        <v>150000</v>
      </c>
      <c r="E31" s="9">
        <v>0</v>
      </c>
      <c r="F31" s="9">
        <v>0</v>
      </c>
      <c r="G31" s="5">
        <f t="shared" si="15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>
        <v>0</v>
      </c>
      <c r="R31" s="2"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6"/>
        <v>0</v>
      </c>
      <c r="D32" s="9">
        <v>2227000</v>
      </c>
      <c r="E32" s="9">
        <v>0</v>
      </c>
      <c r="F32" s="9">
        <v>0</v>
      </c>
      <c r="G32" s="5">
        <f t="shared" si="15"/>
        <v>0</v>
      </c>
      <c r="H32" s="10" t="str">
        <f t="shared" si="0"/>
        <v>BANQUE</v>
      </c>
      <c r="I32" s="10">
        <v>1000000</v>
      </c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102000</v>
      </c>
      <c r="R32" s="2">
        <v>0</v>
      </c>
      <c r="S32" s="20">
        <v>1000000</v>
      </c>
      <c r="T32" s="12" t="s">
        <v>8</v>
      </c>
      <c r="U32" s="17">
        <f t="shared" si="8"/>
        <v>2227000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1025000</v>
      </c>
      <c r="AT32" s="15"/>
      <c r="AV32" s="15"/>
      <c r="AW32" s="15">
        <f t="shared" si="10"/>
        <v>0</v>
      </c>
      <c r="AX32" s="15">
        <f t="shared" si="11"/>
        <v>100000</v>
      </c>
      <c r="AY32" s="15">
        <f t="shared" si="12"/>
        <v>0</v>
      </c>
      <c r="AZ32" s="16">
        <f t="shared" si="13"/>
        <v>100000</v>
      </c>
      <c r="BA32" s="58">
        <v>20000</v>
      </c>
      <c r="BB32" s="58"/>
      <c r="BC32" s="15"/>
      <c r="BD32" s="57">
        <f>IF(AZ32=0,(AZ32-BA32-BC32),(AZ32-BA32-BB32-BC32))-30000</f>
        <v>50000</v>
      </c>
      <c r="BE32" s="82" t="s">
        <v>186</v>
      </c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5">
        <f t="shared" si="6"/>
        <v>0</v>
      </c>
      <c r="D33" s="9">
        <v>160000</v>
      </c>
      <c r="E33" s="9">
        <v>0</v>
      </c>
      <c r="F33" s="9">
        <v>0</v>
      </c>
      <c r="G33" s="5">
        <f t="shared" si="15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si="6"/>
        <v>0</v>
      </c>
      <c r="D34" s="9">
        <v>50000</v>
      </c>
      <c r="E34" s="9">
        <v>0</v>
      </c>
      <c r="F34" s="9">
        <v>0</v>
      </c>
      <c r="G34" s="5">
        <f t="shared" si="15"/>
        <v>0</v>
      </c>
      <c r="H34" s="10" t="str">
        <f t="shared" si="0"/>
        <v>BANQUE</v>
      </c>
      <c r="I34" s="10"/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8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25000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6"/>
        <v>0</v>
      </c>
      <c r="D35" s="9">
        <v>60000</v>
      </c>
      <c r="E35" s="9">
        <v>0</v>
      </c>
      <c r="F35" s="9">
        <v>0</v>
      </c>
      <c r="G35" s="5">
        <f t="shared" si="15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>
        <v>0</v>
      </c>
      <c r="R35" s="2">
        <v>0</v>
      </c>
      <c r="S35" s="20"/>
      <c r="T35" s="12"/>
      <c r="U35" s="17">
        <f t="shared" si="8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6"/>
        <v>0</v>
      </c>
      <c r="D36" s="9">
        <v>50000</v>
      </c>
      <c r="E36" s="9">
        <v>0</v>
      </c>
      <c r="F36" s="9">
        <v>0</v>
      </c>
      <c r="G36" s="5">
        <f t="shared" si="15"/>
        <v>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100000</v>
      </c>
      <c r="BA36" s="58"/>
      <c r="BB36" s="58"/>
      <c r="BC36" s="15"/>
      <c r="BD36" s="57">
        <f t="shared" si="14"/>
        <v>100000</v>
      </c>
      <c r="BE36" s="82" t="s">
        <v>186</v>
      </c>
      <c r="BF36" s="29">
        <f t="shared" si="5"/>
        <v>0</v>
      </c>
      <c r="BG36" s="29">
        <v>5</v>
      </c>
      <c r="BH36" s="15"/>
      <c r="BI36" s="15"/>
      <c r="BJ36" s="15"/>
      <c r="BK36" s="15">
        <v>100000</v>
      </c>
      <c r="BL36" s="61"/>
      <c r="BO36" t="s">
        <v>126</v>
      </c>
      <c r="BP36" t="s">
        <v>126</v>
      </c>
      <c r="BQ36" s="6"/>
    </row>
    <row r="37" spans="1:69" ht="18.5" x14ac:dyDescent="0.45">
      <c r="A37" s="1" t="s">
        <v>193</v>
      </c>
      <c r="B37" s="1">
        <v>150000</v>
      </c>
      <c r="C37" s="5">
        <f t="shared" si="6"/>
        <v>0</v>
      </c>
      <c r="D37" s="9">
        <v>150000</v>
      </c>
      <c r="E37" s="9">
        <v>0</v>
      </c>
      <c r="F37" s="9">
        <v>0</v>
      </c>
      <c r="G37" s="5">
        <f t="shared" si="15"/>
        <v>0</v>
      </c>
      <c r="H37" s="10" t="str">
        <f t="shared" si="0"/>
        <v>BANQUE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f t="shared" si="15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-251600</v>
      </c>
      <c r="D40" s="5">
        <f t="shared" si="16"/>
        <v>7609000</v>
      </c>
      <c r="E40" s="5">
        <f t="shared" si="16"/>
        <v>150000</v>
      </c>
      <c r="F40" s="5">
        <f t="shared" si="16"/>
        <v>500000</v>
      </c>
      <c r="G40" s="5">
        <f t="shared" si="16"/>
        <v>12000</v>
      </c>
      <c r="H40" s="5">
        <f t="shared" si="16"/>
        <v>0</v>
      </c>
      <c r="I40" s="5">
        <f t="shared" si="16"/>
        <v>1090100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176500</v>
      </c>
      <c r="Q40" s="5">
        <f t="shared" si="16"/>
        <v>261500</v>
      </c>
      <c r="R40" s="5">
        <f t="shared" si="16"/>
        <v>632000</v>
      </c>
      <c r="S40" s="5">
        <f t="shared" si="16"/>
        <v>1738500</v>
      </c>
      <c r="T40" s="5"/>
      <c r="U40" s="5">
        <f t="shared" ref="U40:AA40" si="17">SUM(U6:U39)</f>
        <v>8510600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8000</v>
      </c>
      <c r="AD40" s="5">
        <f>SUM(AD6:AD39)</f>
        <v>7500</v>
      </c>
      <c r="AE40" s="5">
        <f>SUM(AE6:AE39)</f>
        <v>20000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84500</v>
      </c>
      <c r="AJ40" s="5">
        <f t="shared" si="18"/>
        <v>569000</v>
      </c>
      <c r="AK40" s="5">
        <f t="shared" si="18"/>
        <v>1154000</v>
      </c>
      <c r="AL40" s="5">
        <f t="shared" si="18"/>
        <v>2500</v>
      </c>
      <c r="AM40" s="5">
        <f t="shared" si="18"/>
        <v>7000</v>
      </c>
      <c r="AN40" s="5">
        <f t="shared" si="18"/>
        <v>12000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1890100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976500</v>
      </c>
      <c r="AX40" s="5">
        <f t="shared" si="18"/>
        <v>1461500</v>
      </c>
      <c r="AY40" s="5">
        <f t="shared" si="18"/>
        <v>3534000</v>
      </c>
      <c r="AZ40" s="5">
        <f t="shared" si="18"/>
        <v>5729600</v>
      </c>
      <c r="BA40" s="5">
        <f t="shared" si="18"/>
        <v>183500</v>
      </c>
      <c r="BB40" s="5">
        <f t="shared" si="18"/>
        <v>0</v>
      </c>
      <c r="BC40" s="5">
        <f t="shared" si="18"/>
        <v>0</v>
      </c>
      <c r="BD40" s="5">
        <f t="shared" si="18"/>
        <v>4885000</v>
      </c>
      <c r="BE40" s="5">
        <f t="shared" si="18"/>
        <v>0</v>
      </c>
      <c r="BF40" s="5">
        <f t="shared" si="18"/>
        <v>128400</v>
      </c>
      <c r="BH40" s="5">
        <f t="shared" ref="BH40:BL40" si="19">SUM(BH6:BH39)</f>
        <v>42000</v>
      </c>
      <c r="BI40" s="5">
        <f t="shared" si="19"/>
        <v>288500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  <c r="BD42">
        <v>5208500</v>
      </c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>
        <f>BD40-BD42</f>
        <v>-323500</v>
      </c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E45" s="6">
        <f>+BD43-BE43</f>
        <v>-323500</v>
      </c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5729600</v>
      </c>
      <c r="D47" s="9">
        <f>SUMIFS(D8:D40,H8:H40,"BANQUE")</f>
        <v>7434000</v>
      </c>
      <c r="F47" s="9">
        <f>E40</f>
        <v>150000</v>
      </c>
      <c r="G47" s="14"/>
      <c r="J47" s="5"/>
      <c r="AW47" s="15"/>
      <c r="AX47" s="15"/>
      <c r="AY47" s="15"/>
      <c r="AZ47" s="16"/>
      <c r="BC47">
        <v>297000</v>
      </c>
      <c r="BD47" t="s">
        <v>186</v>
      </c>
    </row>
    <row r="48" spans="1:69" ht="18.5" x14ac:dyDescent="0.45">
      <c r="AW48" s="15"/>
      <c r="AX48" s="15"/>
      <c r="AY48" s="15"/>
      <c r="AZ48" s="16"/>
      <c r="BC48">
        <v>297500</v>
      </c>
      <c r="BD48" t="s">
        <v>186</v>
      </c>
    </row>
    <row r="49" spans="49:56" ht="18.5" x14ac:dyDescent="0.45">
      <c r="AW49" s="15"/>
      <c r="AX49" s="15"/>
      <c r="AY49" s="15"/>
      <c r="AZ49" s="16"/>
      <c r="BC49">
        <v>197500</v>
      </c>
      <c r="BD49" t="s">
        <v>186</v>
      </c>
    </row>
    <row r="50" spans="49:56" ht="18.5" x14ac:dyDescent="0.45">
      <c r="AW50" s="15"/>
      <c r="AX50" s="15"/>
      <c r="AY50" s="15"/>
      <c r="AZ50" s="16"/>
      <c r="BC50">
        <v>54500</v>
      </c>
      <c r="BD50" t="s">
        <v>186</v>
      </c>
    </row>
    <row r="51" spans="49:56" ht="18.5" x14ac:dyDescent="0.45">
      <c r="AW51" s="15"/>
      <c r="AX51" s="15"/>
      <c r="AY51" s="15"/>
      <c r="AZ51" s="16"/>
      <c r="BC51">
        <v>592500</v>
      </c>
      <c r="BD51" t="s">
        <v>186</v>
      </c>
    </row>
    <row r="52" spans="49:56" ht="18.5" x14ac:dyDescent="0.45">
      <c r="AW52" s="15"/>
      <c r="AX52" s="15"/>
      <c r="AY52" s="15"/>
      <c r="AZ52" s="16"/>
      <c r="BC52">
        <v>200000</v>
      </c>
      <c r="BD52" t="s">
        <v>186</v>
      </c>
    </row>
    <row r="53" spans="49:56" ht="18.5" x14ac:dyDescent="0.45">
      <c r="AW53" s="15"/>
      <c r="AX53" s="15"/>
      <c r="AY53" s="15"/>
      <c r="AZ53" s="16"/>
      <c r="BC53">
        <v>50000</v>
      </c>
      <c r="BD53" t="s">
        <v>186</v>
      </c>
    </row>
    <row r="54" spans="49:56" ht="18.5" x14ac:dyDescent="0.45">
      <c r="AW54" s="15"/>
      <c r="AX54" s="15"/>
      <c r="AY54" s="15"/>
      <c r="AZ54" s="16"/>
      <c r="BC54">
        <v>109000</v>
      </c>
      <c r="BD54" t="s">
        <v>186</v>
      </c>
    </row>
    <row r="55" spans="49:56" ht="18.5" x14ac:dyDescent="0.45">
      <c r="AW55" s="15"/>
      <c r="AX55" s="15"/>
      <c r="AY55" s="15"/>
      <c r="AZ55" s="16"/>
      <c r="BC55">
        <v>100000</v>
      </c>
      <c r="BD55" t="s">
        <v>186</v>
      </c>
    </row>
    <row r="56" spans="49:56" ht="18.5" x14ac:dyDescent="0.45">
      <c r="AW56" s="15"/>
      <c r="AX56" s="15"/>
      <c r="AY56" s="15"/>
      <c r="AZ56" s="16"/>
      <c r="BC56">
        <v>1190000</v>
      </c>
      <c r="BD56" t="s">
        <v>186</v>
      </c>
    </row>
    <row r="57" spans="49:56" ht="18.5" x14ac:dyDescent="0.45">
      <c r="AW57" s="15"/>
      <c r="AX57" s="15"/>
      <c r="AY57" s="15"/>
      <c r="AZ57" s="16"/>
      <c r="BC57">
        <v>1190000</v>
      </c>
      <c r="BD57" t="s">
        <v>186</v>
      </c>
    </row>
    <row r="58" spans="49:56" ht="18.5" x14ac:dyDescent="0.45">
      <c r="AW58" s="15"/>
      <c r="AX58" s="15"/>
      <c r="AY58" s="15"/>
      <c r="AZ58" s="16"/>
      <c r="BC58">
        <f>170000+6000</f>
        <v>176000</v>
      </c>
      <c r="BD58" t="s">
        <v>186</v>
      </c>
    </row>
    <row r="59" spans="49:56" ht="18.5" x14ac:dyDescent="0.45">
      <c r="AW59" s="15"/>
      <c r="AX59" s="15"/>
      <c r="AY59" s="15"/>
      <c r="AZ59" s="16"/>
      <c r="BC59">
        <v>100000</v>
      </c>
      <c r="BD59" t="s">
        <v>186</v>
      </c>
    </row>
    <row r="60" spans="49:56" ht="18.5" x14ac:dyDescent="0.45">
      <c r="AW60" s="15"/>
      <c r="AX60" s="15"/>
      <c r="AY60" s="15"/>
      <c r="AZ60" s="16"/>
      <c r="BC60">
        <v>200000</v>
      </c>
      <c r="BD60" t="s">
        <v>186</v>
      </c>
    </row>
    <row r="61" spans="49:56" ht="18.5" x14ac:dyDescent="0.45">
      <c r="AW61" s="15"/>
      <c r="AX61" s="15"/>
      <c r="AY61" s="15"/>
      <c r="AZ61" s="16"/>
      <c r="BC61">
        <v>100000</v>
      </c>
      <c r="BD61" t="s">
        <v>186</v>
      </c>
    </row>
    <row r="62" spans="49:56" ht="18.5" x14ac:dyDescent="0.45">
      <c r="AW62" s="15"/>
      <c r="AX62" s="15"/>
      <c r="AY62" s="15"/>
      <c r="AZ62" s="16"/>
      <c r="BC62">
        <v>200000</v>
      </c>
      <c r="BD62" t="s">
        <v>186</v>
      </c>
    </row>
    <row r="63" spans="49:56" ht="18.5" x14ac:dyDescent="0.45">
      <c r="AW63" s="15"/>
      <c r="AX63" s="15"/>
      <c r="AY63" s="15"/>
      <c r="AZ63" s="16"/>
      <c r="BC63">
        <v>98000</v>
      </c>
      <c r="BD63" t="s">
        <v>186</v>
      </c>
    </row>
    <row r="64" spans="49:56" ht="18.5" x14ac:dyDescent="0.45">
      <c r="AW64" s="15"/>
      <c r="AX64" s="15"/>
      <c r="AY64" s="15"/>
      <c r="AZ64" s="16"/>
      <c r="BC64">
        <v>100000</v>
      </c>
      <c r="BD64" t="s">
        <v>186</v>
      </c>
    </row>
    <row r="65" spans="49:56" ht="18.5" x14ac:dyDescent="0.45">
      <c r="AW65" s="15"/>
      <c r="AX65" s="15"/>
      <c r="AY65" s="15"/>
      <c r="AZ65" s="16"/>
      <c r="BC65">
        <v>100000</v>
      </c>
      <c r="BD65" t="s">
        <v>186</v>
      </c>
    </row>
    <row r="66" spans="49:56" ht="18.5" x14ac:dyDescent="0.45">
      <c r="AW66" s="15"/>
      <c r="AX66" s="15"/>
      <c r="AY66" s="15"/>
      <c r="AZ66" s="16"/>
      <c r="BC66">
        <v>6000</v>
      </c>
      <c r="BD66" t="s">
        <v>186</v>
      </c>
    </row>
    <row r="67" spans="49:56" ht="18.5" x14ac:dyDescent="0.45">
      <c r="AW67" s="15"/>
      <c r="AX67" s="15"/>
      <c r="AY67" s="15"/>
      <c r="AZ67" s="16"/>
      <c r="BC67">
        <v>50000</v>
      </c>
      <c r="BD67" t="s">
        <v>186</v>
      </c>
    </row>
    <row r="68" spans="49:56" ht="18.5" x14ac:dyDescent="0.45">
      <c r="AW68" s="15"/>
      <c r="AX68" s="15"/>
      <c r="AY68" s="15"/>
      <c r="AZ68" s="16"/>
      <c r="BC68">
        <f>SUM(BC47:BC67)</f>
        <v>5408000</v>
      </c>
    </row>
    <row r="69" spans="49:56" ht="18.5" x14ac:dyDescent="0.45">
      <c r="AW69" s="15"/>
      <c r="AX69" s="15"/>
      <c r="AY69" s="15"/>
      <c r="AZ69" s="16"/>
    </row>
    <row r="70" spans="49:56" ht="18.5" x14ac:dyDescent="0.45">
      <c r="AW70" s="15"/>
      <c r="AX70" s="15"/>
      <c r="AY70" s="15"/>
      <c r="AZ70" s="16"/>
    </row>
    <row r="71" spans="49:56" ht="18.5" x14ac:dyDescent="0.45">
      <c r="AW71" s="15"/>
      <c r="AX71" s="15"/>
      <c r="AY71" s="15"/>
      <c r="AZ71" s="16"/>
    </row>
    <row r="72" spans="49:56" ht="18.5" x14ac:dyDescent="0.45">
      <c r="AW72" s="15"/>
      <c r="AX72" s="15"/>
      <c r="AY72" s="15"/>
      <c r="AZ72" s="16"/>
    </row>
    <row r="73" spans="49:56" ht="18.5" x14ac:dyDescent="0.45">
      <c r="AW73" s="15"/>
      <c r="AX73" s="15"/>
      <c r="AY73" s="15"/>
      <c r="AZ73" s="16"/>
    </row>
    <row r="74" spans="49:56" ht="18.5" x14ac:dyDescent="0.45">
      <c r="AW74" s="15"/>
      <c r="AX74" s="15"/>
      <c r="AY74" s="15"/>
      <c r="AZ74" s="16"/>
    </row>
    <row r="75" spans="49:56" ht="18.5" x14ac:dyDescent="0.45">
      <c r="AW75" s="15"/>
      <c r="AX75" s="15"/>
      <c r="AY75" s="15"/>
      <c r="AZ75" s="16"/>
    </row>
    <row r="76" spans="49:56" ht="18.5" x14ac:dyDescent="0.45">
      <c r="AW76" s="15"/>
      <c r="AX76" s="15"/>
      <c r="AY76" s="15"/>
      <c r="AZ76" s="16"/>
    </row>
    <row r="77" spans="49:56" ht="18.5" x14ac:dyDescent="0.45">
      <c r="AW77" s="15"/>
      <c r="AX77" s="15"/>
      <c r="AY77" s="15"/>
      <c r="AZ77" s="16"/>
    </row>
    <row r="78" spans="49:56" ht="18.5" x14ac:dyDescent="0.45">
      <c r="AW78" s="15"/>
      <c r="AX78" s="15"/>
      <c r="AY78" s="15"/>
      <c r="AZ78" s="16"/>
    </row>
    <row r="79" spans="49:56" ht="18.5" x14ac:dyDescent="0.45">
      <c r="AW79" s="15"/>
      <c r="AX79" s="15"/>
      <c r="AY79" s="15"/>
      <c r="AZ79" s="16"/>
    </row>
    <row r="80" spans="49:56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11128700</v>
      </c>
    </row>
  </sheetData>
  <autoFilter ref="A5:AF38" xr:uid="{00000000-0009-0000-0000-00000A000000}"/>
  <mergeCells count="1">
    <mergeCell ref="B4:M4"/>
  </mergeCells>
  <dataValidations count="1">
    <dataValidation type="list" allowBlank="1" showInputMessage="1" showErrorMessage="1" sqref="T6:T38 AP6:AP38 AF6:AF38 AA6:AA38" xr:uid="{00000000-0002-0000-0A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85"/>
  <sheetViews>
    <sheetView zoomScaleNormal="100" workbookViewId="0">
      <pane xSplit="4" ySplit="5" topLeftCell="BJ6" activePane="bottomRight" state="frozen"/>
      <selection pane="topRight" activeCell="E1" sqref="E1"/>
      <selection pane="bottomLeft" activeCell="A6" sqref="A6"/>
      <selection pane="bottomRight" activeCell="BL10" sqref="BL1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6000</v>
      </c>
      <c r="BA6" s="58"/>
      <c r="BB6" s="58"/>
      <c r="BC6" s="15"/>
      <c r="BD6" s="57">
        <f>IF(AZ6=0,(AZ6-BA6-BC6),(AZ6-BA6-BB6-BC6))</f>
        <v>6000</v>
      </c>
      <c r="BE6" s="82"/>
      <c r="BF6" s="29">
        <f t="shared" ref="BF6:BF38" si="5">Z6*1/100*BG6</f>
        <v>0</v>
      </c>
      <c r="BG6" s="29">
        <v>4</v>
      </c>
      <c r="BH6" s="15">
        <f>BQ16</f>
        <v>6000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14">
        <f t="shared" ref="C7:C38" si="6">D7+E7+F7-U7-BB7</f>
        <v>0</v>
      </c>
      <c r="D7" s="9">
        <v>50000</v>
      </c>
      <c r="E7" s="9">
        <v>0</v>
      </c>
      <c r="F7" s="9">
        <v>0</v>
      </c>
      <c r="G7" s="5">
        <f>IF(H7="ESPECES",3000,0)+3000</f>
        <v>3000</v>
      </c>
      <c r="H7" s="10" t="str">
        <f t="shared" si="0"/>
        <v>BANQUE</v>
      </c>
      <c r="I7" s="10">
        <v>-3000</v>
      </c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57000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22000</v>
      </c>
      <c r="AT7" s="15"/>
      <c r="AV7" s="15"/>
      <c r="AW7" s="15">
        <f t="shared" ref="AW7:AW38" si="10">IF(AC7=0,AI7,(1*25000*12)+AI7-AC7)</f>
        <v>57000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57000</v>
      </c>
      <c r="BA7" s="58">
        <v>10000</v>
      </c>
      <c r="BB7" s="58"/>
      <c r="BC7" s="15"/>
      <c r="BD7" s="57">
        <f t="shared" ref="BD7:BD38" si="14">IF(AZ7=0,(AZ7-BA7-BC7),(AZ7-BA7-BB7-BC7))</f>
        <v>47000</v>
      </c>
      <c r="BE7" s="82" t="s">
        <v>186</v>
      </c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" customHeight="1" x14ac:dyDescent="0.45">
      <c r="A8" s="1" t="s">
        <v>12</v>
      </c>
      <c r="B8" s="1">
        <v>125000</v>
      </c>
      <c r="C8" s="5">
        <f t="shared" si="6"/>
        <v>0</v>
      </c>
      <c r="D8" s="9">
        <v>125000</v>
      </c>
      <c r="E8" s="9">
        <v>0</v>
      </c>
      <c r="F8" s="9">
        <v>0</v>
      </c>
      <c r="G8" s="5">
        <f t="shared" ref="G8:G38" si="15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-12250</v>
      </c>
      <c r="BA8" s="58"/>
      <c r="BB8" s="58"/>
      <c r="BC8" s="15"/>
      <c r="BD8" s="57">
        <f t="shared" si="14"/>
        <v>-12250</v>
      </c>
      <c r="BE8" s="82"/>
      <c r="BF8" s="29">
        <f>Z8*1/100*BG8+20000</f>
        <v>20000</v>
      </c>
      <c r="BG8" s="29">
        <v>4</v>
      </c>
      <c r="BH8" s="15"/>
      <c r="BI8" s="15"/>
      <c r="BJ8" s="15"/>
      <c r="BK8" s="15"/>
      <c r="BL8" s="61">
        <v>7750</v>
      </c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>
        <v>250000</v>
      </c>
      <c r="C9" s="5">
        <f t="shared" si="6"/>
        <v>10000</v>
      </c>
      <c r="D9" s="9">
        <v>250000</v>
      </c>
      <c r="E9" s="9">
        <v>0</v>
      </c>
      <c r="F9" s="9">
        <v>0</v>
      </c>
      <c r="G9" s="5">
        <f t="shared" si="15"/>
        <v>0</v>
      </c>
      <c r="H9" s="10" t="str">
        <f t="shared" si="0"/>
        <v>BANQUE</v>
      </c>
      <c r="I9" s="10">
        <v>-10000</v>
      </c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0</v>
      </c>
      <c r="S9" s="20"/>
      <c r="T9" s="12"/>
      <c r="U9" s="17">
        <f t="shared" si="8"/>
        <v>240000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100000</v>
      </c>
      <c r="AL9" s="12"/>
      <c r="AM9" s="12"/>
      <c r="AN9" s="12">
        <v>1000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15000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100000</v>
      </c>
      <c r="AZ9" s="16">
        <f t="shared" si="13"/>
        <v>100000</v>
      </c>
      <c r="BA9" s="58"/>
      <c r="BB9" s="58"/>
      <c r="BC9" s="15"/>
      <c r="BD9" s="57">
        <f t="shared" si="14"/>
        <v>100000</v>
      </c>
      <c r="BE9" s="82" t="s">
        <v>186</v>
      </c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6"/>
        <v>0</v>
      </c>
      <c r="D10" s="9">
        <v>125000</v>
      </c>
      <c r="E10" s="9">
        <v>0</v>
      </c>
      <c r="F10" s="9">
        <v>0</v>
      </c>
      <c r="G10" s="5">
        <f t="shared" si="15"/>
        <v>0</v>
      </c>
      <c r="H10" s="10" t="str">
        <f t="shared" si="0"/>
        <v>BANQUE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0</v>
      </c>
      <c r="Q10" s="2">
        <v>0</v>
      </c>
      <c r="R10" s="2">
        <v>0</v>
      </c>
      <c r="S10" s="20"/>
      <c r="T10" s="12"/>
      <c r="U10" s="17">
        <f t="shared" si="8"/>
        <v>125000</v>
      </c>
      <c r="V10" s="12"/>
      <c r="W10" s="12"/>
      <c r="X10" s="12"/>
      <c r="Y10" s="12"/>
      <c r="Z10" s="12"/>
      <c r="AA10" s="12"/>
      <c r="AB10" s="12"/>
      <c r="AC10" s="12">
        <v>2500</v>
      </c>
      <c r="AD10" s="12"/>
      <c r="AE10" s="12"/>
      <c r="AF10" s="12"/>
      <c r="AG10" s="12"/>
      <c r="AH10" s="12"/>
      <c r="AI10" s="12">
        <v>60000</v>
      </c>
      <c r="AJ10" s="12">
        <v>100000</v>
      </c>
      <c r="AK10" s="12"/>
      <c r="AL10" s="12">
        <v>1000</v>
      </c>
      <c r="AM10" s="12">
        <v>1000</v>
      </c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357500</v>
      </c>
      <c r="AX10" s="15">
        <f t="shared" si="11"/>
        <v>100000</v>
      </c>
      <c r="AY10" s="15">
        <f t="shared" si="12"/>
        <v>0</v>
      </c>
      <c r="AZ10" s="16">
        <f t="shared" si="13"/>
        <v>457500</v>
      </c>
      <c r="BA10" s="58">
        <v>40000</v>
      </c>
      <c r="BB10" s="58"/>
      <c r="BC10" s="15"/>
      <c r="BD10" s="57">
        <f t="shared" si="14"/>
        <v>417500</v>
      </c>
      <c r="BE10" s="82" t="s">
        <v>186</v>
      </c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6"/>
        <v>-2000</v>
      </c>
      <c r="D11" s="9">
        <v>294000</v>
      </c>
      <c r="E11" s="9">
        <v>0</v>
      </c>
      <c r="F11" s="9">
        <v>0</v>
      </c>
      <c r="G11" s="5">
        <f t="shared" si="15"/>
        <v>0</v>
      </c>
      <c r="H11" s="10" t="str">
        <f t="shared" si="0"/>
        <v>BANQUE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171000</v>
      </c>
      <c r="R11" s="2">
        <v>0</v>
      </c>
      <c r="S11" s="20"/>
      <c r="T11" s="12"/>
      <c r="U11" s="17">
        <f t="shared" si="8"/>
        <v>296000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101500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101500</v>
      </c>
      <c r="AY11" s="15">
        <f t="shared" si="12"/>
        <v>0</v>
      </c>
      <c r="AZ11" s="16">
        <f t="shared" si="13"/>
        <v>101500</v>
      </c>
      <c r="BA11" s="58"/>
      <c r="BB11" s="58"/>
      <c r="BC11" s="15"/>
      <c r="BD11" s="57">
        <f>IF(AZ11=0,(AZ11-BA11-BC11),(AZ11-BA11-BB11-BC11))-101500</f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6"/>
        <v>0</v>
      </c>
      <c r="D12" s="9">
        <v>431000</v>
      </c>
      <c r="E12" s="9">
        <v>0</v>
      </c>
      <c r="F12" s="9">
        <v>0</v>
      </c>
      <c r="G12" s="5">
        <f t="shared" si="15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101000</v>
      </c>
      <c r="S12" s="20"/>
      <c r="T12" s="12"/>
      <c r="U12" s="17">
        <f t="shared" si="8"/>
        <v>431000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200000</v>
      </c>
      <c r="AZ12" s="16">
        <f t="shared" si="13"/>
        <v>200000</v>
      </c>
      <c r="BA12" s="58"/>
      <c r="BB12" s="58"/>
      <c r="BC12" s="15"/>
      <c r="BD12" s="57">
        <f t="shared" si="14"/>
        <v>200000</v>
      </c>
      <c r="BE12" s="82" t="s">
        <v>186</v>
      </c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6"/>
        <v>0</v>
      </c>
      <c r="D13" s="9">
        <v>50000</v>
      </c>
      <c r="E13" s="9">
        <v>0</v>
      </c>
      <c r="F13" s="9">
        <v>0</v>
      </c>
      <c r="G13" s="5">
        <f t="shared" si="15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f t="shared" si="15"/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6"/>
        <v>0</v>
      </c>
      <c r="D15" s="9">
        <v>125000</v>
      </c>
      <c r="E15" s="9">
        <v>0</v>
      </c>
      <c r="F15" s="9">
        <v>0</v>
      </c>
      <c r="G15" s="5">
        <f t="shared" si="15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6"/>
        <v>0</v>
      </c>
      <c r="D16" s="9">
        <v>360000</v>
      </c>
      <c r="E16" s="9">
        <v>0</v>
      </c>
      <c r="F16" s="9">
        <v>0</v>
      </c>
      <c r="G16" s="5">
        <f t="shared" si="15"/>
        <v>0</v>
      </c>
      <c r="H16" s="10" t="str">
        <f t="shared" si="0"/>
        <v>BANQUE</v>
      </c>
      <c r="I16" s="10">
        <v>34000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101000</v>
      </c>
      <c r="S16" s="20"/>
      <c r="T16" s="12"/>
      <c r="U16" s="17">
        <f t="shared" si="8"/>
        <v>360000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>
        <v>200000</v>
      </c>
      <c r="AK16" s="12"/>
      <c r="AL16" s="12"/>
      <c r="AM16" s="12">
        <v>2000</v>
      </c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9"/>
        <v>59000</v>
      </c>
      <c r="AT16" s="15"/>
      <c r="AV16" s="15"/>
      <c r="AW16" s="15">
        <f t="shared" si="10"/>
        <v>0</v>
      </c>
      <c r="AX16" s="15">
        <f t="shared" si="11"/>
        <v>200000</v>
      </c>
      <c r="AY16" s="15">
        <f t="shared" si="12"/>
        <v>0</v>
      </c>
      <c r="AZ16" s="16">
        <f t="shared" si="13"/>
        <v>200000</v>
      </c>
      <c r="BA16" s="58"/>
      <c r="BB16" s="58"/>
      <c r="BC16" s="15"/>
      <c r="BD16" s="57">
        <f t="shared" si="14"/>
        <v>200000</v>
      </c>
      <c r="BE16" s="82" t="s">
        <v>186</v>
      </c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69" ht="18.5" x14ac:dyDescent="0.45">
      <c r="A17" s="1" t="s">
        <v>22</v>
      </c>
      <c r="B17" s="1">
        <v>150000</v>
      </c>
      <c r="C17" s="5">
        <f t="shared" si="6"/>
        <v>0</v>
      </c>
      <c r="D17" s="9">
        <v>200000</v>
      </c>
      <c r="E17" s="9">
        <v>0</v>
      </c>
      <c r="F17" s="9">
        <v>0</v>
      </c>
      <c r="G17" s="5">
        <f t="shared" si="15"/>
        <v>0</v>
      </c>
      <c r="H17" s="10" t="str">
        <f t="shared" si="0"/>
        <v>BANQUE</v>
      </c>
      <c r="I17" s="10">
        <v>-5000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>
        <v>0</v>
      </c>
      <c r="R17" s="2">
        <v>55000</v>
      </c>
      <c r="S17" s="20"/>
      <c r="T17" s="12"/>
      <c r="U17" s="17">
        <f t="shared" si="8"/>
        <v>200000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>
        <v>30000</v>
      </c>
      <c r="AJ17" s="12"/>
      <c r="AK17" s="12">
        <v>200000</v>
      </c>
      <c r="AL17" s="12">
        <v>500</v>
      </c>
      <c r="AM17" s="12"/>
      <c r="AN17" s="12">
        <v>2000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20000</v>
      </c>
      <c r="AT17" s="15"/>
      <c r="AV17" s="15"/>
      <c r="AW17" s="15">
        <f t="shared" si="10"/>
        <v>30000</v>
      </c>
      <c r="AX17" s="15">
        <f t="shared" si="11"/>
        <v>0</v>
      </c>
      <c r="AY17" s="15">
        <f t="shared" si="12"/>
        <v>200000</v>
      </c>
      <c r="AZ17" s="16">
        <f t="shared" si="13"/>
        <v>230000</v>
      </c>
      <c r="BA17" s="58"/>
      <c r="BB17" s="58"/>
      <c r="BC17" s="15"/>
      <c r="BD17" s="57">
        <f t="shared" si="14"/>
        <v>230000</v>
      </c>
      <c r="BE17" s="82" t="s">
        <v>186</v>
      </c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6"/>
        <v>-10000</v>
      </c>
      <c r="D18" s="9">
        <v>350000</v>
      </c>
      <c r="E18" s="9">
        <v>0</v>
      </c>
      <c r="F18" s="9">
        <v>0</v>
      </c>
      <c r="G18" s="5">
        <f t="shared" si="15"/>
        <v>0</v>
      </c>
      <c r="H18" s="10" t="str">
        <f t="shared" si="0"/>
        <v>BANQUE</v>
      </c>
      <c r="I18" s="10">
        <f>10000-2000</f>
        <v>8000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202000</v>
      </c>
      <c r="S18" s="20"/>
      <c r="T18" s="12"/>
      <c r="U18" s="17">
        <f t="shared" si="8"/>
        <v>360000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9"/>
        <v>33000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200000</v>
      </c>
      <c r="AZ18" s="16">
        <f t="shared" si="13"/>
        <v>200000</v>
      </c>
      <c r="BA18" s="58"/>
      <c r="BB18" s="58"/>
      <c r="BC18" s="15"/>
      <c r="BD18" s="57">
        <f t="shared" si="14"/>
        <v>200000</v>
      </c>
      <c r="BE18" s="82" t="s">
        <v>186</v>
      </c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>
        <v>50000</v>
      </c>
      <c r="C19" s="5">
        <f t="shared" si="6"/>
        <v>0</v>
      </c>
      <c r="D19" s="9">
        <v>50000</v>
      </c>
      <c r="E19" s="9">
        <v>0</v>
      </c>
      <c r="F19" s="9">
        <v>0</v>
      </c>
      <c r="G19" s="5">
        <f t="shared" si="15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6"/>
        <v>-101500</v>
      </c>
      <c r="D20" s="9">
        <v>528000</v>
      </c>
      <c r="E20" s="9">
        <v>0</v>
      </c>
      <c r="F20" s="9">
        <v>0</v>
      </c>
      <c r="G20" s="5">
        <f t="shared" si="15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0</v>
      </c>
      <c r="Q20" s="2">
        <v>202500</v>
      </c>
      <c r="R20" s="2">
        <v>202000</v>
      </c>
      <c r="S20" s="20"/>
      <c r="T20" s="12"/>
      <c r="U20" s="17">
        <f t="shared" si="8"/>
        <v>629500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200000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200000</v>
      </c>
      <c r="AY20" s="15">
        <f t="shared" si="12"/>
        <v>200000</v>
      </c>
      <c r="AZ20" s="16">
        <f t="shared" si="13"/>
        <v>400000</v>
      </c>
      <c r="BA20" s="58"/>
      <c r="BB20" s="58"/>
      <c r="BC20" s="15"/>
      <c r="BD20" s="57">
        <f t="shared" si="14"/>
        <v>400000</v>
      </c>
      <c r="BE20" s="82" t="s">
        <v>186</v>
      </c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6"/>
        <v>0</v>
      </c>
      <c r="D21" s="9">
        <v>50000</v>
      </c>
      <c r="E21" s="9">
        <v>0</v>
      </c>
      <c r="F21" s="9">
        <v>0</v>
      </c>
      <c r="G21" s="5">
        <f t="shared" si="15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6"/>
        <v>0</v>
      </c>
      <c r="D22" s="9">
        <v>125000</v>
      </c>
      <c r="E22" s="9">
        <v>0</v>
      </c>
      <c r="F22" s="9">
        <v>0</v>
      </c>
      <c r="G22" s="5">
        <f t="shared" si="15"/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>
        <v>0</v>
      </c>
      <c r="S22" s="20"/>
      <c r="T22" s="12"/>
      <c r="U22" s="17">
        <f t="shared" si="8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>
        <v>250000</v>
      </c>
      <c r="C23" s="5">
        <f t="shared" si="6"/>
        <v>0</v>
      </c>
      <c r="D23" s="9">
        <v>462000</v>
      </c>
      <c r="E23" s="9">
        <v>0</v>
      </c>
      <c r="F23" s="9">
        <v>0</v>
      </c>
      <c r="G23" s="5">
        <f t="shared" si="15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>
        <v>0</v>
      </c>
      <c r="R23" s="2">
        <v>202000</v>
      </c>
      <c r="S23" s="20"/>
      <c r="T23" s="12"/>
      <c r="U23" s="17">
        <f t="shared" si="8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200000</v>
      </c>
      <c r="AZ23" s="16">
        <f t="shared" si="13"/>
        <v>200000</v>
      </c>
      <c r="BA23" s="58"/>
      <c r="BB23" s="58"/>
      <c r="BC23" s="15"/>
      <c r="BD23" s="57">
        <f t="shared" si="14"/>
        <v>200000</v>
      </c>
      <c r="BE23" s="82" t="s">
        <v>186</v>
      </c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6"/>
        <v>0</v>
      </c>
      <c r="D24" s="9">
        <v>442000</v>
      </c>
      <c r="E24" s="9">
        <v>0</v>
      </c>
      <c r="F24" s="9">
        <v>0</v>
      </c>
      <c r="G24" s="5">
        <f t="shared" si="15"/>
        <v>0</v>
      </c>
      <c r="H24" s="10" t="str">
        <f t="shared" si="0"/>
        <v>BANQUE</v>
      </c>
      <c r="I24" s="10">
        <f>15000-6000+6000</f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202000</v>
      </c>
      <c r="S24" s="20"/>
      <c r="T24" s="12"/>
      <c r="U24" s="17">
        <f t="shared" si="8"/>
        <v>442000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202000</v>
      </c>
      <c r="AL24" s="12"/>
      <c r="AM24" s="12"/>
      <c r="AN24" s="12">
        <v>4000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202000</v>
      </c>
      <c r="AZ24" s="16">
        <f t="shared" si="13"/>
        <v>202000</v>
      </c>
      <c r="BA24" s="58"/>
      <c r="BB24" s="58"/>
      <c r="BC24" s="15"/>
      <c r="BD24" s="57">
        <f>IF(AZ24=0,(AZ24-BA24-BC24),(AZ24-BA24-BB24-BC24))-202000</f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6"/>
        <v>0</v>
      </c>
      <c r="D25" s="9">
        <v>605000</v>
      </c>
      <c r="E25" s="9">
        <v>0</v>
      </c>
      <c r="F25" s="9">
        <v>0</v>
      </c>
      <c r="G25" s="5">
        <f t="shared" si="15"/>
        <v>0</v>
      </c>
      <c r="H25" s="10" t="str">
        <f t="shared" si="0"/>
        <v>BANQUE</v>
      </c>
      <c r="I25" s="10">
        <f>-9500+6000</f>
        <v>-3500</v>
      </c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31000</v>
      </c>
      <c r="Q25" s="2">
        <v>101500</v>
      </c>
      <c r="R25" s="2">
        <v>101000</v>
      </c>
      <c r="S25" s="20"/>
      <c r="T25" s="12"/>
      <c r="U25" s="17">
        <f t="shared" si="8"/>
        <v>605000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82000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21500</v>
      </c>
      <c r="AT25" s="15"/>
      <c r="AV25" s="15"/>
      <c r="AW25" s="15">
        <f t="shared" si="10"/>
        <v>0</v>
      </c>
      <c r="AX25" s="15">
        <f t="shared" si="11"/>
        <v>82000</v>
      </c>
      <c r="AY25" s="15">
        <f t="shared" si="12"/>
        <v>0</v>
      </c>
      <c r="AZ25" s="16">
        <f t="shared" si="13"/>
        <v>82000</v>
      </c>
      <c r="BA25" s="58"/>
      <c r="BB25" s="58"/>
      <c r="BC25" s="15"/>
      <c r="BD25" s="57">
        <f t="shared" si="14"/>
        <v>82000</v>
      </c>
      <c r="BE25" s="82" t="s">
        <v>186</v>
      </c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>
        <v>50000</v>
      </c>
      <c r="C26" s="5">
        <f t="shared" si="6"/>
        <v>0</v>
      </c>
      <c r="D26" s="9">
        <v>50000</v>
      </c>
      <c r="E26" s="9">
        <v>0</v>
      </c>
      <c r="F26" s="9">
        <v>0</v>
      </c>
      <c r="G26" s="5">
        <f t="shared" si="15"/>
        <v>0</v>
      </c>
      <c r="H26" s="10" t="str">
        <f t="shared" si="0"/>
        <v>BANQUE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0</v>
      </c>
      <c r="Q26" s="2">
        <v>0</v>
      </c>
      <c r="R26" s="2">
        <v>0</v>
      </c>
      <c r="S26" s="20"/>
      <c r="T26" s="12"/>
      <c r="U26" s="17">
        <f t="shared" si="8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/>
      <c r="BB26" s="58"/>
      <c r="BC26" s="15"/>
      <c r="BD26" s="57">
        <f t="shared" si="14"/>
        <v>60000</v>
      </c>
      <c r="BE26" s="82" t="s">
        <v>186</v>
      </c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6"/>
        <v>0</v>
      </c>
      <c r="D27" s="9">
        <v>50000</v>
      </c>
      <c r="E27" s="9">
        <v>0</v>
      </c>
      <c r="F27" s="9">
        <v>0</v>
      </c>
      <c r="G27" s="5">
        <f t="shared" si="15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>
        <v>0</v>
      </c>
      <c r="R27" s="2">
        <v>0</v>
      </c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100000</v>
      </c>
      <c r="BA27" s="58"/>
      <c r="BB27" s="58"/>
      <c r="BC27" s="15"/>
      <c r="BD27" s="57">
        <f t="shared" si="14"/>
        <v>100000</v>
      </c>
      <c r="BE27" s="82" t="s">
        <v>186</v>
      </c>
      <c r="BF27" s="29">
        <f t="shared" si="5"/>
        <v>0</v>
      </c>
      <c r="BG27" s="29">
        <v>4</v>
      </c>
      <c r="BH27" s="15"/>
      <c r="BI27" s="15"/>
      <c r="BJ27" s="15"/>
      <c r="BK27" s="15">
        <v>100000</v>
      </c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6"/>
        <v>0</v>
      </c>
      <c r="D28" s="9">
        <v>125000</v>
      </c>
      <c r="E28" s="9">
        <v>0</v>
      </c>
      <c r="F28" s="9">
        <v>0</v>
      </c>
      <c r="G28" s="5">
        <f t="shared" si="15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297500</v>
      </c>
      <c r="AX28" s="15">
        <f t="shared" si="11"/>
        <v>892500</v>
      </c>
      <c r="AY28" s="15">
        <f t="shared" si="12"/>
        <v>0</v>
      </c>
      <c r="AZ28" s="16">
        <f t="shared" si="13"/>
        <v>1190000</v>
      </c>
      <c r="BA28" s="58"/>
      <c r="BB28" s="58"/>
      <c r="BC28" s="15"/>
      <c r="BD28" s="57">
        <f t="shared" si="14"/>
        <v>1190000</v>
      </c>
      <c r="BE28" s="82" t="s">
        <v>186</v>
      </c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69" ht="18.5" x14ac:dyDescent="0.45">
      <c r="A29" s="1" t="s">
        <v>159</v>
      </c>
      <c r="B29" s="1">
        <v>50000</v>
      </c>
      <c r="C29" s="5">
        <f t="shared" si="6"/>
        <v>0</v>
      </c>
      <c r="D29" s="9">
        <v>105000</v>
      </c>
      <c r="E29" s="9">
        <v>0</v>
      </c>
      <c r="F29" s="9">
        <v>0</v>
      </c>
      <c r="G29" s="5">
        <f t="shared" si="15"/>
        <v>0</v>
      </c>
      <c r="H29" s="10" t="str">
        <f t="shared" si="0"/>
        <v>BANQUE</v>
      </c>
      <c r="I29" s="10">
        <v>-1000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56000</v>
      </c>
      <c r="Q29" s="2">
        <v>0</v>
      </c>
      <c r="R29" s="2">
        <v>0</v>
      </c>
      <c r="S29" s="20"/>
      <c r="T29" s="12"/>
      <c r="U29" s="17">
        <f t="shared" si="8"/>
        <v>105000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60000</v>
      </c>
      <c r="AJ29" s="12"/>
      <c r="AK29" s="12"/>
      <c r="AL29" s="12">
        <v>1000</v>
      </c>
      <c r="AM29" s="12"/>
      <c r="AN29" s="12"/>
      <c r="AO29" s="12"/>
      <c r="AP29" s="12" t="s">
        <v>8</v>
      </c>
      <c r="AQ29" s="8">
        <f t="shared" si="3"/>
        <v>0</v>
      </c>
      <c r="AR29" s="8">
        <f t="shared" si="4"/>
        <v>0</v>
      </c>
      <c r="AS29" s="13">
        <f t="shared" si="9"/>
        <v>24000</v>
      </c>
      <c r="AT29" s="15"/>
      <c r="AV29" s="15"/>
      <c r="AW29" s="15">
        <f t="shared" si="10"/>
        <v>60000</v>
      </c>
      <c r="AX29" s="15">
        <f t="shared" si="11"/>
        <v>0</v>
      </c>
      <c r="AY29" s="15">
        <f t="shared" si="12"/>
        <v>0</v>
      </c>
      <c r="AZ29" s="16">
        <f t="shared" si="13"/>
        <v>60000</v>
      </c>
      <c r="BA29" s="58"/>
      <c r="BB29" s="58"/>
      <c r="BC29" s="15"/>
      <c r="BD29" s="57">
        <f t="shared" si="14"/>
        <v>60000</v>
      </c>
      <c r="BE29" s="82" t="s">
        <v>186</v>
      </c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6"/>
        <v>0</v>
      </c>
      <c r="D30" s="9">
        <v>250000</v>
      </c>
      <c r="E30" s="9">
        <v>0</v>
      </c>
      <c r="F30" s="9">
        <v>0</v>
      </c>
      <c r="G30" s="5">
        <f t="shared" si="15"/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>
        <v>0</v>
      </c>
      <c r="R30" s="2">
        <v>0</v>
      </c>
      <c r="S30" s="20"/>
      <c r="T30" s="12"/>
      <c r="U30" s="17">
        <f t="shared" si="8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6"/>
        <v>0</v>
      </c>
      <c r="D31" s="9">
        <v>150000</v>
      </c>
      <c r="E31" s="9">
        <v>0</v>
      </c>
      <c r="F31" s="9">
        <v>0</v>
      </c>
      <c r="G31" s="5">
        <f t="shared" si="15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>
        <v>0</v>
      </c>
      <c r="R31" s="2"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6"/>
        <v>0</v>
      </c>
      <c r="D32" s="9">
        <v>226000</v>
      </c>
      <c r="E32" s="9">
        <v>0</v>
      </c>
      <c r="F32" s="9">
        <v>0</v>
      </c>
      <c r="G32" s="5">
        <f t="shared" si="15"/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101000</v>
      </c>
      <c r="R32" s="2">
        <v>0</v>
      </c>
      <c r="S32" s="20"/>
      <c r="T32" s="12"/>
      <c r="U32" s="17">
        <f t="shared" si="8"/>
        <v>226000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200000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200000</v>
      </c>
      <c r="AY32" s="15">
        <f t="shared" si="12"/>
        <v>0</v>
      </c>
      <c r="AZ32" s="16">
        <f t="shared" si="13"/>
        <v>200000</v>
      </c>
      <c r="BA32" s="58"/>
      <c r="BB32" s="58"/>
      <c r="BC32" s="15"/>
      <c r="BD32" s="57">
        <f t="shared" si="14"/>
        <v>200000</v>
      </c>
      <c r="BE32" s="82" t="s">
        <v>186</v>
      </c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5">
        <f t="shared" si="6"/>
        <v>0</v>
      </c>
      <c r="D33" s="9">
        <v>160000</v>
      </c>
      <c r="E33" s="9">
        <v>0</v>
      </c>
      <c r="F33" s="9">
        <v>0</v>
      </c>
      <c r="G33" s="5">
        <f t="shared" si="15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si="6"/>
        <v>0</v>
      </c>
      <c r="D34" s="9">
        <v>0</v>
      </c>
      <c r="E34" s="9">
        <v>0</v>
      </c>
      <c r="F34" s="9">
        <v>0</v>
      </c>
      <c r="G34" s="5">
        <f t="shared" si="15"/>
        <v>0</v>
      </c>
      <c r="H34" s="10" t="str">
        <f t="shared" si="0"/>
        <v>ECHEC</v>
      </c>
      <c r="I34" s="10"/>
      <c r="J34" s="11">
        <v>1</v>
      </c>
      <c r="K34" s="11">
        <f t="shared" si="7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8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6"/>
        <v>0</v>
      </c>
      <c r="D35" s="9">
        <v>60000</v>
      </c>
      <c r="E35" s="9">
        <v>0</v>
      </c>
      <c r="F35" s="9">
        <v>0</v>
      </c>
      <c r="G35" s="5">
        <f t="shared" si="15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>
        <v>0</v>
      </c>
      <c r="R35" s="2">
        <v>0</v>
      </c>
      <c r="S35" s="20"/>
      <c r="T35" s="12"/>
      <c r="U35" s="17">
        <f t="shared" si="8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6"/>
        <v>0</v>
      </c>
      <c r="D36" s="9">
        <v>50000</v>
      </c>
      <c r="E36" s="9">
        <v>0</v>
      </c>
      <c r="F36" s="9">
        <v>0</v>
      </c>
      <c r="G36" s="5">
        <f t="shared" si="15"/>
        <v>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</row>
    <row r="37" spans="1:69" ht="18.5" x14ac:dyDescent="0.45">
      <c r="A37" s="1" t="s">
        <v>193</v>
      </c>
      <c r="B37" s="1">
        <v>150000</v>
      </c>
      <c r="C37" s="5">
        <f t="shared" si="6"/>
        <v>0</v>
      </c>
      <c r="D37" s="9">
        <v>150000</v>
      </c>
      <c r="E37" s="9">
        <v>0</v>
      </c>
      <c r="F37" s="9">
        <v>0</v>
      </c>
      <c r="G37" s="5">
        <f t="shared" si="15"/>
        <v>0</v>
      </c>
      <c r="H37" s="10" t="str">
        <f t="shared" si="0"/>
        <v>BANQUE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f t="shared" si="15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-103500</v>
      </c>
      <c r="D40" s="5">
        <f t="shared" si="16"/>
        <v>6348000</v>
      </c>
      <c r="E40" s="5">
        <f t="shared" si="16"/>
        <v>0</v>
      </c>
      <c r="F40" s="5">
        <f t="shared" si="16"/>
        <v>0</v>
      </c>
      <c r="G40" s="5">
        <f t="shared" si="16"/>
        <v>3000</v>
      </c>
      <c r="H40" s="5">
        <f t="shared" si="16"/>
        <v>0</v>
      </c>
      <c r="I40" s="5">
        <f t="shared" si="16"/>
        <v>69500</v>
      </c>
      <c r="J40" s="5">
        <f t="shared" si="16"/>
        <v>32</v>
      </c>
      <c r="K40" s="5">
        <f t="shared" si="16"/>
        <v>1550000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87000</v>
      </c>
      <c r="Q40" s="5">
        <f t="shared" si="16"/>
        <v>576000</v>
      </c>
      <c r="R40" s="5">
        <f t="shared" si="16"/>
        <v>1166000</v>
      </c>
      <c r="S40" s="5">
        <f t="shared" si="16"/>
        <v>0</v>
      </c>
      <c r="T40" s="5"/>
      <c r="U40" s="5">
        <f t="shared" ref="U40:AA40" si="17">SUM(U6:U39)</f>
        <v>6451500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5000</v>
      </c>
      <c r="AD40" s="5">
        <f>SUM(AD6:AD39)</f>
        <v>7500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267000</v>
      </c>
      <c r="AJ40" s="5">
        <f t="shared" si="18"/>
        <v>883500</v>
      </c>
      <c r="AK40" s="5">
        <f t="shared" si="18"/>
        <v>1302000</v>
      </c>
      <c r="AL40" s="5">
        <f t="shared" si="18"/>
        <v>4500</v>
      </c>
      <c r="AM40" s="5">
        <f t="shared" si="18"/>
        <v>9000</v>
      </c>
      <c r="AN40" s="5">
        <f t="shared" si="18"/>
        <v>15000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844500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862000</v>
      </c>
      <c r="AX40" s="5">
        <f t="shared" si="18"/>
        <v>1776000</v>
      </c>
      <c r="AY40" s="5">
        <f t="shared" si="18"/>
        <v>1302000</v>
      </c>
      <c r="AZ40" s="5">
        <f t="shared" si="18"/>
        <v>4033750</v>
      </c>
      <c r="BA40" s="5">
        <f t="shared" si="18"/>
        <v>50000</v>
      </c>
      <c r="BB40" s="5">
        <f t="shared" si="18"/>
        <v>0</v>
      </c>
      <c r="BC40" s="5">
        <f t="shared" si="18"/>
        <v>0</v>
      </c>
      <c r="BD40" s="5">
        <f t="shared" si="18"/>
        <v>3680250</v>
      </c>
      <c r="BE40" s="5">
        <f t="shared" si="18"/>
        <v>0</v>
      </c>
      <c r="BF40" s="5">
        <f t="shared" si="18"/>
        <v>20000</v>
      </c>
      <c r="BH40" s="5">
        <f t="shared" ref="BH40:BL40" si="19">SUM(BH6:BH39)</f>
        <v>6000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7750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  <c r="BD42" s="5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4033750</v>
      </c>
      <c r="D47" s="9">
        <f>SUMIFS(D8:D40,H8:H40,"BANQUE")</f>
        <v>6123000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8004500</v>
      </c>
    </row>
  </sheetData>
  <autoFilter ref="A5:AF38" xr:uid="{00000000-0009-0000-0000-00000B000000}"/>
  <mergeCells count="1">
    <mergeCell ref="B4:M4"/>
  </mergeCells>
  <dataValidations count="1">
    <dataValidation type="list" allowBlank="1" showInputMessage="1" showErrorMessage="1" sqref="T6:T38 AA6:AA38 AF6:AF38 AP6:AP38" xr:uid="{00000000-0002-0000-0B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85"/>
  <sheetViews>
    <sheetView zoomScaleNormal="100" workbookViewId="0">
      <pane xSplit="4" ySplit="5" topLeftCell="F30" activePane="bottomRight" state="frozen"/>
      <selection pane="topRight" activeCell="E1" sqref="E1"/>
      <selection pane="bottomLeft" activeCell="A6" sqref="A6"/>
      <selection pane="bottomRight" activeCell="I33" sqref="I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70" x14ac:dyDescent="0.35">
      <c r="A1" s="1" t="s">
        <v>2</v>
      </c>
      <c r="B1" s="1" t="s">
        <v>3</v>
      </c>
      <c r="C1" s="1"/>
    </row>
    <row r="2" spans="1:70" x14ac:dyDescent="0.35">
      <c r="A2" s="1" t="s">
        <v>4</v>
      </c>
      <c r="B2" s="1">
        <v>2024</v>
      </c>
      <c r="C2" s="1"/>
    </row>
    <row r="3" spans="1:70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70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70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  <c r="BR5" s="4" t="s">
        <v>209</v>
      </c>
    </row>
    <row r="6" spans="1:70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6000</v>
      </c>
      <c r="BA6" s="58"/>
      <c r="BB6" s="58"/>
      <c r="BC6" s="15"/>
      <c r="BD6" s="57">
        <f>IF(AZ6=0,(AZ6-BA6-BC6),(AZ6-BA6-BB6-BC6))</f>
        <v>6000</v>
      </c>
      <c r="BE6" s="82" t="s">
        <v>186</v>
      </c>
      <c r="BF6" s="29">
        <f t="shared" ref="BF6:BF38" si="5">Z6*1/100*BG6</f>
        <v>0</v>
      </c>
      <c r="BG6" s="29">
        <v>3</v>
      </c>
      <c r="BH6" s="15">
        <f>BQ16</f>
        <v>6000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70" ht="18.5" x14ac:dyDescent="0.45">
      <c r="A7" s="1" t="s">
        <v>161</v>
      </c>
      <c r="B7" s="1">
        <v>50000</v>
      </c>
      <c r="C7" s="5">
        <f t="shared" ref="C7:C38" si="6">D7+E7+F7-U7-BB7</f>
        <v>0</v>
      </c>
      <c r="D7" s="9">
        <v>0</v>
      </c>
      <c r="E7" s="9">
        <v>110000</v>
      </c>
      <c r="F7" s="9"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-1000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58000</v>
      </c>
      <c r="Q7" s="2">
        <v>0</v>
      </c>
      <c r="R7" s="2">
        <v>0</v>
      </c>
      <c r="S7" s="20"/>
      <c r="T7" s="12"/>
      <c r="U7" s="17">
        <f t="shared" ref="U7:U38" si="9">G7+S7++R7+P7+O7+M7+I7+K7+Q7+V7+W7</f>
        <v>110000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24000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70" ht="18.5" x14ac:dyDescent="0.45">
      <c r="A8" s="1" t="s">
        <v>12</v>
      </c>
      <c r="B8" s="1">
        <v>125000</v>
      </c>
      <c r="C8" s="5">
        <f t="shared" si="6"/>
        <v>0</v>
      </c>
      <c r="D8" s="9">
        <v>0</v>
      </c>
      <c r="E8" s="9">
        <v>128000</v>
      </c>
      <c r="F8" s="9">
        <v>0</v>
      </c>
      <c r="G8" s="5">
        <f t="shared" si="7"/>
        <v>3000</v>
      </c>
      <c r="H8" s="10" t="str">
        <f t="shared" si="0"/>
        <v>ESPECES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/>
      <c r="T8" s="12"/>
      <c r="U8" s="17">
        <f t="shared" si="9"/>
        <v>128000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892500</v>
      </c>
      <c r="AY8" s="15">
        <f t="shared" si="13"/>
        <v>0</v>
      </c>
      <c r="AZ8" s="16">
        <f t="shared" si="14"/>
        <v>892500</v>
      </c>
      <c r="BA8" s="58"/>
      <c r="BB8" s="58"/>
      <c r="BC8" s="15"/>
      <c r="BD8" s="57">
        <f t="shared" si="15"/>
        <v>892500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70" ht="18.5" x14ac:dyDescent="0.45">
      <c r="A9" s="1" t="s">
        <v>13</v>
      </c>
      <c r="B9" s="1">
        <v>250000</v>
      </c>
      <c r="C9" s="5">
        <f t="shared" si="6"/>
        <v>0</v>
      </c>
      <c r="D9" s="9">
        <v>356000</v>
      </c>
      <c r="E9" s="9">
        <v>0</v>
      </c>
      <c r="F9" s="9">
        <v>0</v>
      </c>
      <c r="G9" s="5">
        <f t="shared" si="7"/>
        <v>0</v>
      </c>
      <c r="H9" s="10" t="str">
        <f t="shared" si="0"/>
        <v>BANQUE</v>
      </c>
      <c r="I9" s="10">
        <v>5000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101000</v>
      </c>
      <c r="S9" s="20"/>
      <c r="T9" s="12"/>
      <c r="U9" s="17">
        <f t="shared" si="9"/>
        <v>356000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3000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30000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200000</v>
      </c>
      <c r="AZ9" s="16">
        <f t="shared" si="14"/>
        <v>200000</v>
      </c>
      <c r="BA9" s="58"/>
      <c r="BB9" s="58"/>
      <c r="BC9" s="15"/>
      <c r="BD9" s="57">
        <f t="shared" si="15"/>
        <v>200000</v>
      </c>
      <c r="BE9" s="82" t="s">
        <v>186</v>
      </c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70" ht="18.5" x14ac:dyDescent="0.45">
      <c r="A10" s="1" t="s">
        <v>14</v>
      </c>
      <c r="B10" s="1">
        <v>50000</v>
      </c>
      <c r="C10" s="5">
        <f t="shared" si="6"/>
        <v>0</v>
      </c>
      <c r="D10" s="9">
        <v>0</v>
      </c>
      <c r="E10" s="9">
        <v>290000</v>
      </c>
      <c r="F10" s="9">
        <v>0</v>
      </c>
      <c r="G10" s="5">
        <f t="shared" si="7"/>
        <v>3000</v>
      </c>
      <c r="H10" s="10" t="str">
        <f t="shared" si="0"/>
        <v>ESPECES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61000</v>
      </c>
      <c r="Q10" s="2">
        <v>101000</v>
      </c>
      <c r="R10" s="2">
        <v>0</v>
      </c>
      <c r="S10" s="20"/>
      <c r="T10" s="12"/>
      <c r="U10" s="17">
        <f t="shared" si="9"/>
        <v>290000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>
        <v>50000</v>
      </c>
      <c r="AK10" s="12"/>
      <c r="AL10" s="12">
        <v>1000</v>
      </c>
      <c r="AM10" s="12">
        <v>1000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50000</v>
      </c>
      <c r="AY10" s="15">
        <f t="shared" si="13"/>
        <v>0</v>
      </c>
      <c r="AZ10" s="16">
        <f t="shared" si="14"/>
        <v>110000</v>
      </c>
      <c r="BA10" s="58">
        <v>110000</v>
      </c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70" ht="18.5" x14ac:dyDescent="0.45">
      <c r="A11" s="1" t="s">
        <v>15</v>
      </c>
      <c r="B11" s="1">
        <v>125000</v>
      </c>
      <c r="C11" s="5">
        <f t="shared" si="6"/>
        <v>0</v>
      </c>
      <c r="D11" s="9">
        <v>230000</v>
      </c>
      <c r="E11" s="9">
        <v>0</v>
      </c>
      <c r="F11" s="9">
        <v>0</v>
      </c>
      <c r="G11" s="5">
        <f t="shared" si="7"/>
        <v>0</v>
      </c>
      <c r="H11" s="10" t="str">
        <f t="shared" si="0"/>
        <v>BANQUE</v>
      </c>
      <c r="I11" s="10">
        <v>2500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102500</v>
      </c>
      <c r="R11" s="2">
        <v>0</v>
      </c>
      <c r="S11" s="20"/>
      <c r="T11" s="12"/>
      <c r="U11" s="17">
        <f t="shared" si="9"/>
        <v>230000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50000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27500</v>
      </c>
      <c r="AT11" s="15"/>
      <c r="AV11" s="15"/>
      <c r="AW11" s="15">
        <f t="shared" si="11"/>
        <v>0</v>
      </c>
      <c r="AX11" s="15">
        <f t="shared" si="12"/>
        <v>50000</v>
      </c>
      <c r="AY11" s="15">
        <f t="shared" si="13"/>
        <v>0</v>
      </c>
      <c r="AZ11" s="16">
        <f t="shared" si="14"/>
        <v>50000</v>
      </c>
      <c r="BA11" s="58">
        <v>50000</v>
      </c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70" ht="18.5" x14ac:dyDescent="0.45">
      <c r="A12" s="1" t="s">
        <v>16</v>
      </c>
      <c r="B12" s="1">
        <v>250000</v>
      </c>
      <c r="C12" s="5">
        <f t="shared" si="6"/>
        <v>0</v>
      </c>
      <c r="D12" s="9">
        <v>532000</v>
      </c>
      <c r="E12" s="9">
        <v>0</v>
      </c>
      <c r="F12" s="9"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202000</v>
      </c>
      <c r="S12" s="20"/>
      <c r="T12" s="12"/>
      <c r="U12" s="17">
        <f t="shared" si="9"/>
        <v>532000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3000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200000</v>
      </c>
      <c r="AZ12" s="16">
        <f t="shared" si="14"/>
        <v>200000</v>
      </c>
      <c r="BA12" s="58"/>
      <c r="BB12" s="58"/>
      <c r="BC12" s="15"/>
      <c r="BD12" s="57">
        <f t="shared" si="15"/>
        <v>200000</v>
      </c>
      <c r="BE12" s="82" t="s">
        <v>186</v>
      </c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70" ht="18.5" x14ac:dyDescent="0.45">
      <c r="A13" s="1" t="s">
        <v>17</v>
      </c>
      <c r="B13" s="1">
        <v>50000</v>
      </c>
      <c r="C13" s="5">
        <f t="shared" si="6"/>
        <v>0</v>
      </c>
      <c r="D13" s="9">
        <v>50000</v>
      </c>
      <c r="E13" s="9">
        <v>0</v>
      </c>
      <c r="F13" s="9"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70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70" ht="18.5" x14ac:dyDescent="0.45">
      <c r="A15" s="1" t="s">
        <v>20</v>
      </c>
      <c r="B15" s="1">
        <v>125000</v>
      </c>
      <c r="C15" s="5">
        <f t="shared" si="6"/>
        <v>0</v>
      </c>
      <c r="D15" s="9">
        <v>125000</v>
      </c>
      <c r="E15" s="9">
        <v>0</v>
      </c>
      <c r="F15" s="9"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Q15" s="6"/>
    </row>
    <row r="16" spans="1:70" ht="18.5" x14ac:dyDescent="0.45">
      <c r="A16" s="1" t="s">
        <v>21</v>
      </c>
      <c r="B16" s="1">
        <v>250000</v>
      </c>
      <c r="C16" s="5">
        <f t="shared" si="6"/>
        <v>0</v>
      </c>
      <c r="D16" s="9">
        <v>452000</v>
      </c>
      <c r="E16" s="9">
        <v>0</v>
      </c>
      <c r="F16" s="9">
        <v>0</v>
      </c>
      <c r="G16" s="5">
        <f t="shared" si="7"/>
        <v>0</v>
      </c>
      <c r="H16" s="10" t="str">
        <f t="shared" si="0"/>
        <v>BANQUE</v>
      </c>
      <c r="I16" s="10">
        <v>25000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202000</v>
      </c>
      <c r="R16" s="2">
        <v>0</v>
      </c>
      <c r="S16" s="20"/>
      <c r="T16" s="12"/>
      <c r="U16" s="17">
        <f t="shared" si="9"/>
        <v>452000</v>
      </c>
      <c r="V16" s="12"/>
      <c r="W16" s="12"/>
      <c r="X16" s="12"/>
      <c r="Y16" s="12"/>
      <c r="Z16" s="12">
        <v>1000000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3500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50000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200000</v>
      </c>
      <c r="AZ16" s="16">
        <f t="shared" si="14"/>
        <v>1180000</v>
      </c>
      <c r="BA16" s="58"/>
      <c r="BB16" s="58"/>
      <c r="BC16" s="15"/>
      <c r="BD16" s="57">
        <f t="shared" si="15"/>
        <v>1180000</v>
      </c>
      <c r="BE16" s="82" t="s">
        <v>186</v>
      </c>
      <c r="BF16" s="29">
        <f t="shared" si="5"/>
        <v>20000</v>
      </c>
      <c r="BG16" s="29">
        <v>2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70" ht="18.5" x14ac:dyDescent="0.45">
      <c r="A17" s="1" t="s">
        <v>22</v>
      </c>
      <c r="B17" s="1">
        <v>150000</v>
      </c>
      <c r="C17" s="5">
        <f t="shared" si="6"/>
        <v>0</v>
      </c>
      <c r="D17" s="9">
        <v>170000</v>
      </c>
      <c r="E17" s="9">
        <v>210000</v>
      </c>
      <c r="F17" s="9">
        <v>0</v>
      </c>
      <c r="G17" s="5">
        <f>IF(H17="ESPECES",3000,0)+3000</f>
        <v>3000</v>
      </c>
      <c r="H17" s="10" t="str">
        <f t="shared" si="0"/>
        <v>BANQUE</v>
      </c>
      <c r="I17" s="10">
        <v>-5500</v>
      </c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30500</v>
      </c>
      <c r="Q17" s="2">
        <v>0</v>
      </c>
      <c r="R17" s="2">
        <v>202000</v>
      </c>
      <c r="S17" s="20"/>
      <c r="T17" s="12"/>
      <c r="U17" s="17">
        <f t="shared" si="9"/>
        <v>380000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2500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10"/>
        <v>19500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200000</v>
      </c>
      <c r="AZ17" s="16">
        <f t="shared" si="14"/>
        <v>200000</v>
      </c>
      <c r="BA17" s="58">
        <v>200000</v>
      </c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O17" s="62"/>
      <c r="BQ17" s="6"/>
    </row>
    <row r="18" spans="1:70" ht="18.5" x14ac:dyDescent="0.45">
      <c r="A18" s="1" t="s">
        <v>23</v>
      </c>
      <c r="B18" s="1">
        <v>150000</v>
      </c>
      <c r="C18" s="5">
        <f t="shared" si="6"/>
        <v>0</v>
      </c>
      <c r="D18" s="9">
        <v>362000</v>
      </c>
      <c r="E18" s="9">
        <v>0</v>
      </c>
      <c r="F18" s="9"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100000</v>
      </c>
      <c r="AZ18" s="16">
        <f t="shared" si="14"/>
        <v>100000</v>
      </c>
      <c r="BA18" s="58">
        <v>100000</v>
      </c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70" ht="18.5" x14ac:dyDescent="0.45">
      <c r="A19" s="1" t="s">
        <v>195</v>
      </c>
      <c r="B19" s="1">
        <v>50000</v>
      </c>
      <c r="C19" s="5">
        <f t="shared" si="6"/>
        <v>0</v>
      </c>
      <c r="D19" s="9">
        <v>50000</v>
      </c>
      <c r="E19" s="9">
        <v>0</v>
      </c>
      <c r="F19" s="9"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Q19" s="6"/>
    </row>
    <row r="20" spans="1:70" ht="18.5" x14ac:dyDescent="0.45">
      <c r="A20" s="1" t="s">
        <v>25</v>
      </c>
      <c r="B20" s="1">
        <v>225000</v>
      </c>
      <c r="C20" s="5">
        <f t="shared" si="6"/>
        <v>0</v>
      </c>
      <c r="D20" s="9">
        <v>629000</v>
      </c>
      <c r="E20" s="9">
        <v>0</v>
      </c>
      <c r="F20" s="9"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0</v>
      </c>
      <c r="Q20" s="2">
        <v>202000</v>
      </c>
      <c r="R20" s="2">
        <v>202000</v>
      </c>
      <c r="S20" s="20"/>
      <c r="T20" s="12"/>
      <c r="U20" s="17">
        <f t="shared" si="9"/>
        <v>629000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50000</v>
      </c>
      <c r="AK20" s="12">
        <v>200000</v>
      </c>
      <c r="AL20" s="12">
        <v>1000</v>
      </c>
      <c r="AM20" s="12">
        <v>1000</v>
      </c>
      <c r="AN20" s="12">
        <v>2500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60000</v>
      </c>
      <c r="AX20" s="15">
        <f t="shared" si="12"/>
        <v>50000</v>
      </c>
      <c r="AY20" s="15">
        <f t="shared" si="13"/>
        <v>200000</v>
      </c>
      <c r="AZ20" s="16">
        <f t="shared" si="14"/>
        <v>310000</v>
      </c>
      <c r="BA20" s="58">
        <v>150000</v>
      </c>
      <c r="BB20" s="58"/>
      <c r="BC20" s="15"/>
      <c r="BD20" s="57">
        <f t="shared" si="15"/>
        <v>160000</v>
      </c>
      <c r="BE20" s="82" t="s">
        <v>186</v>
      </c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Q20" s="6"/>
    </row>
    <row r="21" spans="1:70" ht="18.5" x14ac:dyDescent="0.45">
      <c r="A21" s="1" t="s">
        <v>26</v>
      </c>
      <c r="B21" s="1">
        <v>50000</v>
      </c>
      <c r="C21" s="5">
        <f t="shared" si="6"/>
        <v>0</v>
      </c>
      <c r="D21" s="9">
        <v>50000</v>
      </c>
      <c r="E21" s="9">
        <v>0</v>
      </c>
      <c r="F21" s="9"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Q21" s="6"/>
    </row>
    <row r="22" spans="1:70" ht="18.5" x14ac:dyDescent="0.45">
      <c r="A22" s="1" t="s">
        <v>27</v>
      </c>
      <c r="B22" s="1">
        <v>125000</v>
      </c>
      <c r="C22" s="5">
        <f t="shared" si="6"/>
        <v>0</v>
      </c>
      <c r="D22" s="9">
        <v>125000</v>
      </c>
      <c r="E22" s="9">
        <v>0</v>
      </c>
      <c r="F22" s="9"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>
        <v>0</v>
      </c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70" ht="18.5" x14ac:dyDescent="0.45">
      <c r="A23" s="1" t="s">
        <v>28</v>
      </c>
      <c r="B23" s="1">
        <v>250000</v>
      </c>
      <c r="C23" s="5">
        <f t="shared" si="6"/>
        <v>0</v>
      </c>
      <c r="D23" s="9">
        <v>462000</v>
      </c>
      <c r="E23" s="9">
        <v>0</v>
      </c>
      <c r="F23" s="9"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>
        <v>0</v>
      </c>
      <c r="R23" s="2"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2500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1390000</v>
      </c>
      <c r="AZ23" s="16">
        <f t="shared" si="14"/>
        <v>1390000</v>
      </c>
      <c r="BA23" s="58"/>
      <c r="BB23" s="58"/>
      <c r="BC23" s="15"/>
      <c r="BD23" s="57">
        <f t="shared" si="15"/>
        <v>1390000</v>
      </c>
      <c r="BE23" s="82" t="s">
        <v>186</v>
      </c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70" ht="18.5" x14ac:dyDescent="0.45">
      <c r="A24" s="1" t="s">
        <v>29</v>
      </c>
      <c r="B24" s="1">
        <v>225000</v>
      </c>
      <c r="C24" s="5">
        <f t="shared" si="6"/>
        <v>0</v>
      </c>
      <c r="D24" s="9">
        <v>240000</v>
      </c>
      <c r="E24" s="9">
        <v>209000</v>
      </c>
      <c r="F24" s="9">
        <v>0</v>
      </c>
      <c r="G24" s="5">
        <f>IF(H24="ESPECES",3000,0)+3000</f>
        <v>3000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206000</v>
      </c>
      <c r="S24" s="20"/>
      <c r="T24" s="12"/>
      <c r="U24" s="17">
        <f t="shared" si="9"/>
        <v>449000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200000</v>
      </c>
      <c r="AZ24" s="16">
        <f t="shared" si="14"/>
        <v>200000</v>
      </c>
      <c r="BA24" s="58"/>
      <c r="BB24" s="58"/>
      <c r="BC24" s="15"/>
      <c r="BD24" s="57">
        <f>IF(AZ24=0,(AZ24-BA24-BC24),(AZ24-BA24-BB24-BC24))-BR24</f>
        <v>0</v>
      </c>
      <c r="BE24" s="82" t="s">
        <v>186</v>
      </c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  <c r="BR24">
        <v>200000</v>
      </c>
    </row>
    <row r="25" spans="1:70" ht="18.5" x14ac:dyDescent="0.45">
      <c r="A25" s="1" t="s">
        <v>30</v>
      </c>
      <c r="B25" s="1">
        <v>250000</v>
      </c>
      <c r="C25" s="5">
        <f t="shared" si="6"/>
        <v>0</v>
      </c>
      <c r="D25" s="9">
        <v>458000</v>
      </c>
      <c r="E25" s="9">
        <v>0</v>
      </c>
      <c r="F25" s="9"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83000</v>
      </c>
      <c r="R25" s="2">
        <v>0</v>
      </c>
      <c r="S25" s="20"/>
      <c r="T25" s="12"/>
      <c r="U25" s="17">
        <f t="shared" si="9"/>
        <v>458000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>
        <v>50000</v>
      </c>
      <c r="AK25" s="12">
        <f>100000+100000</f>
        <v>200000</v>
      </c>
      <c r="AL25" s="12"/>
      <c r="AM25" s="12">
        <v>1000</v>
      </c>
      <c r="AN25" s="12">
        <v>3000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942500</v>
      </c>
      <c r="AY25" s="15">
        <f t="shared" si="13"/>
        <v>200000</v>
      </c>
      <c r="AZ25" s="16">
        <f t="shared" si="14"/>
        <v>1142500</v>
      </c>
      <c r="BA25" s="58">
        <v>150000</v>
      </c>
      <c r="BB25" s="58"/>
      <c r="BC25" s="15"/>
      <c r="BD25" s="57">
        <f t="shared" si="15"/>
        <v>992500</v>
      </c>
      <c r="BE25" s="82" t="s">
        <v>186</v>
      </c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70" ht="18.5" x14ac:dyDescent="0.45">
      <c r="A26" s="1" t="s">
        <v>31</v>
      </c>
      <c r="B26" s="1">
        <v>50000</v>
      </c>
      <c r="C26" s="5">
        <f t="shared" si="6"/>
        <v>0</v>
      </c>
      <c r="D26" s="9">
        <v>112000</v>
      </c>
      <c r="E26" s="9">
        <v>0</v>
      </c>
      <c r="F26" s="9">
        <v>0</v>
      </c>
      <c r="G26" s="5">
        <f t="shared" si="7"/>
        <v>0</v>
      </c>
      <c r="H26" s="10" t="str">
        <f t="shared" si="0"/>
        <v>BANQUE</v>
      </c>
      <c r="I26" s="10">
        <v>1000</v>
      </c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61000</v>
      </c>
      <c r="Q26" s="2">
        <v>0</v>
      </c>
      <c r="R26" s="2">
        <v>0</v>
      </c>
      <c r="S26" s="20"/>
      <c r="T26" s="12"/>
      <c r="U26" s="17">
        <f t="shared" si="9"/>
        <v>112000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10"/>
        <v>26000</v>
      </c>
      <c r="AT26" s="15"/>
      <c r="AV26" s="15"/>
      <c r="AW26" s="15">
        <f t="shared" si="11"/>
        <v>60000</v>
      </c>
      <c r="AX26" s="15">
        <f t="shared" si="12"/>
        <v>0</v>
      </c>
      <c r="AY26" s="15">
        <f t="shared" si="13"/>
        <v>0</v>
      </c>
      <c r="AZ26" s="16">
        <f t="shared" si="14"/>
        <v>60000</v>
      </c>
      <c r="BA26" s="58">
        <v>60000</v>
      </c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70" ht="18.5" x14ac:dyDescent="0.45">
      <c r="A27" s="1" t="s">
        <v>158</v>
      </c>
      <c r="B27" s="1">
        <v>50000</v>
      </c>
      <c r="C27" s="5">
        <f t="shared" si="6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>
        <v>0</v>
      </c>
      <c r="R27" s="2">
        <v>0</v>
      </c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Q27" s="6"/>
    </row>
    <row r="28" spans="1:70" ht="18.5" x14ac:dyDescent="0.45">
      <c r="A28" s="1" t="s">
        <v>34</v>
      </c>
      <c r="B28" s="1">
        <v>125000</v>
      </c>
      <c r="C28" s="5">
        <f t="shared" si="6"/>
        <v>0</v>
      </c>
      <c r="D28" s="9">
        <v>125000</v>
      </c>
      <c r="E28" s="9">
        <v>0</v>
      </c>
      <c r="F28" s="9"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</row>
    <row r="29" spans="1:70" ht="18.5" x14ac:dyDescent="0.45">
      <c r="A29" s="1" t="s">
        <v>159</v>
      </c>
      <c r="B29" s="1">
        <v>50000</v>
      </c>
      <c r="C29" s="5">
        <f t="shared" si="6"/>
        <v>0</v>
      </c>
      <c r="D29" s="9">
        <v>112000</v>
      </c>
      <c r="E29" s="9">
        <v>0</v>
      </c>
      <c r="F29" s="9">
        <v>0</v>
      </c>
      <c r="G29" s="5">
        <f t="shared" si="7"/>
        <v>0</v>
      </c>
      <c r="H29" s="10" t="str">
        <f t="shared" si="0"/>
        <v>BANQUE</v>
      </c>
      <c r="I29" s="10">
        <v>1000</v>
      </c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61000</v>
      </c>
      <c r="Q29" s="2">
        <v>0</v>
      </c>
      <c r="R29" s="2">
        <v>0</v>
      </c>
      <c r="S29" s="20"/>
      <c r="T29" s="12"/>
      <c r="U29" s="17">
        <f t="shared" si="9"/>
        <v>112000</v>
      </c>
      <c r="V29" s="12"/>
      <c r="W29" s="12"/>
      <c r="X29" s="12"/>
      <c r="Y29" s="12"/>
      <c r="Z29" s="12"/>
      <c r="AA29" s="12"/>
      <c r="AB29" s="12"/>
      <c r="AC29" s="12">
        <v>3000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 t="s">
        <v>8</v>
      </c>
      <c r="AQ29" s="8">
        <f t="shared" si="3"/>
        <v>0</v>
      </c>
      <c r="AR29" s="8">
        <f t="shared" si="4"/>
        <v>0</v>
      </c>
      <c r="AS29" s="13">
        <f t="shared" si="10"/>
        <v>26000</v>
      </c>
      <c r="AT29" s="15"/>
      <c r="AV29" s="15"/>
      <c r="AW29" s="15">
        <f t="shared" si="11"/>
        <v>297000</v>
      </c>
      <c r="AX29" s="15">
        <f t="shared" si="12"/>
        <v>0</v>
      </c>
      <c r="AY29" s="15">
        <f t="shared" si="13"/>
        <v>0</v>
      </c>
      <c r="AZ29" s="16">
        <f t="shared" si="14"/>
        <v>297000</v>
      </c>
      <c r="BA29" s="58"/>
      <c r="BB29" s="58"/>
      <c r="BC29" s="15"/>
      <c r="BD29" s="57">
        <f t="shared" si="15"/>
        <v>297000</v>
      </c>
      <c r="BE29" s="82" t="s">
        <v>186</v>
      </c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O29" s="62"/>
      <c r="BQ29" s="6"/>
    </row>
    <row r="30" spans="1:70" ht="18.5" x14ac:dyDescent="0.45">
      <c r="A30" s="1" t="s">
        <v>35</v>
      </c>
      <c r="B30" s="1">
        <v>250000</v>
      </c>
      <c r="C30" s="5">
        <f t="shared" si="6"/>
        <v>0</v>
      </c>
      <c r="D30" s="9">
        <v>250000</v>
      </c>
      <c r="E30" s="9">
        <v>0</v>
      </c>
      <c r="F30" s="9"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>
        <v>0</v>
      </c>
      <c r="R30" s="2"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>
        <v>200000</v>
      </c>
      <c r="AL30" s="12"/>
      <c r="AM30" s="12"/>
      <c r="AN30" s="12">
        <v>2000</v>
      </c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200000</v>
      </c>
      <c r="AZ30" s="16">
        <f t="shared" si="14"/>
        <v>200000</v>
      </c>
      <c r="BA30" s="58"/>
      <c r="BB30" s="58"/>
      <c r="BC30" s="15"/>
      <c r="BD30" s="57">
        <f t="shared" si="15"/>
        <v>200000</v>
      </c>
      <c r="BE30" s="82" t="s">
        <v>186</v>
      </c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70" ht="18.5" x14ac:dyDescent="0.45">
      <c r="A31" s="1" t="s">
        <v>37</v>
      </c>
      <c r="B31" s="1">
        <v>150000</v>
      </c>
      <c r="C31" s="5">
        <f t="shared" si="6"/>
        <v>0</v>
      </c>
      <c r="D31" s="9">
        <v>150000</v>
      </c>
      <c r="E31" s="9">
        <v>0</v>
      </c>
      <c r="F31" s="9"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>
        <v>0</v>
      </c>
      <c r="R31" s="2"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29500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29500</v>
      </c>
      <c r="AX31" s="15">
        <f t="shared" si="12"/>
        <v>0</v>
      </c>
      <c r="AY31" s="15">
        <f t="shared" si="13"/>
        <v>0</v>
      </c>
      <c r="AZ31" s="16">
        <f t="shared" si="14"/>
        <v>29500</v>
      </c>
      <c r="BA31" s="58">
        <v>29500</v>
      </c>
      <c r="BB31" s="58"/>
      <c r="BC31" s="15"/>
      <c r="BD31" s="57">
        <f t="shared" si="15"/>
        <v>0</v>
      </c>
      <c r="BE31" s="82" t="s">
        <v>186</v>
      </c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70" ht="18.5" x14ac:dyDescent="0.45">
      <c r="A32" s="1" t="s">
        <v>38</v>
      </c>
      <c r="B32" s="1">
        <v>125000</v>
      </c>
      <c r="C32" s="5">
        <f t="shared" si="6"/>
        <v>0</v>
      </c>
      <c r="D32" s="9">
        <v>327000</v>
      </c>
      <c r="E32" s="9">
        <v>0</v>
      </c>
      <c r="F32" s="9"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202000</v>
      </c>
      <c r="R32" s="2">
        <v>0</v>
      </c>
      <c r="S32" s="20"/>
      <c r="T32" s="12"/>
      <c r="U32" s="17">
        <f t="shared" si="9"/>
        <v>327000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>
        <f>57500-57500</f>
        <v>0</v>
      </c>
      <c r="AJ32" s="12">
        <f>50000+57500</f>
        <v>107500</v>
      </c>
      <c r="AK32" s="12"/>
      <c r="AL32" s="12">
        <f>1000-1000</f>
        <v>0</v>
      </c>
      <c r="AM32" s="12">
        <v>2000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107500</v>
      </c>
      <c r="AY32" s="15">
        <f t="shared" si="13"/>
        <v>0</v>
      </c>
      <c r="AZ32" s="16">
        <f t="shared" si="14"/>
        <v>107500</v>
      </c>
      <c r="BA32" s="58">
        <v>60500</v>
      </c>
      <c r="BB32" s="58"/>
      <c r="BC32" s="15"/>
      <c r="BD32" s="57">
        <f t="shared" si="15"/>
        <v>47000</v>
      </c>
      <c r="BE32" s="82" t="s">
        <v>186</v>
      </c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O32" t="s">
        <v>203</v>
      </c>
    </row>
    <row r="33" spans="1:70" ht="18.5" x14ac:dyDescent="0.45">
      <c r="A33" s="1" t="s">
        <v>194</v>
      </c>
      <c r="B33" s="1">
        <v>150000</v>
      </c>
      <c r="C33" s="5">
        <f t="shared" si="6"/>
        <v>-304000</v>
      </c>
      <c r="D33" s="9">
        <v>160000</v>
      </c>
      <c r="E33" s="9">
        <v>0</v>
      </c>
      <c r="F33" s="9">
        <v>0</v>
      </c>
      <c r="G33" s="5">
        <f t="shared" si="7"/>
        <v>0</v>
      </c>
      <c r="H33" s="10" t="str">
        <f t="shared" si="0"/>
        <v>BANQUE</v>
      </c>
      <c r="I33" s="10">
        <f>10000+164000</f>
        <v>174000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9"/>
        <v>324000</v>
      </c>
      <c r="V33" s="12"/>
      <c r="W33" s="12"/>
      <c r="X33" s="12"/>
      <c r="Y33" s="12"/>
      <c r="Z33" s="12"/>
      <c r="AA33" s="12"/>
      <c r="AB33" s="12"/>
      <c r="AC33" s="12">
        <v>6000</v>
      </c>
      <c r="AD33" s="12"/>
      <c r="AE33" s="12">
        <v>10000</v>
      </c>
      <c r="AF33" s="12" t="s">
        <v>8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199000</v>
      </c>
      <c r="AT33" s="15"/>
      <c r="AV33" s="15"/>
      <c r="AW33" s="15">
        <f t="shared" si="11"/>
        <v>294000</v>
      </c>
      <c r="AX33" s="15">
        <f t="shared" si="12"/>
        <v>0</v>
      </c>
      <c r="AY33" s="15">
        <f t="shared" si="13"/>
        <v>1190000</v>
      </c>
      <c r="AZ33" s="16">
        <f t="shared" si="14"/>
        <v>1484000</v>
      </c>
      <c r="BA33" s="58"/>
      <c r="BB33" s="58">
        <v>140000</v>
      </c>
      <c r="BC33" s="15"/>
      <c r="BD33" s="57">
        <f>IF(AZ33=0,(AZ33-BA33-BC33),(AZ33-BA33-BB33-BC33))-BR33</f>
        <v>1180000</v>
      </c>
      <c r="BE33" s="82" t="s">
        <v>186</v>
      </c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  <c r="BR33">
        <v>164000</v>
      </c>
    </row>
    <row r="34" spans="1:70" ht="18.5" x14ac:dyDescent="0.45">
      <c r="A34" s="1" t="s">
        <v>157</v>
      </c>
      <c r="B34" s="1">
        <v>50000</v>
      </c>
      <c r="C34" s="14">
        <f t="shared" si="6"/>
        <v>3750</v>
      </c>
      <c r="D34" s="9">
        <v>110000</v>
      </c>
      <c r="E34" s="9">
        <v>0</v>
      </c>
      <c r="F34" s="9">
        <v>0</v>
      </c>
      <c r="G34" s="5">
        <f t="shared" si="7"/>
        <v>0</v>
      </c>
      <c r="H34" s="10" t="str">
        <f t="shared" si="0"/>
        <v>BANQUE</v>
      </c>
      <c r="I34" s="10">
        <v>6250</v>
      </c>
      <c r="J34" s="11">
        <v>1</v>
      </c>
      <c r="K34" s="11">
        <f>IF($D34&lt;&gt;0,J34*50000,IF($E34&lt;&gt;0,J34*50000,0))+50000</f>
        <v>100000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9"/>
        <v>106250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>IF(H34="ECHEC",((K34+M34+O34)*20/100),0)+3750</f>
        <v>3750</v>
      </c>
      <c r="AS34" s="13">
        <f>IF(H34="ECHEC",0,(K34+I34-50000))</f>
        <v>56250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70" ht="18.5" x14ac:dyDescent="0.45">
      <c r="A35" s="21" t="s">
        <v>160</v>
      </c>
      <c r="B35" s="1">
        <v>125000</v>
      </c>
      <c r="C35" s="5">
        <f t="shared" si="6"/>
        <v>0</v>
      </c>
      <c r="D35" s="9">
        <v>60000</v>
      </c>
      <c r="E35" s="9">
        <v>0</v>
      </c>
      <c r="F35" s="9"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>
        <v>0</v>
      </c>
      <c r="R35" s="2">
        <v>0</v>
      </c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100000</v>
      </c>
      <c r="BA35" s="58"/>
      <c r="BB35" s="58"/>
      <c r="BC35" s="15"/>
      <c r="BD35" s="57">
        <f t="shared" si="15"/>
        <v>100000</v>
      </c>
      <c r="BE35" s="82" t="s">
        <v>186</v>
      </c>
      <c r="BF35" s="29">
        <f t="shared" si="5"/>
        <v>0</v>
      </c>
      <c r="BG35" s="29">
        <v>3</v>
      </c>
      <c r="BH35" s="15"/>
      <c r="BI35" s="15"/>
      <c r="BJ35" s="15"/>
      <c r="BK35" s="15">
        <v>100000</v>
      </c>
      <c r="BL35" s="61"/>
    </row>
    <row r="36" spans="1:70" ht="16.5" customHeight="1" x14ac:dyDescent="0.45">
      <c r="A36" s="1" t="s">
        <v>40</v>
      </c>
      <c r="B36" s="1">
        <v>50000</v>
      </c>
      <c r="C36" s="5">
        <f t="shared" si="6"/>
        <v>0</v>
      </c>
      <c r="D36" s="9">
        <v>50000</v>
      </c>
      <c r="E36" s="9">
        <v>0</v>
      </c>
      <c r="F36" s="9"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</row>
    <row r="37" spans="1:70" ht="18.5" x14ac:dyDescent="0.45">
      <c r="A37" s="1" t="s">
        <v>193</v>
      </c>
      <c r="B37" s="1">
        <v>150000</v>
      </c>
      <c r="C37" s="14">
        <f t="shared" si="6"/>
        <v>-940000</v>
      </c>
      <c r="D37" s="9">
        <v>0</v>
      </c>
      <c r="E37" s="9">
        <v>153000</v>
      </c>
      <c r="F37" s="9">
        <v>0</v>
      </c>
      <c r="G37" s="5">
        <f t="shared" si="7"/>
        <v>3000</v>
      </c>
      <c r="H37" s="10" t="str">
        <f t="shared" si="0"/>
        <v>ESPECES</v>
      </c>
      <c r="I37" s="10">
        <v>700000</v>
      </c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9"/>
        <v>853000</v>
      </c>
      <c r="V37" s="12"/>
      <c r="W37" s="12"/>
      <c r="X37" s="12"/>
      <c r="Y37" s="12"/>
      <c r="Z37" s="12"/>
      <c r="AA37" s="12"/>
      <c r="AB37" s="12"/>
      <c r="AC37" s="12">
        <v>4000</v>
      </c>
      <c r="AD37" s="12"/>
      <c r="AE37" s="12">
        <v>10000</v>
      </c>
      <c r="AF37" s="12" t="s">
        <v>8</v>
      </c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725000</v>
      </c>
      <c r="AT37" s="15">
        <v>120000</v>
      </c>
      <c r="AV37" s="15"/>
      <c r="AW37" s="15">
        <f t="shared" si="11"/>
        <v>296000</v>
      </c>
      <c r="AX37" s="15">
        <f t="shared" si="12"/>
        <v>0</v>
      </c>
      <c r="AY37" s="15">
        <f t="shared" si="13"/>
        <v>1190000</v>
      </c>
      <c r="AZ37" s="16">
        <f t="shared" si="14"/>
        <v>1486000</v>
      </c>
      <c r="BA37" s="58"/>
      <c r="BB37" s="58">
        <f>100000+140000</f>
        <v>240000</v>
      </c>
      <c r="BC37" s="15"/>
      <c r="BD37" s="57">
        <f>IF(AZ37=0,(AZ37-BA37-BC37),(AZ37-BA37-BB37-BC37))-BR37</f>
        <v>426000</v>
      </c>
      <c r="BE37" s="82" t="s">
        <v>186</v>
      </c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  <c r="BR37">
        <v>820000</v>
      </c>
    </row>
    <row r="38" spans="1:70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70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70" ht="18.5" x14ac:dyDescent="0.45">
      <c r="B40" s="1" t="s">
        <v>44</v>
      </c>
      <c r="C40" s="5">
        <f t="shared" ref="C40:S40" si="16">SUM(C6:C39)</f>
        <v>-1240250</v>
      </c>
      <c r="D40" s="5">
        <f t="shared" si="16"/>
        <v>6147000</v>
      </c>
      <c r="E40" s="5">
        <f t="shared" si="16"/>
        <v>1100000</v>
      </c>
      <c r="F40" s="5">
        <f t="shared" si="16"/>
        <v>0</v>
      </c>
      <c r="G40" s="5">
        <f t="shared" si="16"/>
        <v>18000</v>
      </c>
      <c r="H40" s="5">
        <f t="shared" si="16"/>
        <v>0</v>
      </c>
      <c r="I40" s="5">
        <f t="shared" si="16"/>
        <v>958250</v>
      </c>
      <c r="J40" s="5">
        <f t="shared" si="16"/>
        <v>32</v>
      </c>
      <c r="K40" s="5">
        <f t="shared" si="16"/>
        <v>1650000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271500</v>
      </c>
      <c r="Q40" s="5">
        <f t="shared" si="16"/>
        <v>892500</v>
      </c>
      <c r="R40" s="5">
        <f t="shared" si="16"/>
        <v>1317000</v>
      </c>
      <c r="S40" s="5">
        <f t="shared" si="16"/>
        <v>0</v>
      </c>
      <c r="T40" s="5"/>
      <c r="U40" s="5">
        <f t="shared" ref="U40:AA40" si="17">SUM(U6:U39)</f>
        <v>8107250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13000</v>
      </c>
      <c r="AD40" s="5">
        <f>SUM(AD6:AD39)</f>
        <v>15000</v>
      </c>
      <c r="AE40" s="5">
        <f>SUM(AE6:AE39)</f>
        <v>30000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209500</v>
      </c>
      <c r="AJ40" s="5">
        <f t="shared" si="18"/>
        <v>307500</v>
      </c>
      <c r="AK40" s="5">
        <f t="shared" si="18"/>
        <v>1900000</v>
      </c>
      <c r="AL40" s="5">
        <f t="shared" si="18"/>
        <v>3500</v>
      </c>
      <c r="AM40" s="5">
        <f t="shared" si="18"/>
        <v>6000</v>
      </c>
      <c r="AN40" s="5">
        <f t="shared" si="18"/>
        <v>25000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3750</v>
      </c>
      <c r="AS40" s="5">
        <f t="shared" si="18"/>
        <v>1783250</v>
      </c>
      <c r="AT40" s="5">
        <f t="shared" si="18"/>
        <v>120000</v>
      </c>
      <c r="AU40" s="5">
        <f t="shared" si="18"/>
        <v>0</v>
      </c>
      <c r="AV40" s="5">
        <f t="shared" si="18"/>
        <v>0</v>
      </c>
      <c r="AW40" s="5">
        <f t="shared" si="18"/>
        <v>1096500</v>
      </c>
      <c r="AX40" s="5">
        <f t="shared" si="18"/>
        <v>2092500</v>
      </c>
      <c r="AY40" s="5">
        <f t="shared" si="18"/>
        <v>5470000</v>
      </c>
      <c r="AZ40" s="5">
        <f t="shared" si="18"/>
        <v>9745000</v>
      </c>
      <c r="BA40" s="5">
        <f t="shared" si="18"/>
        <v>910000</v>
      </c>
      <c r="BB40" s="5">
        <f t="shared" si="18"/>
        <v>380000</v>
      </c>
      <c r="BC40" s="5">
        <f t="shared" si="18"/>
        <v>0</v>
      </c>
      <c r="BD40" s="5">
        <f t="shared" si="18"/>
        <v>7271000</v>
      </c>
      <c r="BE40" s="5">
        <f t="shared" si="18"/>
        <v>0</v>
      </c>
      <c r="BF40" s="5">
        <f t="shared" si="18"/>
        <v>20000</v>
      </c>
      <c r="BH40" s="5">
        <f t="shared" ref="BH40:BL40" si="19">SUM(BH6:BH39)</f>
        <v>6000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70" ht="18.5" x14ac:dyDescent="0.45">
      <c r="AW41" s="15"/>
      <c r="AX41" s="15"/>
      <c r="AY41" s="15"/>
      <c r="AZ41" s="16"/>
    </row>
    <row r="42" spans="1:70" ht="18.5" x14ac:dyDescent="0.45">
      <c r="Z42" s="12"/>
      <c r="AW42" s="15"/>
      <c r="AX42" s="15"/>
      <c r="AY42" s="15"/>
      <c r="AZ42" s="16"/>
      <c r="BA42" s="6"/>
    </row>
    <row r="43" spans="1:70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70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70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70" ht="18.5" x14ac:dyDescent="0.45">
      <c r="B46" s="1" t="s">
        <v>78</v>
      </c>
      <c r="AW46" s="15"/>
      <c r="AX46" s="15"/>
      <c r="AY46" s="15"/>
      <c r="AZ46" s="16"/>
    </row>
    <row r="47" spans="1:70" ht="18.5" x14ac:dyDescent="0.45">
      <c r="B47" s="1" t="s">
        <v>79</v>
      </c>
      <c r="C47" s="14">
        <f>AZ40</f>
        <v>9745000</v>
      </c>
      <c r="D47" s="9">
        <f>SUMIFS(D8:D40,H8:H40,"BANQUE")</f>
        <v>5972000</v>
      </c>
      <c r="F47" s="9">
        <f>E40</f>
        <v>1100000</v>
      </c>
      <c r="G47" s="14"/>
      <c r="J47" s="5"/>
      <c r="AW47" s="15"/>
      <c r="AX47" s="15"/>
      <c r="AY47" s="15"/>
      <c r="AZ47" s="16"/>
    </row>
    <row r="48" spans="1:70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19484000</v>
      </c>
    </row>
  </sheetData>
  <autoFilter ref="A5:AF38" xr:uid="{00000000-0009-0000-0000-00000C000000}"/>
  <mergeCells count="1">
    <mergeCell ref="B4:M4"/>
  </mergeCells>
  <dataValidations count="1">
    <dataValidation type="list" allowBlank="1" showInputMessage="1" showErrorMessage="1" sqref="T6:T38 AA6:AA38 AP6:AP38 AF6:AF38" xr:uid="{00000000-0002-0000-0C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Q85"/>
  <sheetViews>
    <sheetView zoomScale="95" zoomScaleNormal="95" workbookViewId="0">
      <pane xSplit="4" ySplit="5" topLeftCell="BN24" activePane="bottomRight" state="frozen"/>
      <selection pane="topRight" activeCell="E1" sqref="E1"/>
      <selection pane="bottomLeft" activeCell="A6" sqref="A6"/>
      <selection pane="bottomRight" activeCell="BO26" sqref="BO26:BQ2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427500</v>
      </c>
      <c r="BA6" s="58"/>
      <c r="BB6" s="58"/>
      <c r="BC6" s="15"/>
      <c r="BD6" s="57">
        <f>IF(AZ6=0,(AZ6-BA6-BC6),(AZ6-BA6-BB6-BC6))+1151000</f>
        <v>1578500</v>
      </c>
      <c r="BE6" s="82"/>
      <c r="BF6" s="29">
        <f t="shared" ref="BF6:BF38" si="5">Z6*1/100*BG6</f>
        <v>0</v>
      </c>
      <c r="BG6" s="29">
        <v>2</v>
      </c>
      <c r="BH6" s="15">
        <f>BQ16</f>
        <v>6000</v>
      </c>
      <c r="BI6" s="15">
        <f>BQ28</f>
        <v>321500</v>
      </c>
      <c r="BJ6" s="15">
        <f>BQ33</f>
        <v>0</v>
      </c>
      <c r="BK6" s="15">
        <f>+BQ40</f>
        <v>100000</v>
      </c>
      <c r="BL6" s="15"/>
      <c r="BM6" s="15"/>
      <c r="BN6" s="15">
        <f>+BQ22</f>
        <v>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5">
        <f>D7+E7+F7-U7-BB7</f>
        <v>0</v>
      </c>
      <c r="D7" s="9">
        <v>0</v>
      </c>
      <c r="E7" s="9">
        <v>50000</v>
      </c>
      <c r="F7" s="9">
        <v>0</v>
      </c>
      <c r="G7" s="5">
        <f>IF(H7="ESPECES",3000,0)-3000</f>
        <v>0</v>
      </c>
      <c r="H7" s="10" t="str">
        <f t="shared" si="0"/>
        <v>ESPECES</v>
      </c>
      <c r="I7" s="10"/>
      <c r="J7" s="11">
        <v>1</v>
      </c>
      <c r="K7" s="11">
        <f t="shared" ref="K7:K38" si="6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38" si="7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8">IF(H7="ECHEC",0,(K7+I7-25000))</f>
        <v>25000</v>
      </c>
      <c r="AT7" s="15"/>
      <c r="AV7" s="15"/>
      <c r="AW7" s="15">
        <f t="shared" ref="AW7:AW38" si="9">IF(AC7=0,AI7,(1*25000*12)+AI7-AC7)</f>
        <v>0</v>
      </c>
      <c r="AX7" s="15">
        <f t="shared" ref="AX7:AX38" si="10">IF(AD7=0,AJ7,(1*75000*12)+(AJ7)-AD7)</f>
        <v>0</v>
      </c>
      <c r="AY7" s="15">
        <f t="shared" ref="AY7:AY38" si="11">IF(AE7=0,AK7,(1*100000*12)+(AK7)-AE7)</f>
        <v>0</v>
      </c>
      <c r="AZ7" s="16">
        <f t="shared" ref="AZ7:AZ38" si="12">SUM(AV7:AY7)-BF7+Z7-F7+BH7+BI7+BJ7+BK7+BL7+BM7</f>
        <v>0</v>
      </c>
      <c r="BA7" s="58"/>
      <c r="BB7" s="58"/>
      <c r="BC7" s="15"/>
      <c r="BD7" s="57">
        <f t="shared" ref="BD7:BD38" si="13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5">
        <f>D8+E8+F8-U8-BB8</f>
        <v>0</v>
      </c>
      <c r="D8" s="9">
        <v>125000</v>
      </c>
      <c r="E8" s="9">
        <v>0</v>
      </c>
      <c r="F8" s="9">
        <v>0</v>
      </c>
      <c r="G8" s="5">
        <f t="shared" ref="G8:G38" si="14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6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/>
      <c r="T8" s="12"/>
      <c r="U8" s="17">
        <f t="shared" si="7"/>
        <v>125000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8"/>
        <v>25000</v>
      </c>
      <c r="AT8" s="15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297500</v>
      </c>
      <c r="BA8" s="58"/>
      <c r="BB8" s="58"/>
      <c r="BC8" s="15"/>
      <c r="BD8" s="57">
        <f t="shared" si="13"/>
        <v>297500</v>
      </c>
      <c r="BE8" s="82" t="s">
        <v>186</v>
      </c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>
        <v>250000</v>
      </c>
      <c r="C9" s="5">
        <f t="shared" ref="C9:C38" si="15">D9+E9+F9-U9-BB9</f>
        <v>-1000</v>
      </c>
      <c r="D9" s="9">
        <v>452000</v>
      </c>
      <c r="E9" s="9">
        <v>0</v>
      </c>
      <c r="F9" s="9">
        <v>0</v>
      </c>
      <c r="G9" s="5">
        <f t="shared" si="14"/>
        <v>0</v>
      </c>
      <c r="H9" s="10" t="str">
        <f t="shared" si="0"/>
        <v>BANQUE</v>
      </c>
      <c r="I9" s="10"/>
      <c r="J9" s="11">
        <v>1</v>
      </c>
      <c r="K9" s="11">
        <f t="shared" si="6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203000</v>
      </c>
      <c r="S9" s="20"/>
      <c r="T9" s="12"/>
      <c r="U9" s="17">
        <f t="shared" si="7"/>
        <v>453000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 t="s">
        <v>8</v>
      </c>
      <c r="AG9" s="12"/>
      <c r="AH9" s="12"/>
      <c r="AI9" s="12"/>
      <c r="AJ9" s="12"/>
      <c r="AK9" s="12">
        <v>150000</v>
      </c>
      <c r="AL9" s="12"/>
      <c r="AM9" s="12"/>
      <c r="AN9" s="12">
        <v>1500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8"/>
        <v>25000</v>
      </c>
      <c r="AT9" s="15"/>
      <c r="AV9" s="15"/>
      <c r="AW9" s="15">
        <f t="shared" si="9"/>
        <v>0</v>
      </c>
      <c r="AX9" s="15">
        <f t="shared" si="10"/>
        <v>0</v>
      </c>
      <c r="AY9" s="15">
        <f t="shared" si="11"/>
        <v>1340000</v>
      </c>
      <c r="AZ9" s="16">
        <f t="shared" si="12"/>
        <v>1340000</v>
      </c>
      <c r="BA9" s="58">
        <v>150000</v>
      </c>
      <c r="BB9" s="58"/>
      <c r="BC9" s="15"/>
      <c r="BD9" s="57">
        <f t="shared" si="13"/>
        <v>1190000</v>
      </c>
      <c r="BE9" s="82" t="s">
        <v>186</v>
      </c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15"/>
        <v>0</v>
      </c>
      <c r="D10" s="9">
        <v>238000</v>
      </c>
      <c r="E10" s="9">
        <v>0</v>
      </c>
      <c r="F10" s="9">
        <v>0</v>
      </c>
      <c r="G10" s="5">
        <f t="shared" si="14"/>
        <v>0</v>
      </c>
      <c r="H10" s="10" t="str">
        <f t="shared" si="0"/>
        <v>BANQUE</v>
      </c>
      <c r="I10" s="10">
        <v>1000</v>
      </c>
      <c r="J10" s="11">
        <v>1</v>
      </c>
      <c r="K10" s="11">
        <f t="shared" si="6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61000</v>
      </c>
      <c r="Q10" s="2">
        <v>51000</v>
      </c>
      <c r="R10" s="2">
        <v>0</v>
      </c>
      <c r="S10" s="20"/>
      <c r="T10" s="12"/>
      <c r="U10" s="17">
        <f>G10+S10++R10+P10+O10+M10+I10+K10+Q10+V10+W10</f>
        <v>238000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60500</v>
      </c>
      <c r="AJ10" s="12">
        <v>100000</v>
      </c>
      <c r="AK10" s="12"/>
      <c r="AL10" s="12">
        <v>1500</v>
      </c>
      <c r="AM10" s="12">
        <v>1000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>IF(H10="ECHEC",0,(K10+I10-25000))</f>
        <v>26000</v>
      </c>
      <c r="AT10" s="15"/>
      <c r="AV10" s="15"/>
      <c r="AW10" s="15">
        <f t="shared" si="9"/>
        <v>60500</v>
      </c>
      <c r="AX10" s="15">
        <f t="shared" si="10"/>
        <v>100000</v>
      </c>
      <c r="AY10" s="15">
        <f t="shared" si="11"/>
        <v>0</v>
      </c>
      <c r="AZ10" s="16">
        <f t="shared" si="12"/>
        <v>160500</v>
      </c>
      <c r="BA10" s="58">
        <v>60500</v>
      </c>
      <c r="BB10" s="58"/>
      <c r="BC10" s="15"/>
      <c r="BD10" s="57">
        <f t="shared" si="13"/>
        <v>100000</v>
      </c>
      <c r="BE10" s="82" t="s">
        <v>186</v>
      </c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15"/>
        <v>0</v>
      </c>
      <c r="D11" s="9">
        <v>176500</v>
      </c>
      <c r="E11" s="9">
        <v>0</v>
      </c>
      <c r="F11" s="9">
        <v>0</v>
      </c>
      <c r="G11" s="5">
        <f t="shared" si="14"/>
        <v>0</v>
      </c>
      <c r="H11" s="10" t="str">
        <f t="shared" si="0"/>
        <v>BANQUE</v>
      </c>
      <c r="I11" s="10">
        <v>500</v>
      </c>
      <c r="J11" s="11">
        <v>1</v>
      </c>
      <c r="K11" s="11">
        <f t="shared" si="6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51000</v>
      </c>
      <c r="R11" s="2">
        <v>0</v>
      </c>
      <c r="S11" s="20"/>
      <c r="T11" s="12"/>
      <c r="U11" s="17">
        <f>G11+S11++R11+P11+O11+M11+I11+K11+Q11+V11+W11</f>
        <v>176500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100000</v>
      </c>
      <c r="AK11" s="12"/>
      <c r="AL11" s="12"/>
      <c r="AM11" s="12">
        <v>1000</v>
      </c>
      <c r="AN11" s="12">
        <v>2000</v>
      </c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>IF(H11="ECHEC",0,(K11+I11-25000))</f>
        <v>25500</v>
      </c>
      <c r="AT11" s="15"/>
      <c r="AV11" s="15"/>
      <c r="AW11" s="15">
        <f t="shared" si="9"/>
        <v>0</v>
      </c>
      <c r="AX11" s="15">
        <f t="shared" si="10"/>
        <v>100000</v>
      </c>
      <c r="AY11" s="15">
        <f t="shared" si="11"/>
        <v>0</v>
      </c>
      <c r="AZ11" s="16">
        <f t="shared" si="12"/>
        <v>100000</v>
      </c>
      <c r="BA11" s="58">
        <v>100000</v>
      </c>
      <c r="BB11" s="58"/>
      <c r="BC11" s="15"/>
      <c r="BD11" s="57">
        <f t="shared" si="13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15"/>
        <v>-1000</v>
      </c>
      <c r="D12" s="9">
        <v>632000</v>
      </c>
      <c r="E12" s="9">
        <v>0</v>
      </c>
      <c r="F12" s="9">
        <v>0</v>
      </c>
      <c r="G12" s="5">
        <f t="shared" si="14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6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203000</v>
      </c>
      <c r="S12" s="20">
        <v>100000</v>
      </c>
      <c r="T12" s="12" t="s">
        <v>8</v>
      </c>
      <c r="U12" s="17">
        <f t="shared" si="7"/>
        <v>633000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400000</v>
      </c>
      <c r="AL12" s="12"/>
      <c r="AM12" s="12"/>
      <c r="AN12" s="12">
        <v>4000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8"/>
        <v>30000</v>
      </c>
      <c r="AT12" s="15"/>
      <c r="AV12" s="15"/>
      <c r="AW12" s="15">
        <f t="shared" si="9"/>
        <v>0</v>
      </c>
      <c r="AX12" s="15">
        <f t="shared" si="10"/>
        <v>0</v>
      </c>
      <c r="AY12" s="15">
        <f t="shared" si="11"/>
        <v>400000</v>
      </c>
      <c r="AZ12" s="16">
        <f t="shared" si="12"/>
        <v>400000</v>
      </c>
      <c r="BA12" s="58"/>
      <c r="BB12" s="58"/>
      <c r="BC12" s="15"/>
      <c r="BD12" s="57">
        <f t="shared" si="13"/>
        <v>400000</v>
      </c>
      <c r="BE12" s="82" t="s">
        <v>186</v>
      </c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15"/>
        <v>0</v>
      </c>
      <c r="D13" s="9">
        <v>50000</v>
      </c>
      <c r="E13" s="9">
        <v>0</v>
      </c>
      <c r="F13" s="9">
        <v>0</v>
      </c>
      <c r="G13" s="5">
        <f t="shared" si="14"/>
        <v>0</v>
      </c>
      <c r="H13" s="10" t="str">
        <f t="shared" si="0"/>
        <v>BANQUE</v>
      </c>
      <c r="I13" s="10"/>
      <c r="J13" s="11">
        <v>1</v>
      </c>
      <c r="K13" s="11">
        <f t="shared" si="6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/>
      <c r="T13" s="12"/>
      <c r="U13" s="17">
        <f t="shared" si="7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8"/>
        <v>25000</v>
      </c>
      <c r="AT13" s="15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>
        <v>50000</v>
      </c>
      <c r="C14" s="5">
        <f t="shared" si="15"/>
        <v>0</v>
      </c>
      <c r="D14" s="9">
        <v>50000</v>
      </c>
      <c r="E14" s="9">
        <v>0</v>
      </c>
      <c r="F14" s="9">
        <v>0</v>
      </c>
      <c r="G14" s="5">
        <f t="shared" si="14"/>
        <v>0</v>
      </c>
      <c r="H14" s="10" t="str">
        <f t="shared" si="0"/>
        <v>BANQUE</v>
      </c>
      <c r="I14" s="10"/>
      <c r="J14" s="11">
        <v>1</v>
      </c>
      <c r="K14" s="11">
        <f t="shared" si="6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7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8"/>
        <v>25000</v>
      </c>
      <c r="AT14" s="15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15"/>
        <v>0</v>
      </c>
      <c r="D15" s="9">
        <v>125000</v>
      </c>
      <c r="E15" s="9">
        <v>0</v>
      </c>
      <c r="F15" s="9">
        <v>0</v>
      </c>
      <c r="G15" s="5">
        <f t="shared" si="14"/>
        <v>0</v>
      </c>
      <c r="H15" s="10" t="str">
        <f t="shared" si="0"/>
        <v>BANQUE</v>
      </c>
      <c r="I15" s="10"/>
      <c r="J15" s="11">
        <v>1</v>
      </c>
      <c r="K15" s="11">
        <f t="shared" si="6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7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8"/>
        <v>25000</v>
      </c>
      <c r="AT15" s="15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15"/>
        <v>-1500</v>
      </c>
      <c r="D16" s="9">
        <v>442000</v>
      </c>
      <c r="E16" s="9">
        <v>0</v>
      </c>
      <c r="F16" s="9">
        <v>0</v>
      </c>
      <c r="G16" s="5">
        <f t="shared" si="14"/>
        <v>0</v>
      </c>
      <c r="H16" s="10" t="str">
        <f t="shared" si="0"/>
        <v>BANQUE</v>
      </c>
      <c r="I16" s="10">
        <v>15000</v>
      </c>
      <c r="J16" s="11">
        <v>1</v>
      </c>
      <c r="K16" s="11">
        <f t="shared" si="6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203500</v>
      </c>
      <c r="S16" s="20"/>
      <c r="T16" s="12"/>
      <c r="U16" s="17">
        <f t="shared" si="7"/>
        <v>443500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300000</v>
      </c>
      <c r="AL16" s="12"/>
      <c r="AM16" s="12"/>
      <c r="AN16" s="12">
        <v>3000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8"/>
        <v>40000</v>
      </c>
      <c r="AT16" s="15"/>
      <c r="AV16" s="15"/>
      <c r="AW16" s="15">
        <f t="shared" si="9"/>
        <v>0</v>
      </c>
      <c r="AX16" s="15">
        <f t="shared" si="10"/>
        <v>0</v>
      </c>
      <c r="AY16" s="15">
        <f t="shared" si="11"/>
        <v>300000</v>
      </c>
      <c r="AZ16" s="16">
        <f t="shared" si="12"/>
        <v>300000</v>
      </c>
      <c r="BA16" s="58"/>
      <c r="BB16" s="58"/>
      <c r="BC16" s="15"/>
      <c r="BD16" s="57">
        <f t="shared" si="13"/>
        <v>300000</v>
      </c>
      <c r="BE16" s="82" t="s">
        <v>186</v>
      </c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69" ht="18.5" x14ac:dyDescent="0.45">
      <c r="A17" s="1" t="s">
        <v>22</v>
      </c>
      <c r="B17" s="1">
        <v>150000</v>
      </c>
      <c r="C17" s="5">
        <f t="shared" si="15"/>
        <v>0</v>
      </c>
      <c r="D17" s="9">
        <v>353000</v>
      </c>
      <c r="E17" s="9">
        <v>0</v>
      </c>
      <c r="F17" s="9">
        <v>0</v>
      </c>
      <c r="G17" s="5">
        <f t="shared" si="14"/>
        <v>0</v>
      </c>
      <c r="H17" s="10" t="str">
        <f t="shared" si="0"/>
        <v>BANQUE</v>
      </c>
      <c r="I17" s="10">
        <v>500</v>
      </c>
      <c r="J17" s="11">
        <v>1</v>
      </c>
      <c r="K17" s="11">
        <f t="shared" si="6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>
        <v>0</v>
      </c>
      <c r="R17" s="2">
        <v>202500</v>
      </c>
      <c r="S17" s="20"/>
      <c r="T17" s="12"/>
      <c r="U17" s="17">
        <f t="shared" si="7"/>
        <v>353000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150000</v>
      </c>
      <c r="AL17" s="12"/>
      <c r="AM17" s="12"/>
      <c r="AN17" s="12">
        <v>1500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8"/>
        <v>25500</v>
      </c>
      <c r="AT17" s="15"/>
      <c r="AV17" s="15"/>
      <c r="AW17" s="15">
        <f t="shared" si="9"/>
        <v>0</v>
      </c>
      <c r="AX17" s="15">
        <f t="shared" si="10"/>
        <v>0</v>
      </c>
      <c r="AY17" s="15">
        <f t="shared" si="11"/>
        <v>150000</v>
      </c>
      <c r="AZ17" s="16">
        <f t="shared" si="12"/>
        <v>150000</v>
      </c>
      <c r="BA17" s="58">
        <v>100000</v>
      </c>
      <c r="BB17" s="58"/>
      <c r="BC17" s="15"/>
      <c r="BD17" s="57">
        <f t="shared" si="13"/>
        <v>50000</v>
      </c>
      <c r="BE17" s="82" t="s">
        <v>186</v>
      </c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>
        <f t="shared" si="15"/>
        <v>0</v>
      </c>
      <c r="D18" s="9">
        <v>251000</v>
      </c>
      <c r="E18" s="9">
        <v>0</v>
      </c>
      <c r="F18" s="9">
        <v>0</v>
      </c>
      <c r="G18" s="5">
        <f t="shared" si="14"/>
        <v>0</v>
      </c>
      <c r="H18" s="10" t="str">
        <f t="shared" si="0"/>
        <v>BANQUE</v>
      </c>
      <c r="I18" s="10"/>
      <c r="J18" s="11">
        <v>1</v>
      </c>
      <c r="K18" s="11">
        <f t="shared" si="6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101000</v>
      </c>
      <c r="S18" s="20"/>
      <c r="T18" s="12"/>
      <c r="U18" s="17">
        <f t="shared" si="7"/>
        <v>251000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8"/>
        <v>25000</v>
      </c>
      <c r="AT18" s="15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</row>
    <row r="19" spans="1:69" ht="18.5" x14ac:dyDescent="0.45">
      <c r="A19" s="1" t="s">
        <v>195</v>
      </c>
      <c r="B19" s="1">
        <v>50000</v>
      </c>
      <c r="C19" s="5">
        <f t="shared" si="15"/>
        <v>0</v>
      </c>
      <c r="D19" s="9">
        <v>50000</v>
      </c>
      <c r="E19" s="9">
        <v>0</v>
      </c>
      <c r="F19" s="9">
        <v>0</v>
      </c>
      <c r="G19" s="5">
        <f t="shared" si="14"/>
        <v>0</v>
      </c>
      <c r="H19" s="10" t="str">
        <f t="shared" si="0"/>
        <v>BANQUE</v>
      </c>
      <c r="I19" s="10"/>
      <c r="J19" s="11">
        <v>1</v>
      </c>
      <c r="K19" s="11">
        <f t="shared" si="6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8"/>
        <v>25000</v>
      </c>
      <c r="AT19" s="15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15"/>
        <v>-500</v>
      </c>
      <c r="D20" s="9">
        <v>539000</v>
      </c>
      <c r="E20" s="9">
        <v>0</v>
      </c>
      <c r="F20" s="9">
        <v>0</v>
      </c>
      <c r="G20" s="5">
        <f t="shared" si="14"/>
        <v>0</v>
      </c>
      <c r="H20" s="10" t="str">
        <f t="shared" si="0"/>
        <v>BANQUE</v>
      </c>
      <c r="I20" s="10"/>
      <c r="J20" s="11">
        <v>1</v>
      </c>
      <c r="K20" s="11">
        <f t="shared" si="6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61000</v>
      </c>
      <c r="Q20" s="2">
        <v>51000</v>
      </c>
      <c r="R20" s="2">
        <v>202500</v>
      </c>
      <c r="S20" s="20"/>
      <c r="T20" s="12"/>
      <c r="U20" s="17">
        <f t="shared" si="7"/>
        <v>539500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50000</v>
      </c>
      <c r="AK20" s="12">
        <f>200000+200000</f>
        <v>400000</v>
      </c>
      <c r="AL20" s="12"/>
      <c r="AM20" s="12">
        <v>1000</v>
      </c>
      <c r="AN20" s="12">
        <f>2000+2000</f>
        <v>4000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8"/>
        <v>25000</v>
      </c>
      <c r="AT20" s="15"/>
      <c r="AV20" s="15"/>
      <c r="AW20" s="15">
        <f t="shared" si="9"/>
        <v>0</v>
      </c>
      <c r="AX20" s="15">
        <f t="shared" si="10"/>
        <v>50000</v>
      </c>
      <c r="AY20" s="15">
        <f t="shared" si="11"/>
        <v>400000</v>
      </c>
      <c r="AZ20" s="16">
        <f t="shared" si="12"/>
        <v>450000</v>
      </c>
      <c r="BA20" s="58">
        <v>62500</v>
      </c>
      <c r="BB20" s="58"/>
      <c r="BC20" s="15"/>
      <c r="BD20" s="57">
        <f t="shared" si="13"/>
        <v>387500</v>
      </c>
      <c r="BE20" s="82" t="s">
        <v>186</v>
      </c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15"/>
        <v>0</v>
      </c>
      <c r="D21" s="9">
        <v>50000</v>
      </c>
      <c r="E21" s="9">
        <v>0</v>
      </c>
      <c r="F21" s="9">
        <v>0</v>
      </c>
      <c r="G21" s="5">
        <f t="shared" si="14"/>
        <v>0</v>
      </c>
      <c r="H21" s="10" t="str">
        <f t="shared" si="0"/>
        <v>BANQUE</v>
      </c>
      <c r="I21" s="10"/>
      <c r="J21" s="11">
        <v>1</v>
      </c>
      <c r="K21" s="11">
        <f t="shared" si="6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/>
      <c r="T21" s="12"/>
      <c r="U21" s="17">
        <f t="shared" si="7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8"/>
        <v>25000</v>
      </c>
      <c r="AT21" s="15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15"/>
        <v>0</v>
      </c>
      <c r="D22" s="9">
        <v>125000</v>
      </c>
      <c r="E22" s="9">
        <v>0</v>
      </c>
      <c r="F22" s="9">
        <v>0</v>
      </c>
      <c r="G22" s="5">
        <f t="shared" si="14"/>
        <v>0</v>
      </c>
      <c r="H22" s="10" t="str">
        <f t="shared" si="0"/>
        <v>BANQUE</v>
      </c>
      <c r="I22" s="10"/>
      <c r="J22" s="11">
        <v>1</v>
      </c>
      <c r="K22" s="11">
        <f t="shared" si="6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>
        <v>0</v>
      </c>
      <c r="S22" s="20"/>
      <c r="T22" s="12"/>
      <c r="U22" s="17">
        <f t="shared" si="7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8"/>
        <v>25000</v>
      </c>
      <c r="AT22" s="15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</row>
    <row r="23" spans="1:69" ht="18.5" x14ac:dyDescent="0.45">
      <c r="A23" s="1" t="s">
        <v>28</v>
      </c>
      <c r="B23" s="1">
        <v>250000</v>
      </c>
      <c r="C23" s="5">
        <f t="shared" si="15"/>
        <v>-500</v>
      </c>
      <c r="D23" s="9">
        <v>462000</v>
      </c>
      <c r="E23" s="9">
        <v>0</v>
      </c>
      <c r="F23" s="9">
        <v>0</v>
      </c>
      <c r="G23" s="5">
        <f t="shared" si="14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6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>
        <v>0</v>
      </c>
      <c r="R23" s="2">
        <v>202500</v>
      </c>
      <c r="S23" s="20"/>
      <c r="T23" s="12"/>
      <c r="U23" s="17">
        <f t="shared" si="7"/>
        <v>462500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8"/>
        <v>35000</v>
      </c>
      <c r="AT23" s="15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 t="s">
        <v>186</v>
      </c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9" ht="17.5" customHeight="1" x14ac:dyDescent="0.45">
      <c r="A24" s="1" t="s">
        <v>29</v>
      </c>
      <c r="B24" s="1">
        <v>225000</v>
      </c>
      <c r="C24" s="5">
        <f t="shared" si="15"/>
        <v>0</v>
      </c>
      <c r="D24" s="9">
        <v>0</v>
      </c>
      <c r="E24" s="9">
        <v>430000</v>
      </c>
      <c r="F24" s="9">
        <v>0</v>
      </c>
      <c r="G24" s="5">
        <f t="shared" si="14"/>
        <v>3000</v>
      </c>
      <c r="H24" s="10" t="str">
        <f t="shared" si="0"/>
        <v>ESPECES</v>
      </c>
      <c r="I24" s="10"/>
      <c r="J24" s="11">
        <v>1</v>
      </c>
      <c r="K24" s="11">
        <f t="shared" si="6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202000</v>
      </c>
      <c r="S24" s="20"/>
      <c r="T24" s="12"/>
      <c r="U24" s="17">
        <f t="shared" si="7"/>
        <v>430000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8"/>
        <v>25000</v>
      </c>
      <c r="AT24" s="15"/>
      <c r="AV24" s="15"/>
      <c r="AW24" s="15">
        <f t="shared" si="9"/>
        <v>0</v>
      </c>
      <c r="AX24" s="15">
        <f t="shared" si="10"/>
        <v>0</v>
      </c>
      <c r="AY24" s="15">
        <f>IF(AE24=0,AK24,(1*100000*12)+(AK24)-AE24)</f>
        <v>200000</v>
      </c>
      <c r="AZ24" s="16">
        <f t="shared" si="12"/>
        <v>200000</v>
      </c>
      <c r="BA24" s="58"/>
      <c r="BB24" s="58"/>
      <c r="BC24" s="15"/>
      <c r="BD24" s="57">
        <f>IF(AZ24=0,(AZ24-BA24-BC24),(AZ24-BA24-BB24-BC24))+321000</f>
        <v>521000</v>
      </c>
      <c r="BE24" s="82" t="s">
        <v>186</v>
      </c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15"/>
        <v>0</v>
      </c>
      <c r="D25" s="9">
        <v>618000</v>
      </c>
      <c r="E25" s="9">
        <v>0</v>
      </c>
      <c r="F25" s="9">
        <v>0</v>
      </c>
      <c r="G25" s="5">
        <f t="shared" si="14"/>
        <v>0</v>
      </c>
      <c r="H25" s="10" t="str">
        <f t="shared" si="0"/>
        <v>BANQUE</v>
      </c>
      <c r="I25" s="10">
        <v>-11000</v>
      </c>
      <c r="J25" s="11">
        <v>1</v>
      </c>
      <c r="K25" s="11">
        <f t="shared" si="6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51000</v>
      </c>
      <c r="R25" s="2">
        <v>203000</v>
      </c>
      <c r="S25" s="20"/>
      <c r="T25" s="12"/>
      <c r="U25" s="17">
        <f t="shared" si="7"/>
        <v>618000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8"/>
        <v>14000</v>
      </c>
      <c r="AT25" s="15"/>
      <c r="AV25" s="15"/>
      <c r="AW25" s="15">
        <f t="shared" si="9"/>
        <v>0</v>
      </c>
      <c r="AX25" s="15">
        <f t="shared" si="10"/>
        <v>0</v>
      </c>
      <c r="AY25" s="15">
        <f t="shared" si="11"/>
        <v>100000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 t="s">
        <v>186</v>
      </c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>
        <v>50000</v>
      </c>
      <c r="C26" s="5">
        <f t="shared" si="15"/>
        <v>0</v>
      </c>
      <c r="D26" s="9">
        <v>111000</v>
      </c>
      <c r="E26" s="9">
        <v>0</v>
      </c>
      <c r="F26" s="9">
        <v>0</v>
      </c>
      <c r="G26" s="5">
        <f t="shared" si="14"/>
        <v>0</v>
      </c>
      <c r="H26" s="10" t="str">
        <f t="shared" si="0"/>
        <v>BANQUE</v>
      </c>
      <c r="I26" s="10"/>
      <c r="J26" s="11">
        <v>1</v>
      </c>
      <c r="K26" s="11">
        <f t="shared" si="6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61000</v>
      </c>
      <c r="Q26" s="2">
        <v>0</v>
      </c>
      <c r="R26" s="2">
        <v>0</v>
      </c>
      <c r="S26" s="20"/>
      <c r="T26" s="12"/>
      <c r="U26" s="17">
        <f t="shared" si="7"/>
        <v>111000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3"/>
        <v>0</v>
      </c>
      <c r="AR26" s="8">
        <f t="shared" si="4"/>
        <v>0</v>
      </c>
      <c r="AS26" s="13">
        <f t="shared" si="8"/>
        <v>25000</v>
      </c>
      <c r="AT26" s="15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O26" t="s">
        <v>214</v>
      </c>
      <c r="BP26" t="s">
        <v>143</v>
      </c>
      <c r="BQ26" s="6">
        <v>321500</v>
      </c>
    </row>
    <row r="27" spans="1:69" ht="18.5" x14ac:dyDescent="0.45">
      <c r="A27" s="1" t="s">
        <v>158</v>
      </c>
      <c r="B27" s="1">
        <v>50000</v>
      </c>
      <c r="C27" s="14">
        <f t="shared" si="15"/>
        <v>-20000</v>
      </c>
      <c r="D27" s="9">
        <v>50000</v>
      </c>
      <c r="E27" s="9">
        <v>0</v>
      </c>
      <c r="F27" s="9">
        <v>0</v>
      </c>
      <c r="G27" s="5">
        <f t="shared" si="14"/>
        <v>0</v>
      </c>
      <c r="H27" s="10" t="str">
        <f t="shared" si="0"/>
        <v>BANQUE</v>
      </c>
      <c r="I27" s="10"/>
      <c r="J27" s="11">
        <v>1</v>
      </c>
      <c r="K27" s="11">
        <f t="shared" si="6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>
        <v>0</v>
      </c>
      <c r="R27" s="2">
        <v>0</v>
      </c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8"/>
        <v>25000</v>
      </c>
      <c r="AT27" s="15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 t="shared" si="12"/>
        <v>297500</v>
      </c>
      <c r="BA27" s="58"/>
      <c r="BB27" s="58">
        <v>20000</v>
      </c>
      <c r="BC27" s="15"/>
      <c r="BD27" s="57">
        <f t="shared" si="13"/>
        <v>277500</v>
      </c>
      <c r="BE27" s="82" t="s">
        <v>186</v>
      </c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>
        <f t="shared" si="15"/>
        <v>0</v>
      </c>
      <c r="D28" s="9">
        <v>125000</v>
      </c>
      <c r="E28" s="9">
        <v>0</v>
      </c>
      <c r="F28" s="9">
        <v>0</v>
      </c>
      <c r="G28" s="5">
        <f t="shared" si="14"/>
        <v>0</v>
      </c>
      <c r="H28" s="10" t="str">
        <f t="shared" si="0"/>
        <v>BANQUE</v>
      </c>
      <c r="I28" s="10"/>
      <c r="J28" s="11">
        <v>1</v>
      </c>
      <c r="K28" s="11">
        <f t="shared" si="6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7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8"/>
        <v>25000</v>
      </c>
      <c r="AT28" s="15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321500</v>
      </c>
    </row>
    <row r="29" spans="1:69" ht="18.5" x14ac:dyDescent="0.45">
      <c r="A29" s="1" t="s">
        <v>159</v>
      </c>
      <c r="B29" s="1">
        <v>50000</v>
      </c>
      <c r="C29" s="5">
        <f t="shared" si="15"/>
        <v>0</v>
      </c>
      <c r="D29" s="9">
        <v>50000</v>
      </c>
      <c r="E29" s="9">
        <v>0</v>
      </c>
      <c r="F29" s="9">
        <v>0</v>
      </c>
      <c r="G29" s="5">
        <f t="shared" si="14"/>
        <v>0</v>
      </c>
      <c r="H29" s="10" t="str">
        <f t="shared" si="0"/>
        <v>BANQUE</v>
      </c>
      <c r="I29" s="10"/>
      <c r="J29" s="11">
        <v>1</v>
      </c>
      <c r="K29" s="11">
        <f t="shared" si="6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0</v>
      </c>
      <c r="Q29" s="2">
        <v>0</v>
      </c>
      <c r="R29" s="2">
        <v>0</v>
      </c>
      <c r="S29" s="20"/>
      <c r="T29" s="12"/>
      <c r="U29" s="17">
        <f t="shared" si="7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60000</v>
      </c>
      <c r="AJ29" s="12"/>
      <c r="AK29" s="12"/>
      <c r="AL29" s="12">
        <v>1500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8"/>
        <v>25000</v>
      </c>
      <c r="AT29" s="15"/>
      <c r="AV29" s="15"/>
      <c r="AW29" s="15">
        <f t="shared" si="9"/>
        <v>60000</v>
      </c>
      <c r="AX29" s="15">
        <f t="shared" si="10"/>
        <v>0</v>
      </c>
      <c r="AY29" s="15">
        <f t="shared" si="11"/>
        <v>0</v>
      </c>
      <c r="AZ29" s="16">
        <f t="shared" si="12"/>
        <v>60000</v>
      </c>
      <c r="BA29" s="58">
        <v>60000</v>
      </c>
      <c r="BB29" s="58"/>
      <c r="BC29" s="15"/>
      <c r="BD29" s="57">
        <f t="shared" si="13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15"/>
        <v>0</v>
      </c>
      <c r="D30" s="9">
        <v>452000</v>
      </c>
      <c r="E30" s="9">
        <v>0</v>
      </c>
      <c r="F30" s="9">
        <v>0</v>
      </c>
      <c r="G30" s="5">
        <f t="shared" si="14"/>
        <v>0</v>
      </c>
      <c r="H30" s="10" t="str">
        <f t="shared" si="0"/>
        <v>BANQUE</v>
      </c>
      <c r="I30" s="10"/>
      <c r="J30" s="11">
        <v>1</v>
      </c>
      <c r="K30" s="11">
        <f t="shared" si="6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>
        <v>0</v>
      </c>
      <c r="R30" s="2">
        <v>202000</v>
      </c>
      <c r="S30" s="20"/>
      <c r="T30" s="12"/>
      <c r="U30" s="17">
        <f t="shared" si="7"/>
        <v>452000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 t="s">
        <v>8</v>
      </c>
      <c r="AQ30" s="8">
        <f t="shared" si="3"/>
        <v>0</v>
      </c>
      <c r="AR30" s="8">
        <f t="shared" si="4"/>
        <v>0</v>
      </c>
      <c r="AS30" s="13">
        <f t="shared" si="8"/>
        <v>25000</v>
      </c>
      <c r="AT30" s="15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</row>
    <row r="31" spans="1:69" ht="18.5" x14ac:dyDescent="0.45">
      <c r="A31" s="1" t="s">
        <v>37</v>
      </c>
      <c r="B31" s="1">
        <v>150000</v>
      </c>
      <c r="C31" s="5">
        <f t="shared" si="15"/>
        <v>0</v>
      </c>
      <c r="D31" s="9">
        <v>180000</v>
      </c>
      <c r="E31" s="9">
        <v>0</v>
      </c>
      <c r="F31" s="9">
        <v>0</v>
      </c>
      <c r="G31" s="5">
        <f t="shared" si="14"/>
        <v>0</v>
      </c>
      <c r="H31" s="10" t="str">
        <f t="shared" si="0"/>
        <v>BANQUE</v>
      </c>
      <c r="I31" s="10"/>
      <c r="J31" s="11">
        <v>1</v>
      </c>
      <c r="K31" s="11">
        <f t="shared" si="6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30000</v>
      </c>
      <c r="Q31" s="2">
        <v>0</v>
      </c>
      <c r="R31" s="2">
        <v>0</v>
      </c>
      <c r="S31" s="20"/>
      <c r="T31" s="12"/>
      <c r="U31" s="17">
        <f t="shared" si="7"/>
        <v>180000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8"/>
        <v>25000</v>
      </c>
      <c r="AT31" s="15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15"/>
        <v>0</v>
      </c>
      <c r="D32" s="9">
        <v>234500</v>
      </c>
      <c r="E32" s="9">
        <v>0</v>
      </c>
      <c r="F32" s="9">
        <v>0</v>
      </c>
      <c r="G32" s="5">
        <f t="shared" si="14"/>
        <v>0</v>
      </c>
      <c r="H32" s="10" t="str">
        <f t="shared" si="0"/>
        <v>BANQUE</v>
      </c>
      <c r="I32" s="10"/>
      <c r="J32" s="11">
        <v>1</v>
      </c>
      <c r="K32" s="11">
        <f t="shared" si="6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109500</v>
      </c>
      <c r="R32" s="2">
        <v>0</v>
      </c>
      <c r="S32" s="20"/>
      <c r="T32" s="12"/>
      <c r="U32" s="17">
        <f t="shared" si="7"/>
        <v>234500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8"/>
        <v>25000</v>
      </c>
      <c r="AT32" s="15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14">
        <f t="shared" si="15"/>
        <v>-85000</v>
      </c>
      <c r="D33" s="9">
        <v>160000</v>
      </c>
      <c r="E33" s="9">
        <v>0</v>
      </c>
      <c r="F33" s="9">
        <v>0</v>
      </c>
      <c r="G33" s="5">
        <f t="shared" si="14"/>
        <v>0</v>
      </c>
      <c r="H33" s="10" t="str">
        <f t="shared" si="0"/>
        <v>BANQUE</v>
      </c>
      <c r="I33" s="10">
        <f>10000+85000</f>
        <v>95000</v>
      </c>
      <c r="J33" s="11">
        <v>1</v>
      </c>
      <c r="K33" s="11">
        <f t="shared" si="6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7"/>
        <v>245000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8"/>
        <v>120000</v>
      </c>
      <c r="AT33" s="15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</row>
    <row r="34" spans="1:69" ht="18.5" x14ac:dyDescent="0.45">
      <c r="A34" s="1" t="s">
        <v>157</v>
      </c>
      <c r="B34" s="1">
        <v>50000</v>
      </c>
      <c r="C34" s="5">
        <f t="shared" si="15"/>
        <v>0</v>
      </c>
      <c r="D34" s="9">
        <v>50000</v>
      </c>
      <c r="E34" s="9">
        <v>0</v>
      </c>
      <c r="F34" s="9">
        <v>0</v>
      </c>
      <c r="G34" s="5">
        <f t="shared" si="14"/>
        <v>0</v>
      </c>
      <c r="H34" s="10" t="str">
        <f t="shared" si="0"/>
        <v>BANQUE</v>
      </c>
      <c r="I34" s="10"/>
      <c r="J34" s="11">
        <v>1</v>
      </c>
      <c r="K34" s="11">
        <f t="shared" si="6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7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8"/>
        <v>25000</v>
      </c>
      <c r="AT34" s="15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</row>
    <row r="35" spans="1:69" ht="18.5" x14ac:dyDescent="0.45">
      <c r="A35" s="21" t="s">
        <v>160</v>
      </c>
      <c r="B35" s="1">
        <v>125000</v>
      </c>
      <c r="C35" s="5">
        <f t="shared" si="15"/>
        <v>0</v>
      </c>
      <c r="D35" s="9">
        <v>60000</v>
      </c>
      <c r="E35" s="9">
        <v>0</v>
      </c>
      <c r="F35" s="9">
        <v>0</v>
      </c>
      <c r="G35" s="5">
        <f t="shared" si="14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6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>
        <v>0</v>
      </c>
      <c r="R35" s="2">
        <v>0</v>
      </c>
      <c r="S35" s="20"/>
      <c r="T35" s="12"/>
      <c r="U35" s="17">
        <f t="shared" si="7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8"/>
        <v>35000</v>
      </c>
      <c r="AT35" s="15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15"/>
        <v>0</v>
      </c>
      <c r="D36" s="9">
        <v>50000</v>
      </c>
      <c r="E36" s="9">
        <v>0</v>
      </c>
      <c r="F36" s="9">
        <v>0</v>
      </c>
      <c r="G36" s="5">
        <f t="shared" si="14"/>
        <v>0</v>
      </c>
      <c r="H36" s="10" t="str">
        <f t="shared" si="0"/>
        <v>BANQUE</v>
      </c>
      <c r="I36" s="10"/>
      <c r="J36" s="11">
        <v>1</v>
      </c>
      <c r="K36" s="11">
        <f t="shared" si="6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7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8"/>
        <v>25000</v>
      </c>
      <c r="AT36" s="15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>
        <v>100000</v>
      </c>
    </row>
    <row r="37" spans="1:69" ht="18.5" x14ac:dyDescent="0.45">
      <c r="A37" s="1" t="s">
        <v>193</v>
      </c>
      <c r="B37" s="1">
        <v>150000</v>
      </c>
      <c r="C37" s="5">
        <f t="shared" si="15"/>
        <v>0</v>
      </c>
      <c r="D37" s="9">
        <v>0</v>
      </c>
      <c r="E37" s="9">
        <v>153000</v>
      </c>
      <c r="F37" s="9">
        <v>0</v>
      </c>
      <c r="G37" s="5">
        <f t="shared" si="14"/>
        <v>3000</v>
      </c>
      <c r="H37" s="10" t="str">
        <f t="shared" si="0"/>
        <v>ESPECES</v>
      </c>
      <c r="I37" s="10"/>
      <c r="J37" s="11">
        <v>1</v>
      </c>
      <c r="K37" s="11">
        <f t="shared" si="6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7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8"/>
        <v>25000</v>
      </c>
      <c r="AT37" s="15"/>
      <c r="AV37" s="15"/>
      <c r="AW37" s="15">
        <f t="shared" si="9"/>
        <v>0</v>
      </c>
      <c r="AX37" s="15">
        <f t="shared" si="10"/>
        <v>0</v>
      </c>
      <c r="AY37" s="15">
        <f t="shared" si="11"/>
        <v>0</v>
      </c>
      <c r="AZ37" s="16">
        <f t="shared" si="12"/>
        <v>0</v>
      </c>
      <c r="BA37" s="58"/>
      <c r="BB37" s="58"/>
      <c r="BC37" s="15"/>
      <c r="BD37" s="57">
        <f t="shared" si="13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15"/>
        <v>0</v>
      </c>
      <c r="D38" s="9">
        <v>125000</v>
      </c>
      <c r="E38" s="9">
        <v>0</v>
      </c>
      <c r="F38" s="9">
        <v>0</v>
      </c>
      <c r="G38" s="5">
        <f t="shared" si="14"/>
        <v>0</v>
      </c>
      <c r="H38" s="10" t="str">
        <f t="shared" si="0"/>
        <v>BANQUE</v>
      </c>
      <c r="I38" s="10"/>
      <c r="J38" s="11">
        <v>1</v>
      </c>
      <c r="K38" s="11">
        <f t="shared" si="6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7"/>
        <v>125000</v>
      </c>
      <c r="V38" s="12"/>
      <c r="W38" s="12"/>
      <c r="X38" s="12"/>
      <c r="Y38" s="12"/>
      <c r="Z38" s="12"/>
      <c r="AA38" s="12"/>
      <c r="AB38" s="12"/>
      <c r="AC38" s="12">
        <v>2500</v>
      </c>
      <c r="AD38" s="12">
        <v>7500</v>
      </c>
      <c r="AE38" s="12"/>
      <c r="AF38" s="12" t="s">
        <v>8</v>
      </c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8"/>
        <v>25000</v>
      </c>
      <c r="AT38" s="15"/>
      <c r="AV38" s="15"/>
      <c r="AW38" s="15">
        <f t="shared" si="9"/>
        <v>297500</v>
      </c>
      <c r="AX38" s="15">
        <f t="shared" si="10"/>
        <v>892500</v>
      </c>
      <c r="AY38" s="15">
        <f t="shared" si="11"/>
        <v>0</v>
      </c>
      <c r="AZ38" s="16">
        <f t="shared" si="12"/>
        <v>1190000</v>
      </c>
      <c r="BA38" s="58"/>
      <c r="BB38" s="58"/>
      <c r="BC38" s="15"/>
      <c r="BD38" s="57">
        <f t="shared" si="13"/>
        <v>1190000</v>
      </c>
      <c r="BE38" s="82" t="s">
        <v>186</v>
      </c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6">SUM(C6:C39)</f>
        <v>-109500</v>
      </c>
      <c r="D40" s="5">
        <f t="shared" si="16"/>
        <v>6561000</v>
      </c>
      <c r="E40" s="5">
        <f t="shared" si="16"/>
        <v>633000</v>
      </c>
      <c r="F40" s="5">
        <f t="shared" si="16"/>
        <v>0</v>
      </c>
      <c r="G40" s="5">
        <f t="shared" si="16"/>
        <v>6000</v>
      </c>
      <c r="H40" s="5">
        <f t="shared" si="16"/>
        <v>0</v>
      </c>
      <c r="I40" s="5">
        <f t="shared" si="16"/>
        <v>126000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213000</v>
      </c>
      <c r="Q40" s="5">
        <f t="shared" si="16"/>
        <v>313500</v>
      </c>
      <c r="R40" s="5">
        <f t="shared" si="16"/>
        <v>1925000</v>
      </c>
      <c r="S40" s="5">
        <f t="shared" si="16"/>
        <v>100000</v>
      </c>
      <c r="T40" s="5"/>
      <c r="U40" s="5">
        <f t="shared" ref="U40:AA40" si="17">SUM(U6:U39)</f>
        <v>7283500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7500</v>
      </c>
      <c r="AD40" s="5">
        <f>SUM(AD6:AD39)</f>
        <v>7500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120500</v>
      </c>
      <c r="AJ40" s="5">
        <f t="shared" si="18"/>
        <v>250000</v>
      </c>
      <c r="AK40" s="5">
        <f t="shared" si="18"/>
        <v>1900000</v>
      </c>
      <c r="AL40" s="5">
        <f t="shared" si="18"/>
        <v>3000</v>
      </c>
      <c r="AM40" s="5">
        <f t="shared" si="18"/>
        <v>3000</v>
      </c>
      <c r="AN40" s="5">
        <f t="shared" si="18"/>
        <v>21000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926000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1013000</v>
      </c>
      <c r="AX40" s="5">
        <f t="shared" si="18"/>
        <v>1142500</v>
      </c>
      <c r="AY40" s="5">
        <f t="shared" si="18"/>
        <v>3090000</v>
      </c>
      <c r="AZ40" s="5">
        <f t="shared" si="18"/>
        <v>5673000</v>
      </c>
      <c r="BA40" s="5">
        <f t="shared" si="18"/>
        <v>633000</v>
      </c>
      <c r="BB40" s="5">
        <f t="shared" si="18"/>
        <v>20000</v>
      </c>
      <c r="BC40" s="5">
        <f t="shared" si="18"/>
        <v>0</v>
      </c>
      <c r="BD40" s="5">
        <f t="shared" si="18"/>
        <v>6492000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6000</v>
      </c>
      <c r="BI40" s="5">
        <f t="shared" si="19"/>
        <v>321500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100000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5673000</v>
      </c>
      <c r="D47" s="9">
        <f>SUMIFS(D8:D40,H8:H40,"BANQUE")</f>
        <v>6386000</v>
      </c>
      <c r="F47" s="9">
        <f>E40</f>
        <v>633000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10918500</v>
      </c>
    </row>
  </sheetData>
  <autoFilter ref="A5:AF38" xr:uid="{00000000-0009-0000-0000-00000D000000}"/>
  <mergeCells count="1">
    <mergeCell ref="B4:M4"/>
  </mergeCells>
  <dataValidations count="1">
    <dataValidation type="list" allowBlank="1" showInputMessage="1" showErrorMessage="1" sqref="T6:T38 AA6:AA38 AP6:AP38 AF6:AF38" xr:uid="{00000000-0002-0000-0D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Q85"/>
  <sheetViews>
    <sheetView zoomScaleNormal="100" workbookViewId="0">
      <pane xSplit="4" ySplit="5" topLeftCell="N6" activePane="bottomRight" state="frozen"/>
      <selection pane="topRight" activeCell="E1" sqref="E1"/>
      <selection pane="bottomLeft" activeCell="A6" sqref="A6"/>
      <selection pane="bottomRight" activeCell="P9" sqref="P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>
        <f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</f>
        <v>156000</v>
      </c>
      <c r="BE6" s="82"/>
      <c r="BF6" s="29">
        <f t="shared" ref="BF6:BF38" si="5">Z6*1/100*BG6</f>
        <v>0</v>
      </c>
      <c r="BG6" s="29">
        <v>1</v>
      </c>
      <c r="BH6" s="15">
        <f>BQ16</f>
        <v>6000</v>
      </c>
      <c r="BI6" s="15">
        <f>BQ28</f>
        <v>50000</v>
      </c>
      <c r="BJ6" s="15">
        <f>BQ33</f>
        <v>100000</v>
      </c>
      <c r="BK6" s="15"/>
      <c r="BL6" s="15"/>
      <c r="BM6" s="15"/>
      <c r="BN6" s="15">
        <f>+BQ22</f>
        <v>2000000</v>
      </c>
      <c r="BO6" t="s">
        <v>115</v>
      </c>
      <c r="BP6" t="s">
        <v>114</v>
      </c>
      <c r="BQ6" s="6"/>
    </row>
    <row r="7" spans="1:69" ht="18.5" x14ac:dyDescent="0.45">
      <c r="A7" s="1" t="s">
        <v>161</v>
      </c>
      <c r="B7" s="1">
        <v>50000</v>
      </c>
      <c r="C7" s="5">
        <f t="shared" ref="C7:C8" si="6">D7+E7+F7-U7-BB7</f>
        <v>0</v>
      </c>
      <c r="D7" s="9">
        <v>0</v>
      </c>
      <c r="E7" s="9">
        <v>50000</v>
      </c>
      <c r="F7" s="9">
        <v>0</v>
      </c>
      <c r="G7" s="5">
        <f>IF(H7="ESPECES",3000,0)-3000</f>
        <v>0</v>
      </c>
      <c r="H7" s="10" t="str">
        <f t="shared" si="0"/>
        <v>ESPECES</v>
      </c>
      <c r="I7" s="10"/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</row>
    <row r="8" spans="1:69" ht="18.5" x14ac:dyDescent="0.45">
      <c r="A8" s="1" t="s">
        <v>12</v>
      </c>
      <c r="B8" s="1">
        <v>125000</v>
      </c>
      <c r="C8" s="5">
        <f t="shared" si="6"/>
        <v>0</v>
      </c>
      <c r="D8" s="9">
        <v>125000</v>
      </c>
      <c r="E8" s="9">
        <v>0</v>
      </c>
      <c r="F8" s="9">
        <v>0</v>
      </c>
      <c r="G8" s="5">
        <f t="shared" ref="G8:G38" si="15">IF(H8="ESPECES",3000,0)</f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/>
      <c r="T8" s="12"/>
      <c r="U8" s="17">
        <f t="shared" si="8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</row>
    <row r="9" spans="1:69" ht="18.5" x14ac:dyDescent="0.45">
      <c r="A9" s="1" t="s">
        <v>13</v>
      </c>
      <c r="B9" s="1">
        <v>250000</v>
      </c>
      <c r="C9" s="5">
        <f t="shared" ref="C9:C38" si="16">D9+E9+F9-U9-BB9</f>
        <v>0</v>
      </c>
      <c r="D9" s="9">
        <v>401500</v>
      </c>
      <c r="E9" s="9">
        <v>0</v>
      </c>
      <c r="F9" s="9">
        <v>0</v>
      </c>
      <c r="G9" s="5">
        <f t="shared" si="15"/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151500</v>
      </c>
      <c r="S9" s="20"/>
      <c r="T9" s="12"/>
      <c r="U9" s="17">
        <f t="shared" si="8"/>
        <v>401500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100000</v>
      </c>
      <c r="AL9" s="12"/>
      <c r="AM9" s="12"/>
      <c r="AN9" s="12">
        <v>1000</v>
      </c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100000</v>
      </c>
      <c r="AZ9" s="16">
        <f t="shared" si="13"/>
        <v>100000</v>
      </c>
      <c r="BA9" s="58">
        <v>100000</v>
      </c>
      <c r="BB9" s="58"/>
      <c r="BC9" s="15"/>
      <c r="BD9" s="57">
        <f t="shared" si="14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</row>
    <row r="10" spans="1:69" ht="18.5" x14ac:dyDescent="0.45">
      <c r="A10" s="1" t="s">
        <v>14</v>
      </c>
      <c r="B10" s="1">
        <v>50000</v>
      </c>
      <c r="C10" s="5">
        <f t="shared" si="16"/>
        <v>0</v>
      </c>
      <c r="D10" s="9">
        <v>285000</v>
      </c>
      <c r="E10" s="9">
        <v>0</v>
      </c>
      <c r="F10" s="9">
        <v>0</v>
      </c>
      <c r="G10" s="5">
        <f t="shared" si="15"/>
        <v>0</v>
      </c>
      <c r="H10" s="10" t="str">
        <f t="shared" si="0"/>
        <v>BANQUE</v>
      </c>
      <c r="I10" s="10">
        <v>-3000</v>
      </c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62000</v>
      </c>
      <c r="Q10" s="2">
        <v>101000</v>
      </c>
      <c r="R10" s="2">
        <v>0</v>
      </c>
      <c r="S10" s="20"/>
      <c r="T10" s="12"/>
      <c r="U10" s="17">
        <f t="shared" si="8"/>
        <v>285000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>
        <v>130000</v>
      </c>
      <c r="AK10" s="12"/>
      <c r="AL10" s="12">
        <v>1000</v>
      </c>
      <c r="AM10" s="12">
        <v>2000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9"/>
        <v>22000</v>
      </c>
      <c r="AT10" s="15"/>
      <c r="AV10" s="15"/>
      <c r="AW10" s="15">
        <f t="shared" si="10"/>
        <v>60000</v>
      </c>
      <c r="AX10" s="15">
        <f t="shared" si="11"/>
        <v>130000</v>
      </c>
      <c r="AY10" s="15">
        <f t="shared" si="12"/>
        <v>0</v>
      </c>
      <c r="AZ10" s="16">
        <f t="shared" si="13"/>
        <v>190000</v>
      </c>
      <c r="BA10" s="58"/>
      <c r="BB10" s="58"/>
      <c r="BC10" s="15"/>
      <c r="BD10" s="57">
        <f t="shared" si="14"/>
        <v>190000</v>
      </c>
      <c r="BE10" s="82" t="s">
        <v>186</v>
      </c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</row>
    <row r="11" spans="1:69" ht="18.5" x14ac:dyDescent="0.45">
      <c r="A11" s="1" t="s">
        <v>15</v>
      </c>
      <c r="B11" s="1">
        <v>125000</v>
      </c>
      <c r="C11" s="5">
        <f t="shared" si="16"/>
        <v>-101000</v>
      </c>
      <c r="D11" s="9">
        <v>125000</v>
      </c>
      <c r="E11" s="9">
        <v>0</v>
      </c>
      <c r="F11" s="9">
        <v>0</v>
      </c>
      <c r="G11" s="5">
        <f t="shared" si="15"/>
        <v>0</v>
      </c>
      <c r="H11" s="10" t="str">
        <f t="shared" si="0"/>
        <v>BANQUE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101000</v>
      </c>
      <c r="R11" s="2">
        <v>0</v>
      </c>
      <c r="S11" s="20"/>
      <c r="T11" s="12"/>
      <c r="U11" s="17">
        <f t="shared" si="8"/>
        <v>226000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101000</v>
      </c>
      <c r="AK11" s="12"/>
      <c r="AL11" s="12"/>
      <c r="AM11" s="12">
        <v>2000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101000</v>
      </c>
      <c r="AY11" s="15">
        <f t="shared" si="12"/>
        <v>0</v>
      </c>
      <c r="AZ11" s="16">
        <f t="shared" si="13"/>
        <v>101000</v>
      </c>
      <c r="BA11" s="58"/>
      <c r="BB11" s="58"/>
      <c r="BC11" s="15"/>
      <c r="BD11" s="57">
        <f>IF(AZ11=0,(AZ11-BA11-BC11),(AZ11-BA11-BB11-BC11))-101000</f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</row>
    <row r="12" spans="1:69" ht="18.5" x14ac:dyDescent="0.45">
      <c r="A12" s="1" t="s">
        <v>16</v>
      </c>
      <c r="B12" s="1">
        <v>250000</v>
      </c>
      <c r="C12" s="5">
        <f t="shared" si="16"/>
        <v>0</v>
      </c>
      <c r="D12" s="9">
        <v>736000</v>
      </c>
      <c r="E12" s="9">
        <v>0</v>
      </c>
      <c r="F12" s="9">
        <v>0</v>
      </c>
      <c r="G12" s="5">
        <f t="shared" si="15"/>
        <v>0</v>
      </c>
      <c r="H12" s="10" t="str">
        <f t="shared" si="0"/>
        <v>BANQUE</v>
      </c>
      <c r="I12" s="10">
        <v>7000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0</v>
      </c>
      <c r="Q12" s="2">
        <v>0</v>
      </c>
      <c r="R12" s="2">
        <v>404000</v>
      </c>
      <c r="S12" s="20"/>
      <c r="T12" s="12"/>
      <c r="U12" s="17">
        <f t="shared" si="8"/>
        <v>736000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>
        <v>60000</v>
      </c>
      <c r="AJ12" s="12">
        <v>100500</v>
      </c>
      <c r="AK12" s="12">
        <v>500000</v>
      </c>
      <c r="AL12" s="12">
        <v>1000</v>
      </c>
      <c r="AM12" s="12">
        <v>1000</v>
      </c>
      <c r="AN12" s="12">
        <v>5000</v>
      </c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9"/>
        <v>32000</v>
      </c>
      <c r="AT12" s="15"/>
      <c r="AV12" s="15"/>
      <c r="AW12" s="15">
        <f t="shared" si="10"/>
        <v>60000</v>
      </c>
      <c r="AX12" s="15">
        <f t="shared" si="11"/>
        <v>100500</v>
      </c>
      <c r="AY12" s="15">
        <f t="shared" si="12"/>
        <v>500000</v>
      </c>
      <c r="AZ12" s="16">
        <f t="shared" si="13"/>
        <v>660500</v>
      </c>
      <c r="BA12" s="58">
        <v>60000</v>
      </c>
      <c r="BB12" s="58"/>
      <c r="BC12" s="15"/>
      <c r="BD12" s="57">
        <f t="shared" si="14"/>
        <v>600500</v>
      </c>
      <c r="BE12" s="82" t="s">
        <v>186</v>
      </c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</row>
    <row r="13" spans="1:69" ht="18.5" x14ac:dyDescent="0.45">
      <c r="A13" s="1" t="s">
        <v>17</v>
      </c>
      <c r="B13" s="1">
        <v>50000</v>
      </c>
      <c r="C13" s="5">
        <f t="shared" si="16"/>
        <v>0</v>
      </c>
      <c r="D13" s="9">
        <v>50000</v>
      </c>
      <c r="E13" s="9">
        <v>0</v>
      </c>
      <c r="F13" s="9">
        <v>0</v>
      </c>
      <c r="G13" s="5">
        <f t="shared" si="15"/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/>
      <c r="T13" s="12"/>
      <c r="U13" s="17">
        <f t="shared" si="8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 t="s">
        <v>8</v>
      </c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</row>
    <row r="14" spans="1:69" ht="18.5" x14ac:dyDescent="0.45">
      <c r="A14" s="1" t="s">
        <v>18</v>
      </c>
      <c r="B14" s="1">
        <v>50000</v>
      </c>
      <c r="C14" s="5">
        <f t="shared" si="16"/>
        <v>-3000</v>
      </c>
      <c r="D14" s="9">
        <v>0</v>
      </c>
      <c r="E14" s="9">
        <v>50000</v>
      </c>
      <c r="F14" s="9">
        <v>0</v>
      </c>
      <c r="G14" s="5">
        <f>IF(H14="ESPECES",3000,0)</f>
        <v>3000</v>
      </c>
      <c r="H14" s="10" t="str">
        <f t="shared" si="0"/>
        <v>ESPECES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8"/>
        <v>53000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 t="s">
        <v>8</v>
      </c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297500</v>
      </c>
      <c r="AX14" s="15">
        <f t="shared" si="11"/>
        <v>0</v>
      </c>
      <c r="AY14" s="15">
        <f t="shared" si="12"/>
        <v>0</v>
      </c>
      <c r="AZ14" s="16">
        <f t="shared" si="13"/>
        <v>297500</v>
      </c>
      <c r="BA14" s="58"/>
      <c r="BB14" s="58"/>
      <c r="BC14" s="15"/>
      <c r="BD14" s="57">
        <f t="shared" si="14"/>
        <v>297500</v>
      </c>
      <c r="BE14" s="82" t="s">
        <v>186</v>
      </c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P14" t="s">
        <v>114</v>
      </c>
      <c r="BQ14" s="6"/>
    </row>
    <row r="15" spans="1:69" ht="18.5" x14ac:dyDescent="0.45">
      <c r="A15" s="1" t="s">
        <v>20</v>
      </c>
      <c r="B15" s="1">
        <v>125000</v>
      </c>
      <c r="C15" s="5">
        <f t="shared" si="16"/>
        <v>0</v>
      </c>
      <c r="D15" s="9">
        <v>125000</v>
      </c>
      <c r="E15" s="9">
        <v>0</v>
      </c>
      <c r="F15" s="9">
        <v>0</v>
      </c>
      <c r="G15" s="5">
        <f t="shared" si="15"/>
        <v>0</v>
      </c>
      <c r="H15" s="10" t="str">
        <f t="shared" si="0"/>
        <v>BANQUE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>
        <f t="shared" si="16"/>
        <v>10000</v>
      </c>
      <c r="D16" s="9">
        <v>543000</v>
      </c>
      <c r="E16" s="9">
        <v>0</v>
      </c>
      <c r="F16" s="9">
        <v>0</v>
      </c>
      <c r="G16" s="5">
        <f t="shared" si="15"/>
        <v>0</v>
      </c>
      <c r="H16" s="10" t="str">
        <f t="shared" si="0"/>
        <v>BANQUE</v>
      </c>
      <c r="I16" s="10">
        <f>15000-10000</f>
        <v>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0</v>
      </c>
      <c r="R16" s="2">
        <v>303000</v>
      </c>
      <c r="S16" s="20"/>
      <c r="T16" s="12"/>
      <c r="U16" s="17">
        <f t="shared" si="8"/>
        <v>533000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>
        <v>200000</v>
      </c>
      <c r="AK16" s="12">
        <v>200000</v>
      </c>
      <c r="AL16" s="12"/>
      <c r="AM16" s="12">
        <v>2000</v>
      </c>
      <c r="AN16" s="12">
        <v>2000</v>
      </c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9"/>
        <v>30000</v>
      </c>
      <c r="AT16" s="15"/>
      <c r="AV16" s="15"/>
      <c r="AW16" s="15">
        <f t="shared" si="10"/>
        <v>0</v>
      </c>
      <c r="AX16" s="15">
        <f t="shared" si="11"/>
        <v>200000</v>
      </c>
      <c r="AY16" s="15">
        <f t="shared" si="12"/>
        <v>200000</v>
      </c>
      <c r="AZ16" s="16">
        <f t="shared" si="13"/>
        <v>400000</v>
      </c>
      <c r="BA16" s="58"/>
      <c r="BB16" s="58"/>
      <c r="BC16" s="15"/>
      <c r="BD16" s="57">
        <f t="shared" si="14"/>
        <v>400000</v>
      </c>
      <c r="BE16" s="82" t="s">
        <v>186</v>
      </c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O16" s="62" t="s">
        <v>142</v>
      </c>
      <c r="BQ16" s="62">
        <f>SUM(BQ6:BQ15)</f>
        <v>6000</v>
      </c>
    </row>
    <row r="17" spans="1:69" ht="18.5" x14ac:dyDescent="0.45">
      <c r="A17" s="1" t="s">
        <v>22</v>
      </c>
      <c r="B17" s="1">
        <v>150000</v>
      </c>
      <c r="C17" s="5">
        <f t="shared" si="16"/>
        <v>-101500</v>
      </c>
      <c r="D17" s="9">
        <v>200000</v>
      </c>
      <c r="E17" s="9">
        <v>0</v>
      </c>
      <c r="F17" s="9">
        <v>0</v>
      </c>
      <c r="G17" s="5">
        <f t="shared" si="15"/>
        <v>0</v>
      </c>
      <c r="H17" s="10" t="str">
        <f t="shared" si="0"/>
        <v>BANQUE</v>
      </c>
      <c r="I17" s="10"/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>
        <v>0</v>
      </c>
      <c r="R17" s="2">
        <v>151500</v>
      </c>
      <c r="S17" s="20"/>
      <c r="T17" s="12"/>
      <c r="U17" s="17">
        <f t="shared" si="8"/>
        <v>301500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101500</v>
      </c>
      <c r="AL17" s="12"/>
      <c r="AM17" s="12"/>
      <c r="AN17" s="12">
        <v>3000</v>
      </c>
      <c r="AO17" s="12"/>
      <c r="AP17" s="12" t="s">
        <v>8</v>
      </c>
      <c r="AQ17" s="8">
        <f t="shared" si="3"/>
        <v>0</v>
      </c>
      <c r="AR17" s="8">
        <f t="shared" si="4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101500</v>
      </c>
      <c r="AZ17" s="16">
        <f t="shared" si="13"/>
        <v>101500</v>
      </c>
      <c r="BA17" s="58"/>
      <c r="BB17" s="58"/>
      <c r="BC17" s="15"/>
      <c r="BD17" s="57">
        <f>IF(AZ17=0,(AZ17-BA17-BC17),(AZ17-BA17-BB17-BC17))-101500</f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14">
        <f t="shared" si="16"/>
        <v>3000</v>
      </c>
      <c r="D18" s="9">
        <v>0</v>
      </c>
      <c r="E18" s="9">
        <v>160000</v>
      </c>
      <c r="F18" s="9">
        <v>0</v>
      </c>
      <c r="G18" s="5">
        <f>IF(H18="ESPECES",3000,0)</f>
        <v>3000</v>
      </c>
      <c r="H18" s="10" t="str">
        <f t="shared" si="0"/>
        <v>ESPECES</v>
      </c>
      <c r="I18" s="10">
        <v>4000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0</v>
      </c>
      <c r="S18" s="20"/>
      <c r="T18" s="12"/>
      <c r="U18" s="17">
        <f t="shared" si="8"/>
        <v>157000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29000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100000</v>
      </c>
      <c r="AZ18" s="16">
        <f t="shared" si="13"/>
        <v>100000</v>
      </c>
      <c r="BA18" s="58">
        <v>100000</v>
      </c>
      <c r="BB18" s="58"/>
      <c r="BC18" s="15"/>
      <c r="BD18" s="57">
        <f t="shared" si="14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2000000</v>
      </c>
    </row>
    <row r="19" spans="1:69" ht="18.5" x14ac:dyDescent="0.45">
      <c r="A19" s="1" t="s">
        <v>195</v>
      </c>
      <c r="B19" s="1">
        <v>50000</v>
      </c>
      <c r="C19" s="5">
        <f t="shared" si="16"/>
        <v>0</v>
      </c>
      <c r="D19" s="9">
        <v>50000</v>
      </c>
      <c r="E19" s="9">
        <v>0</v>
      </c>
      <c r="F19" s="9">
        <v>0</v>
      </c>
      <c r="G19" s="5">
        <f t="shared" si="15"/>
        <v>0</v>
      </c>
      <c r="H19" s="10" t="str">
        <f t="shared" si="0"/>
        <v>BANQUE</v>
      </c>
      <c r="I19" s="10"/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25000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>
        <f t="shared" si="16"/>
        <v>0</v>
      </c>
      <c r="D20" s="9">
        <v>629000</v>
      </c>
      <c r="E20" s="9">
        <v>51000</v>
      </c>
      <c r="F20" s="9">
        <v>0</v>
      </c>
      <c r="G20" s="5">
        <f t="shared" si="15"/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0</v>
      </c>
      <c r="Q20" s="2">
        <v>51000</v>
      </c>
      <c r="R20" s="2">
        <v>404000</v>
      </c>
      <c r="S20" s="20"/>
      <c r="T20" s="12"/>
      <c r="U20" s="17">
        <f t="shared" si="8"/>
        <v>680000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130000</v>
      </c>
      <c r="AJ20" s="12">
        <v>200000</v>
      </c>
      <c r="AK20" s="12">
        <v>200000</v>
      </c>
      <c r="AL20" s="12">
        <v>2000</v>
      </c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130000</v>
      </c>
      <c r="AX20" s="15">
        <f t="shared" si="11"/>
        <v>200000</v>
      </c>
      <c r="AY20" s="15">
        <f t="shared" si="12"/>
        <v>200000</v>
      </c>
      <c r="AZ20" s="16">
        <f t="shared" si="13"/>
        <v>536000</v>
      </c>
      <c r="BA20" s="58">
        <v>147000</v>
      </c>
      <c r="BB20" s="58"/>
      <c r="BC20" s="15"/>
      <c r="BD20" s="57">
        <f t="shared" si="14"/>
        <v>389000</v>
      </c>
      <c r="BE20" s="82" t="s">
        <v>186</v>
      </c>
      <c r="BF20" s="29">
        <f t="shared" si="5"/>
        <v>0</v>
      </c>
      <c r="BG20" s="29">
        <v>1</v>
      </c>
      <c r="BH20" s="15"/>
      <c r="BI20" s="15"/>
      <c r="BJ20" s="15"/>
      <c r="BK20" s="15">
        <v>6000</v>
      </c>
      <c r="BL20" s="61"/>
      <c r="BQ20" s="6"/>
    </row>
    <row r="21" spans="1:69" ht="18.5" x14ac:dyDescent="0.45">
      <c r="A21" s="1" t="s">
        <v>26</v>
      </c>
      <c r="B21" s="1">
        <v>50000</v>
      </c>
      <c r="C21" s="5">
        <f t="shared" si="16"/>
        <v>0</v>
      </c>
      <c r="D21" s="9">
        <v>50000</v>
      </c>
      <c r="E21" s="9">
        <v>0</v>
      </c>
      <c r="F21" s="9">
        <v>0</v>
      </c>
      <c r="G21" s="5">
        <f t="shared" si="15"/>
        <v>0</v>
      </c>
      <c r="H21" s="10" t="str">
        <f t="shared" si="0"/>
        <v>BANQUE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/>
      <c r="T21" s="12"/>
      <c r="U21" s="17">
        <f t="shared" si="8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>
        <f t="shared" si="16"/>
        <v>0</v>
      </c>
      <c r="D22" s="9">
        <v>125000</v>
      </c>
      <c r="E22" s="9">
        <v>0</v>
      </c>
      <c r="F22" s="9">
        <v>892500</v>
      </c>
      <c r="G22" s="5">
        <f t="shared" si="15"/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>
        <v>0</v>
      </c>
      <c r="S22" s="20">
        <v>892500</v>
      </c>
      <c r="T22" s="12" t="s">
        <v>8</v>
      </c>
      <c r="U22" s="17">
        <f t="shared" si="8"/>
        <v>1017500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892500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2000000</v>
      </c>
    </row>
    <row r="23" spans="1:69" ht="18.5" x14ac:dyDescent="0.45">
      <c r="A23" s="1" t="s">
        <v>28</v>
      </c>
      <c r="B23" s="1">
        <v>250000</v>
      </c>
      <c r="C23" s="5">
        <f t="shared" si="16"/>
        <v>0</v>
      </c>
      <c r="D23" s="9">
        <v>462000</v>
      </c>
      <c r="E23" s="9">
        <v>0</v>
      </c>
      <c r="F23" s="9">
        <v>0</v>
      </c>
      <c r="G23" s="5">
        <f t="shared" si="15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>
        <v>0</v>
      </c>
      <c r="R23" s="2">
        <v>202000</v>
      </c>
      <c r="S23" s="20"/>
      <c r="T23" s="12"/>
      <c r="U23" s="17">
        <f t="shared" si="8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400000</v>
      </c>
      <c r="AL23" s="12"/>
      <c r="AM23" s="12"/>
      <c r="AN23" s="12">
        <v>4000</v>
      </c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400000</v>
      </c>
      <c r="AZ23" s="16">
        <f t="shared" si="13"/>
        <v>400000</v>
      </c>
      <c r="BA23" s="58"/>
      <c r="BB23" s="58"/>
      <c r="BC23" s="15"/>
      <c r="BD23" s="57">
        <f t="shared" si="14"/>
        <v>400000</v>
      </c>
      <c r="BE23" s="82" t="s">
        <v>186</v>
      </c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>
        <f t="shared" si="16"/>
        <v>0</v>
      </c>
      <c r="D24" s="9">
        <v>240000</v>
      </c>
      <c r="E24" s="9">
        <v>205000</v>
      </c>
      <c r="F24" s="9">
        <v>0</v>
      </c>
      <c r="G24" s="5">
        <f>IF(H24="ESPECES",3000,0)+3000</f>
        <v>3000</v>
      </c>
      <c r="H24" s="10" t="str">
        <f t="shared" si="0"/>
        <v>BANQUE</v>
      </c>
      <c r="I24" s="10">
        <v>15000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202000</v>
      </c>
      <c r="S24" s="20"/>
      <c r="T24" s="12"/>
      <c r="U24" s="17">
        <f t="shared" si="8"/>
        <v>445000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202000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9"/>
        <v>40000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202000</v>
      </c>
      <c r="AZ24" s="16">
        <f t="shared" si="13"/>
        <v>202000</v>
      </c>
      <c r="BA24" s="58">
        <v>202000</v>
      </c>
      <c r="BB24" s="58"/>
      <c r="BC24" s="15"/>
      <c r="BD24" s="57">
        <f t="shared" si="14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</row>
    <row r="25" spans="1:69" ht="18.5" x14ac:dyDescent="0.45">
      <c r="A25" s="1" t="s">
        <v>30</v>
      </c>
      <c r="B25" s="1">
        <v>250000</v>
      </c>
      <c r="C25" s="5">
        <f t="shared" si="16"/>
        <v>0</v>
      </c>
      <c r="D25" s="9">
        <v>480000</v>
      </c>
      <c r="E25" s="9">
        <v>0</v>
      </c>
      <c r="F25" s="9">
        <v>0</v>
      </c>
      <c r="G25" s="5">
        <f t="shared" si="15"/>
        <v>0</v>
      </c>
      <c r="H25" s="10" t="str">
        <f t="shared" si="0"/>
        <v>BANQUE</v>
      </c>
      <c r="I25" s="10">
        <v>4000</v>
      </c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0</v>
      </c>
      <c r="R25" s="2">
        <v>101000</v>
      </c>
      <c r="S25" s="20"/>
      <c r="T25" s="12"/>
      <c r="U25" s="17">
        <f t="shared" si="8"/>
        <v>480000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9"/>
        <v>29000</v>
      </c>
      <c r="AT25" s="15"/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0</v>
      </c>
      <c r="BA25" s="58"/>
      <c r="BB25" s="58"/>
      <c r="BC25" s="15"/>
      <c r="BD25" s="57">
        <f>IF(AZ25=0,(AZ25-BA25-BC25),(AZ25-BA25-BB25-BC25))+2000000</f>
        <v>2000000</v>
      </c>
      <c r="BE25" s="82" t="s">
        <v>186</v>
      </c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O25" t="s">
        <v>125</v>
      </c>
      <c r="BP25" t="s">
        <v>143</v>
      </c>
    </row>
    <row r="26" spans="1:69" ht="18.5" x14ac:dyDescent="0.45">
      <c r="A26" s="1" t="s">
        <v>31</v>
      </c>
      <c r="B26" s="1">
        <v>50000</v>
      </c>
      <c r="C26" s="5">
        <f t="shared" si="16"/>
        <v>0</v>
      </c>
      <c r="D26" s="9">
        <v>50000</v>
      </c>
      <c r="E26" s="9">
        <v>0</v>
      </c>
      <c r="F26" s="9">
        <v>0</v>
      </c>
      <c r="G26" s="5">
        <f t="shared" si="15"/>
        <v>0</v>
      </c>
      <c r="H26" s="10" t="str">
        <f t="shared" si="0"/>
        <v>BANQUE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0</v>
      </c>
      <c r="Q26" s="2">
        <v>0</v>
      </c>
      <c r="R26" s="2">
        <v>0</v>
      </c>
      <c r="S26" s="20"/>
      <c r="T26" s="12"/>
      <c r="U26" s="17">
        <f t="shared" si="8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0</v>
      </c>
      <c r="BA26" s="58"/>
      <c r="BB26" s="58"/>
      <c r="BC26" s="15"/>
      <c r="BD26" s="57">
        <f t="shared" si="14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</row>
    <row r="27" spans="1:69" ht="18.5" x14ac:dyDescent="0.45">
      <c r="A27" s="1" t="s">
        <v>158</v>
      </c>
      <c r="B27" s="1">
        <v>50000</v>
      </c>
      <c r="C27" s="5">
        <f t="shared" si="16"/>
        <v>0</v>
      </c>
      <c r="D27" s="9">
        <v>50000</v>
      </c>
      <c r="E27" s="9">
        <v>0</v>
      </c>
      <c r="F27" s="9">
        <v>0</v>
      </c>
      <c r="G27" s="5">
        <f t="shared" si="15"/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>
        <v>0</v>
      </c>
      <c r="R27" s="2">
        <v>0</v>
      </c>
      <c r="S27" s="20"/>
      <c r="T27" s="12"/>
      <c r="U27" s="17">
        <f t="shared" si="8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O27" t="s">
        <v>217</v>
      </c>
      <c r="BQ27" s="6">
        <v>50000</v>
      </c>
    </row>
    <row r="28" spans="1:69" ht="18.5" x14ac:dyDescent="0.45">
      <c r="A28" s="1" t="s">
        <v>34</v>
      </c>
      <c r="B28" s="1">
        <v>125000</v>
      </c>
      <c r="C28" s="5">
        <f t="shared" si="16"/>
        <v>0</v>
      </c>
      <c r="D28" s="9">
        <v>125000</v>
      </c>
      <c r="E28" s="9">
        <v>0</v>
      </c>
      <c r="F28" s="9">
        <v>0</v>
      </c>
      <c r="G28" s="5">
        <f t="shared" si="15"/>
        <v>0</v>
      </c>
      <c r="H28" s="10" t="str">
        <f t="shared" si="0"/>
        <v>BANQUE</v>
      </c>
      <c r="I28" s="10"/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8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O28" s="62" t="s">
        <v>142</v>
      </c>
      <c r="BQ28" s="62">
        <f>SUM(BQ24:BQ27)</f>
        <v>50000</v>
      </c>
    </row>
    <row r="29" spans="1:69" ht="18.5" x14ac:dyDescent="0.45">
      <c r="A29" s="1" t="s">
        <v>159</v>
      </c>
      <c r="B29" s="1">
        <v>50000</v>
      </c>
      <c r="C29" s="5">
        <f t="shared" si="16"/>
        <v>0</v>
      </c>
      <c r="D29" s="9">
        <v>120000</v>
      </c>
      <c r="E29" s="9">
        <v>0</v>
      </c>
      <c r="F29" s="9">
        <v>0</v>
      </c>
      <c r="G29" s="5">
        <f t="shared" si="15"/>
        <v>0</v>
      </c>
      <c r="H29" s="10" t="str">
        <f t="shared" si="0"/>
        <v>BANQUE</v>
      </c>
      <c r="I29" s="10">
        <v>8500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61500</v>
      </c>
      <c r="Q29" s="2">
        <v>0</v>
      </c>
      <c r="R29" s="2">
        <v>0</v>
      </c>
      <c r="S29" s="20"/>
      <c r="T29" s="12"/>
      <c r="U29" s="17">
        <f t="shared" si="8"/>
        <v>120000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60000</v>
      </c>
      <c r="AJ29" s="12"/>
      <c r="AK29" s="12"/>
      <c r="AL29" s="12">
        <v>1000</v>
      </c>
      <c r="AM29" s="12"/>
      <c r="AN29" s="12"/>
      <c r="AO29" s="12"/>
      <c r="AP29" s="12" t="s">
        <v>8</v>
      </c>
      <c r="AQ29" s="8">
        <f t="shared" si="3"/>
        <v>0</v>
      </c>
      <c r="AR29" s="8">
        <f t="shared" si="4"/>
        <v>0</v>
      </c>
      <c r="AS29" s="13">
        <f t="shared" si="9"/>
        <v>33500</v>
      </c>
      <c r="AT29" s="15"/>
      <c r="AV29" s="15"/>
      <c r="AW29" s="15">
        <f t="shared" si="10"/>
        <v>60000</v>
      </c>
      <c r="AX29" s="15">
        <f t="shared" si="11"/>
        <v>0</v>
      </c>
      <c r="AY29" s="15">
        <f t="shared" si="12"/>
        <v>0</v>
      </c>
      <c r="AZ29" s="16">
        <f t="shared" si="13"/>
        <v>160000</v>
      </c>
      <c r="BA29" s="58">
        <v>60000</v>
      </c>
      <c r="BB29" s="58"/>
      <c r="BC29" s="15"/>
      <c r="BD29" s="57">
        <f t="shared" si="14"/>
        <v>100000</v>
      </c>
      <c r="BE29" s="82" t="s">
        <v>186</v>
      </c>
      <c r="BF29" s="29">
        <f t="shared" si="5"/>
        <v>0</v>
      </c>
      <c r="BG29" s="29">
        <v>1</v>
      </c>
      <c r="BH29" s="15"/>
      <c r="BI29" s="15"/>
      <c r="BJ29" s="15"/>
      <c r="BK29" s="15">
        <v>100000</v>
      </c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>
        <f t="shared" si="16"/>
        <v>0</v>
      </c>
      <c r="D30" s="9">
        <v>250000</v>
      </c>
      <c r="E30" s="9">
        <v>0</v>
      </c>
      <c r="F30" s="9">
        <v>0</v>
      </c>
      <c r="G30" s="5">
        <f t="shared" si="15"/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>
        <v>0</v>
      </c>
      <c r="R30" s="2">
        <v>0</v>
      </c>
      <c r="S30" s="20"/>
      <c r="T30" s="12"/>
      <c r="U30" s="17">
        <f t="shared" si="8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>
        <v>200000</v>
      </c>
      <c r="AL30" s="12"/>
      <c r="AM30" s="12"/>
      <c r="AN30" s="12">
        <v>2000</v>
      </c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200000</v>
      </c>
      <c r="AZ30" s="16">
        <f t="shared" si="13"/>
        <v>200000</v>
      </c>
      <c r="BA30" s="58"/>
      <c r="BB30" s="58"/>
      <c r="BC30" s="15"/>
      <c r="BD30" s="57">
        <f t="shared" si="14"/>
        <v>200000</v>
      </c>
      <c r="BE30" s="82" t="s">
        <v>186</v>
      </c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>
        <v>100000</v>
      </c>
    </row>
    <row r="31" spans="1:69" ht="18.5" x14ac:dyDescent="0.45">
      <c r="A31" s="1" t="s">
        <v>37</v>
      </c>
      <c r="B31" s="1">
        <v>150000</v>
      </c>
      <c r="C31" s="5">
        <f t="shared" si="16"/>
        <v>0</v>
      </c>
      <c r="D31" s="9">
        <v>150000</v>
      </c>
      <c r="E31" s="9">
        <v>0</v>
      </c>
      <c r="F31" s="9">
        <v>0</v>
      </c>
      <c r="G31" s="5">
        <f t="shared" si="15"/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>
        <v>0</v>
      </c>
      <c r="R31" s="2">
        <v>0</v>
      </c>
      <c r="S31" s="20"/>
      <c r="T31" s="12"/>
      <c r="U31" s="17">
        <f t="shared" si="8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</row>
    <row r="32" spans="1:69" ht="18.5" x14ac:dyDescent="0.45">
      <c r="A32" s="1" t="s">
        <v>38</v>
      </c>
      <c r="B32" s="1">
        <v>125000</v>
      </c>
      <c r="C32" s="5">
        <f t="shared" si="16"/>
        <v>0</v>
      </c>
      <c r="D32" s="9">
        <v>125000</v>
      </c>
      <c r="E32" s="9">
        <v>0</v>
      </c>
      <c r="F32" s="9">
        <v>0</v>
      </c>
      <c r="G32" s="5">
        <f t="shared" si="15"/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0</v>
      </c>
      <c r="R32" s="2">
        <v>0</v>
      </c>
      <c r="S32" s="20"/>
      <c r="T32" s="12"/>
      <c r="U32" s="17">
        <f t="shared" si="8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200000</v>
      </c>
      <c r="AK32" s="12"/>
      <c r="AL32" s="12"/>
      <c r="AM32" s="12">
        <v>2000</v>
      </c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200000</v>
      </c>
      <c r="AY32" s="15">
        <f t="shared" si="12"/>
        <v>0</v>
      </c>
      <c r="AZ32" s="16">
        <f t="shared" si="13"/>
        <v>200000</v>
      </c>
      <c r="BA32" s="58"/>
      <c r="BB32" s="58"/>
      <c r="BC32" s="15"/>
      <c r="BD32" s="57">
        <f t="shared" si="14"/>
        <v>200000</v>
      </c>
      <c r="BE32" s="82" t="s">
        <v>186</v>
      </c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O32" t="s">
        <v>203</v>
      </c>
    </row>
    <row r="33" spans="1:69" ht="18.5" x14ac:dyDescent="0.45">
      <c r="A33" s="1" t="s">
        <v>194</v>
      </c>
      <c r="B33" s="1">
        <v>150000</v>
      </c>
      <c r="C33" s="5">
        <f t="shared" si="16"/>
        <v>0</v>
      </c>
      <c r="D33" s="9">
        <v>160000</v>
      </c>
      <c r="E33" s="9">
        <v>0</v>
      </c>
      <c r="F33" s="9">
        <v>0</v>
      </c>
      <c r="G33" s="5">
        <f t="shared" si="15"/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100000</v>
      </c>
    </row>
    <row r="34" spans="1:69" ht="18.5" x14ac:dyDescent="0.45">
      <c r="A34" s="1" t="s">
        <v>157</v>
      </c>
      <c r="B34" s="1">
        <v>50000</v>
      </c>
      <c r="C34" s="5">
        <f t="shared" si="16"/>
        <v>0</v>
      </c>
      <c r="D34" s="9">
        <v>50000</v>
      </c>
      <c r="E34" s="9">
        <v>0</v>
      </c>
      <c r="F34" s="9">
        <v>0</v>
      </c>
      <c r="G34" s="5">
        <f t="shared" si="15"/>
        <v>0</v>
      </c>
      <c r="H34" s="10" t="str">
        <f t="shared" si="0"/>
        <v>BANQUE</v>
      </c>
      <c r="I34" s="10"/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8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25000</v>
      </c>
      <c r="AT34" s="15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100000</v>
      </c>
    </row>
    <row r="35" spans="1:69" ht="18.5" x14ac:dyDescent="0.45">
      <c r="A35" s="21" t="s">
        <v>160</v>
      </c>
      <c r="B35" s="1">
        <v>125000</v>
      </c>
      <c r="C35" s="5">
        <f t="shared" si="16"/>
        <v>0</v>
      </c>
      <c r="D35" s="9">
        <v>60000</v>
      </c>
      <c r="E35" s="9">
        <v>0</v>
      </c>
      <c r="F35" s="9">
        <v>297500</v>
      </c>
      <c r="G35" s="5">
        <f t="shared" si="15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>
        <v>0</v>
      </c>
      <c r="R35" s="2">
        <v>0</v>
      </c>
      <c r="S35" s="20">
        <v>297500</v>
      </c>
      <c r="T35" s="12" t="s">
        <v>8</v>
      </c>
      <c r="U35" s="17">
        <f t="shared" si="8"/>
        <v>357500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35000</v>
      </c>
      <c r="AT35" s="15"/>
      <c r="AV35" s="15"/>
      <c r="AW35" s="15">
        <f t="shared" si="10"/>
        <v>297500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>
        <f t="shared" si="16"/>
        <v>-3000</v>
      </c>
      <c r="D36" s="9">
        <v>50000</v>
      </c>
      <c r="E36" s="9">
        <v>0</v>
      </c>
      <c r="F36" s="9">
        <v>0</v>
      </c>
      <c r="G36" s="5">
        <f>IF(H36="ESPECES",3000,0)+3000</f>
        <v>3000</v>
      </c>
      <c r="H36" s="10" t="str">
        <f t="shared" si="0"/>
        <v>BANQUE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8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</row>
    <row r="37" spans="1:69" ht="18.5" x14ac:dyDescent="0.45">
      <c r="A37" s="1" t="s">
        <v>193</v>
      </c>
      <c r="B37" s="1">
        <v>150000</v>
      </c>
      <c r="C37" s="5">
        <f t="shared" si="16"/>
        <v>0</v>
      </c>
      <c r="D37" s="9">
        <v>0</v>
      </c>
      <c r="E37" s="9">
        <v>153000</v>
      </c>
      <c r="F37" s="9">
        <v>0</v>
      </c>
      <c r="G37" s="5">
        <f t="shared" si="15"/>
        <v>3000</v>
      </c>
      <c r="H37" s="10" t="str">
        <f t="shared" si="0"/>
        <v>ESPECES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8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</row>
    <row r="38" spans="1:69" ht="18.5" x14ac:dyDescent="0.45">
      <c r="A38" s="1" t="s">
        <v>41</v>
      </c>
      <c r="B38" s="1">
        <v>225000</v>
      </c>
      <c r="C38" s="5">
        <f t="shared" si="16"/>
        <v>0</v>
      </c>
      <c r="D38" s="9">
        <v>125000</v>
      </c>
      <c r="E38" s="9">
        <v>0</v>
      </c>
      <c r="F38" s="9">
        <v>0</v>
      </c>
      <c r="G38" s="5">
        <f t="shared" si="15"/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0</v>
      </c>
      <c r="BA38" s="58"/>
      <c r="BB38" s="58"/>
      <c r="BC38" s="15"/>
      <c r="BD38" s="57">
        <f t="shared" si="14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17">SUM(C6:C39)</f>
        <v>-195500</v>
      </c>
      <c r="D40" s="5">
        <f t="shared" si="17"/>
        <v>6116500</v>
      </c>
      <c r="E40" s="5">
        <f t="shared" si="17"/>
        <v>669000</v>
      </c>
      <c r="F40" s="5">
        <f t="shared" si="17"/>
        <v>1190000</v>
      </c>
      <c r="G40" s="5">
        <f t="shared" si="17"/>
        <v>15000</v>
      </c>
      <c r="H40" s="5">
        <f t="shared" si="17"/>
        <v>0</v>
      </c>
      <c r="I40" s="5">
        <f t="shared" si="17"/>
        <v>70500</v>
      </c>
      <c r="J40" s="5">
        <f t="shared" si="17"/>
        <v>32</v>
      </c>
      <c r="K40" s="5">
        <f t="shared" si="17"/>
        <v>1600000</v>
      </c>
      <c r="L40" s="5">
        <f t="shared" si="17"/>
        <v>16</v>
      </c>
      <c r="M40" s="5">
        <f t="shared" si="17"/>
        <v>1200000</v>
      </c>
      <c r="N40" s="5">
        <f t="shared" si="17"/>
        <v>18</v>
      </c>
      <c r="O40" s="5">
        <f t="shared" si="17"/>
        <v>1800000</v>
      </c>
      <c r="P40" s="5">
        <f t="shared" si="17"/>
        <v>123500</v>
      </c>
      <c r="Q40" s="5">
        <f t="shared" si="17"/>
        <v>253000</v>
      </c>
      <c r="R40" s="5">
        <f t="shared" si="17"/>
        <v>1919000</v>
      </c>
      <c r="S40" s="5">
        <f t="shared" si="17"/>
        <v>1190000</v>
      </c>
      <c r="T40" s="5"/>
      <c r="U40" s="5">
        <f t="shared" ref="U40:AA40" si="18">SUM(U6:U39)</f>
        <v>8171000</v>
      </c>
      <c r="V40" s="5">
        <f t="shared" si="18"/>
        <v>0</v>
      </c>
      <c r="W40" s="5">
        <f t="shared" si="18"/>
        <v>0</v>
      </c>
      <c r="X40" s="5">
        <f t="shared" si="18"/>
        <v>0</v>
      </c>
      <c r="Y40" s="5">
        <f t="shared" si="18"/>
        <v>0</v>
      </c>
      <c r="Z40" s="5">
        <f t="shared" si="18"/>
        <v>0</v>
      </c>
      <c r="AA40" s="5">
        <f t="shared" si="18"/>
        <v>0</v>
      </c>
      <c r="AB40" s="5"/>
      <c r="AC40" s="5">
        <f>SUM(AC6:AC39)</f>
        <v>5000</v>
      </c>
      <c r="AD40" s="5">
        <f>SUM(AD6:AD39)</f>
        <v>7500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9">SUM(AI6:AI39)</f>
        <v>310000</v>
      </c>
      <c r="AJ40" s="5">
        <f t="shared" si="19"/>
        <v>931500</v>
      </c>
      <c r="AK40" s="5">
        <f t="shared" si="19"/>
        <v>2003500</v>
      </c>
      <c r="AL40" s="5">
        <f t="shared" si="19"/>
        <v>5000</v>
      </c>
      <c r="AM40" s="5">
        <f t="shared" si="19"/>
        <v>11000</v>
      </c>
      <c r="AN40" s="5">
        <f t="shared" si="19"/>
        <v>22000</v>
      </c>
      <c r="AO40" s="5">
        <f t="shared" si="19"/>
        <v>0</v>
      </c>
      <c r="AP40" s="5">
        <f t="shared" si="19"/>
        <v>0</v>
      </c>
      <c r="AQ40" s="5">
        <f t="shared" si="19"/>
        <v>0</v>
      </c>
      <c r="AR40" s="5">
        <f t="shared" si="19"/>
        <v>0</v>
      </c>
      <c r="AS40" s="5">
        <f t="shared" si="19"/>
        <v>870500</v>
      </c>
      <c r="AT40" s="5">
        <f t="shared" si="19"/>
        <v>0</v>
      </c>
      <c r="AU40" s="5">
        <f t="shared" si="19"/>
        <v>0</v>
      </c>
      <c r="AV40" s="5">
        <f t="shared" si="19"/>
        <v>0</v>
      </c>
      <c r="AW40" s="5">
        <f t="shared" si="19"/>
        <v>905000</v>
      </c>
      <c r="AX40" s="5">
        <f t="shared" si="19"/>
        <v>1824000</v>
      </c>
      <c r="AY40" s="5">
        <f t="shared" si="19"/>
        <v>2003500</v>
      </c>
      <c r="AZ40" s="5">
        <f t="shared" si="19"/>
        <v>3804500</v>
      </c>
      <c r="BA40" s="5">
        <f t="shared" si="19"/>
        <v>669000</v>
      </c>
      <c r="BB40" s="5">
        <f t="shared" si="19"/>
        <v>0</v>
      </c>
      <c r="BC40" s="5">
        <f t="shared" si="19"/>
        <v>0</v>
      </c>
      <c r="BD40" s="5">
        <f t="shared" si="19"/>
        <v>4933000</v>
      </c>
      <c r="BE40" s="5">
        <f t="shared" si="19"/>
        <v>0</v>
      </c>
      <c r="BF40" s="5">
        <f t="shared" si="19"/>
        <v>0</v>
      </c>
      <c r="BH40" s="5">
        <f t="shared" ref="BH40:BL40" si="20">SUM(BH6:BH39)</f>
        <v>6000</v>
      </c>
      <c r="BI40" s="5">
        <f t="shared" si="20"/>
        <v>50000</v>
      </c>
      <c r="BJ40" s="5">
        <f t="shared" si="20"/>
        <v>100000</v>
      </c>
      <c r="BK40" s="5">
        <f t="shared" si="20"/>
        <v>106000</v>
      </c>
      <c r="BL40" s="5">
        <f t="shared" si="20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3804500</v>
      </c>
      <c r="D47" s="9">
        <f>SUMIFS(D8:D40,H8:H40,"BANQUE")</f>
        <v>5941500</v>
      </c>
      <c r="F47" s="9">
        <f>E40</f>
        <v>669000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7453000</v>
      </c>
    </row>
  </sheetData>
  <autoFilter ref="A5:AF38" xr:uid="{00000000-0009-0000-0000-00000E000000}"/>
  <mergeCells count="1">
    <mergeCell ref="B4:M4"/>
  </mergeCells>
  <dataValidations count="1">
    <dataValidation type="list" allowBlank="1" showInputMessage="1" showErrorMessage="1" sqref="T6:T38 AA6:AA38 AF6:AF38 AP6:AP38" xr:uid="{00000000-0002-0000-0E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S85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9" sqref="Q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3.0898437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0" max="60" width="13.0898437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  <col min="71" max="71" width="13.08984375" bestFit="1" customWidth="1"/>
  </cols>
  <sheetData>
    <row r="1" spans="1:71" x14ac:dyDescent="0.35">
      <c r="A1" s="1" t="s">
        <v>2</v>
      </c>
      <c r="B1" s="1" t="s">
        <v>3</v>
      </c>
      <c r="C1" s="1"/>
    </row>
    <row r="2" spans="1:71" x14ac:dyDescent="0.35">
      <c r="A2" s="1" t="s">
        <v>4</v>
      </c>
      <c r="B2" s="1">
        <v>2024</v>
      </c>
      <c r="C2" s="1"/>
    </row>
    <row r="3" spans="1:71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71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71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  <c r="BR5" s="4" t="s">
        <v>216</v>
      </c>
      <c r="BS5" s="4" t="s">
        <v>215</v>
      </c>
    </row>
    <row r="6" spans="1:71" ht="18.5" x14ac:dyDescent="0.45">
      <c r="A6" s="1" t="s">
        <v>108</v>
      </c>
      <c r="B6" s="1">
        <v>250000</v>
      </c>
      <c r="C6" s="5">
        <f>D6+E6+F6-U6-BB6</f>
        <v>-61000</v>
      </c>
      <c r="D6" s="9">
        <v>175000</v>
      </c>
      <c r="E6" s="9">
        <v>0</v>
      </c>
      <c r="F6" s="9">
        <v>0</v>
      </c>
      <c r="G6" s="5">
        <v>0</v>
      </c>
      <c r="H6" s="10" t="str">
        <f t="shared" ref="H6:H38" si="0">IF($D6&lt;&gt;0,"BANQUE",IF($E6&lt;&gt;0,"ESPECES","ECHEC"))</f>
        <v>BANQUE</v>
      </c>
      <c r="I6" s="10">
        <v>61000</v>
      </c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236000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SUM(AV6:AY6)-BF6+Z6-F6+BH6+BI6+BJ6+BK6+BL6+BM6-2082500</f>
        <v>4031000</v>
      </c>
      <c r="BA6" s="58">
        <v>31000</v>
      </c>
      <c r="BB6" s="58"/>
      <c r="BC6" s="15"/>
      <c r="BD6" s="57">
        <f>IF(AZ6=0,(AZ6-BA6-BC6),(AZ6-BA6-BB6-BC6))+BN6</f>
        <v>5026618</v>
      </c>
      <c r="BE6" s="82"/>
      <c r="BF6" s="29">
        <f t="shared" ref="BF6:BF38" si="5">Z6*1/100*BG6</f>
        <v>0</v>
      </c>
      <c r="BG6" s="29">
        <v>12</v>
      </c>
      <c r="BH6" s="15">
        <f>BQ16</f>
        <v>4031000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1026618</v>
      </c>
      <c r="BO6" t="s">
        <v>115</v>
      </c>
      <c r="BP6" t="s">
        <v>114</v>
      </c>
      <c r="BQ6" s="6"/>
      <c r="BR6" s="9">
        <v>-175000</v>
      </c>
      <c r="BS6" s="9">
        <f>IF(BR6&gt;0,BR6,0)</f>
        <v>0</v>
      </c>
    </row>
    <row r="7" spans="1:71" ht="18.5" x14ac:dyDescent="0.45">
      <c r="A7" s="1" t="s">
        <v>161</v>
      </c>
      <c r="B7" s="1">
        <v>50000</v>
      </c>
      <c r="C7" s="5">
        <f t="shared" ref="C7:C38" si="6">D7+E7+F7-U7-BB7</f>
        <v>0</v>
      </c>
      <c r="D7" s="9">
        <v>0</v>
      </c>
      <c r="E7" s="9">
        <v>50000</v>
      </c>
      <c r="F7" s="9">
        <v>0</v>
      </c>
      <c r="G7" s="5">
        <v>0</v>
      </c>
      <c r="H7" s="10" t="str">
        <f t="shared" si="0"/>
        <v>ESPECES</v>
      </c>
      <c r="I7" s="10"/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SUM(AV7:AY7)-BF7+Z7-F7+BH7+BI7+BJ7+BK7+BL7+BM7+93000</f>
        <v>0</v>
      </c>
      <c r="BA7" s="58"/>
      <c r="BB7" s="58"/>
      <c r="BC7" s="15"/>
      <c r="BD7" s="57">
        <f t="shared" ref="BD7:BD38" si="13">IF(AZ7=0,(AZ7-BA7-BC7),(AZ7-BA7-BB7-BC7))</f>
        <v>0</v>
      </c>
      <c r="BE7" s="82"/>
      <c r="BF7" s="29">
        <f>Z7*1/100*BG7+93000</f>
        <v>93000</v>
      </c>
      <c r="BG7" s="29">
        <v>12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  <c r="BR7" s="9">
        <v>0</v>
      </c>
      <c r="BS7" s="9">
        <f t="shared" ref="BS7:BS38" si="14">IF(BR7&gt;0,BR7,0)</f>
        <v>0</v>
      </c>
    </row>
    <row r="8" spans="1:71" ht="18.5" x14ac:dyDescent="0.45">
      <c r="A8" s="1" t="s">
        <v>12</v>
      </c>
      <c r="B8" s="1">
        <v>125000</v>
      </c>
      <c r="C8" s="5">
        <f t="shared" si="6"/>
        <v>0</v>
      </c>
      <c r="D8" s="9">
        <v>125000</v>
      </c>
      <c r="E8" s="9">
        <v>500000</v>
      </c>
      <c r="F8" s="9">
        <v>0</v>
      </c>
      <c r="G8" s="5"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>
        <v>500000</v>
      </c>
      <c r="T8" s="12"/>
      <c r="U8" s="17">
        <f t="shared" si="8"/>
        <v>625000</v>
      </c>
      <c r="V8" s="12"/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5">SUM(AV8:AY8)-BF8+Z8-F8+BH8+BI8+BJ8+BK8+BL8+BM8</f>
        <v>485000</v>
      </c>
      <c r="BA8" s="58">
        <v>440000</v>
      </c>
      <c r="BB8" s="58"/>
      <c r="BC8" s="15"/>
      <c r="BD8" s="57">
        <f t="shared" si="13"/>
        <v>45000</v>
      </c>
      <c r="BE8" s="82"/>
      <c r="BF8" s="29">
        <f t="shared" si="5"/>
        <v>15000</v>
      </c>
      <c r="BG8" s="29">
        <v>3</v>
      </c>
      <c r="BH8" s="15"/>
      <c r="BI8" s="15"/>
      <c r="BJ8" s="15"/>
      <c r="BK8" s="15"/>
      <c r="BL8" s="61"/>
      <c r="BO8" t="s">
        <v>117</v>
      </c>
      <c r="BP8" t="s">
        <v>114</v>
      </c>
      <c r="BQ8" s="6">
        <v>25000</v>
      </c>
      <c r="BR8" s="9">
        <v>0</v>
      </c>
      <c r="BS8" s="9">
        <f t="shared" si="14"/>
        <v>0</v>
      </c>
    </row>
    <row r="9" spans="1:71" ht="18.5" x14ac:dyDescent="0.45">
      <c r="A9" s="1" t="s">
        <v>13</v>
      </c>
      <c r="B9" s="1">
        <v>250000</v>
      </c>
      <c r="C9" s="5">
        <f>D9+E9+F9-U9-BB9+1000</f>
        <v>500000</v>
      </c>
      <c r="D9" s="9">
        <v>250000</v>
      </c>
      <c r="E9" s="9">
        <v>1600000</v>
      </c>
      <c r="F9" s="9">
        <v>0</v>
      </c>
      <c r="G9" s="5"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101000</v>
      </c>
      <c r="S9" s="20">
        <v>1000000</v>
      </c>
      <c r="T9" s="12"/>
      <c r="U9" s="17">
        <f t="shared" si="8"/>
        <v>1351000</v>
      </c>
      <c r="V9" s="12"/>
      <c r="W9" s="12"/>
      <c r="X9" s="12"/>
      <c r="Y9" s="12"/>
      <c r="Z9" s="12">
        <v>1000000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5"/>
        <v>880000</v>
      </c>
      <c r="BA9" s="58">
        <v>880000</v>
      </c>
      <c r="BB9" s="58"/>
      <c r="BC9" s="15"/>
      <c r="BD9" s="57">
        <f t="shared" si="13"/>
        <v>0</v>
      </c>
      <c r="BE9" s="82"/>
      <c r="BF9" s="29">
        <f t="shared" si="5"/>
        <v>120000</v>
      </c>
      <c r="BG9" s="29">
        <v>12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  <c r="BR9" s="9">
        <v>0</v>
      </c>
      <c r="BS9" s="9">
        <f t="shared" si="14"/>
        <v>0</v>
      </c>
    </row>
    <row r="10" spans="1:71" ht="18.5" x14ac:dyDescent="0.45">
      <c r="A10" s="1" t="s">
        <v>14</v>
      </c>
      <c r="B10" s="1">
        <v>50000</v>
      </c>
      <c r="C10" s="5">
        <f t="shared" si="6"/>
        <v>-11000</v>
      </c>
      <c r="D10" s="9">
        <v>0</v>
      </c>
      <c r="E10" s="9">
        <v>1307000</v>
      </c>
      <c r="F10" s="9">
        <v>0</v>
      </c>
      <c r="G10" s="5">
        <v>0</v>
      </c>
      <c r="H10" s="10" t="str">
        <f t="shared" si="0"/>
        <v>ESPECES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61000</v>
      </c>
      <c r="Q10" s="2">
        <v>132000</v>
      </c>
      <c r="R10" s="2">
        <v>0</v>
      </c>
      <c r="S10" s="20">
        <v>1000000</v>
      </c>
      <c r="T10" s="12"/>
      <c r="U10" s="17">
        <f t="shared" si="8"/>
        <v>1318000</v>
      </c>
      <c r="V10" s="12"/>
      <c r="W10" s="12"/>
      <c r="X10" s="12"/>
      <c r="Y10" s="12"/>
      <c r="Z10" s="12">
        <v>1000000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5"/>
        <v>880000</v>
      </c>
      <c r="BA10" s="58"/>
      <c r="BB10" s="58"/>
      <c r="BC10" s="15"/>
      <c r="BD10" s="57">
        <f t="shared" si="13"/>
        <v>880000</v>
      </c>
      <c r="BE10" s="82" t="s">
        <v>186</v>
      </c>
      <c r="BF10" s="29">
        <f t="shared" si="5"/>
        <v>120000</v>
      </c>
      <c r="BG10" s="29">
        <v>12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  <c r="BR10" s="9">
        <v>0</v>
      </c>
      <c r="BS10" s="9">
        <f t="shared" si="14"/>
        <v>0</v>
      </c>
    </row>
    <row r="11" spans="1:71" ht="17" customHeight="1" x14ac:dyDescent="0.45">
      <c r="A11" s="1" t="s">
        <v>15</v>
      </c>
      <c r="B11" s="1">
        <v>125000</v>
      </c>
      <c r="C11" s="5">
        <f t="shared" si="6"/>
        <v>0</v>
      </c>
      <c r="D11" s="9">
        <v>0</v>
      </c>
      <c r="E11" s="9">
        <v>228000</v>
      </c>
      <c r="F11" s="9">
        <v>0</v>
      </c>
      <c r="G11" s="5">
        <v>0</v>
      </c>
      <c r="H11" s="10" t="str">
        <f t="shared" si="0"/>
        <v>ESPECES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103000</v>
      </c>
      <c r="R11" s="2">
        <v>0</v>
      </c>
      <c r="S11" s="20"/>
      <c r="T11" s="12"/>
      <c r="U11" s="17">
        <f t="shared" si="8"/>
        <v>228000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5"/>
        <v>0</v>
      </c>
      <c r="BA11" s="58"/>
      <c r="BB11" s="58"/>
      <c r="BC11" s="15"/>
      <c r="BD11" s="57">
        <f t="shared" si="13"/>
        <v>0</v>
      </c>
      <c r="BE11" s="82"/>
      <c r="BF11" s="29">
        <f t="shared" si="5"/>
        <v>0</v>
      </c>
      <c r="BG11" s="29">
        <v>12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  <c r="BR11" s="9">
        <v>0</v>
      </c>
      <c r="BS11" s="9">
        <f t="shared" si="14"/>
        <v>0</v>
      </c>
    </row>
    <row r="12" spans="1:71" ht="18.5" x14ac:dyDescent="0.45">
      <c r="A12" s="1" t="s">
        <v>16</v>
      </c>
      <c r="B12" s="1">
        <v>250000</v>
      </c>
      <c r="C12" s="5">
        <f t="shared" si="6"/>
        <v>0</v>
      </c>
      <c r="D12" s="9">
        <v>400000</v>
      </c>
      <c r="E12" s="9">
        <v>637500</v>
      </c>
      <c r="F12" s="9">
        <v>0</v>
      </c>
      <c r="G12" s="5"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61000</v>
      </c>
      <c r="Q12" s="2">
        <v>101500</v>
      </c>
      <c r="R12" s="2">
        <v>505000</v>
      </c>
      <c r="S12" s="20">
        <v>40000</v>
      </c>
      <c r="T12" s="12"/>
      <c r="U12" s="17">
        <f t="shared" si="8"/>
        <v>1037500</v>
      </c>
      <c r="V12" s="12"/>
      <c r="W12" s="12"/>
      <c r="X12" s="12"/>
      <c r="Y12" s="12"/>
      <c r="Z12" s="12">
        <v>1000000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5"/>
        <v>940000</v>
      </c>
      <c r="BA12" s="58">
        <v>940000</v>
      </c>
      <c r="BB12" s="58"/>
      <c r="BC12" s="15"/>
      <c r="BD12" s="57">
        <f t="shared" si="13"/>
        <v>0</v>
      </c>
      <c r="BE12" s="82"/>
      <c r="BF12" s="29">
        <f t="shared" si="5"/>
        <v>60000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  <c r="BR12" s="9">
        <v>0</v>
      </c>
      <c r="BS12" s="9">
        <f t="shared" si="14"/>
        <v>0</v>
      </c>
    </row>
    <row r="13" spans="1:71" ht="18.5" x14ac:dyDescent="0.45">
      <c r="A13" s="1" t="s">
        <v>17</v>
      </c>
      <c r="B13" s="1">
        <v>50000</v>
      </c>
      <c r="C13" s="5">
        <f t="shared" si="6"/>
        <v>0</v>
      </c>
      <c r="D13" s="9">
        <v>1050000</v>
      </c>
      <c r="E13" s="9">
        <v>0</v>
      </c>
      <c r="F13" s="9">
        <v>0</v>
      </c>
      <c r="G13" s="5"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>
        <v>1000000</v>
      </c>
      <c r="T13" s="12"/>
      <c r="U13" s="17">
        <f t="shared" si="8"/>
        <v>1050000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5"/>
        <v>0</v>
      </c>
      <c r="BA13" s="58"/>
      <c r="BB13" s="58"/>
      <c r="BC13" s="15"/>
      <c r="BD13" s="57">
        <f t="shared" si="13"/>
        <v>0</v>
      </c>
      <c r="BE13" s="82"/>
      <c r="BF13" s="29">
        <f t="shared" si="5"/>
        <v>0</v>
      </c>
      <c r="BG13" s="29">
        <v>12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>
        <v>6000</v>
      </c>
      <c r="BR13" s="9">
        <v>1000000</v>
      </c>
      <c r="BS13" s="9">
        <f t="shared" si="14"/>
        <v>1000000</v>
      </c>
    </row>
    <row r="14" spans="1:71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5"/>
        <v>0</v>
      </c>
      <c r="BA14" s="58"/>
      <c r="BB14" s="58"/>
      <c r="BC14" s="15"/>
      <c r="BD14" s="57">
        <f t="shared" si="13"/>
        <v>0</v>
      </c>
      <c r="BE14" s="82"/>
      <c r="BF14" s="29">
        <f t="shared" si="5"/>
        <v>0</v>
      </c>
      <c r="BG14" s="29">
        <v>12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>
        <v>4000000</v>
      </c>
      <c r="BR14" s="9">
        <v>0</v>
      </c>
      <c r="BS14" s="9">
        <f t="shared" si="14"/>
        <v>0</v>
      </c>
    </row>
    <row r="15" spans="1:71" ht="18.5" x14ac:dyDescent="0.45">
      <c r="A15" s="1" t="s">
        <v>20</v>
      </c>
      <c r="B15" s="1">
        <v>125000</v>
      </c>
      <c r="C15" s="5">
        <f t="shared" si="6"/>
        <v>0</v>
      </c>
      <c r="D15" s="9">
        <v>0</v>
      </c>
      <c r="E15" s="9">
        <v>125000</v>
      </c>
      <c r="F15" s="9">
        <v>0</v>
      </c>
      <c r="G15" s="5">
        <v>0</v>
      </c>
      <c r="H15" s="10" t="str">
        <f t="shared" si="0"/>
        <v>ESPECES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5"/>
        <v>0</v>
      </c>
      <c r="BA15" s="58"/>
      <c r="BB15" s="58"/>
      <c r="BC15" s="15"/>
      <c r="BD15" s="57">
        <f t="shared" si="13"/>
        <v>0</v>
      </c>
      <c r="BE15" s="82"/>
      <c r="BF15" s="29">
        <f t="shared" si="5"/>
        <v>0</v>
      </c>
      <c r="BG15" s="29">
        <v>12</v>
      </c>
      <c r="BH15" s="15"/>
      <c r="BI15" s="15"/>
      <c r="BJ15" s="15"/>
      <c r="BK15" s="15"/>
      <c r="BL15" s="61"/>
      <c r="BQ15" s="6"/>
      <c r="BR15" s="9">
        <v>0</v>
      </c>
      <c r="BS15" s="9">
        <f t="shared" si="14"/>
        <v>0</v>
      </c>
    </row>
    <row r="16" spans="1:71" ht="18.5" x14ac:dyDescent="0.45">
      <c r="A16" s="1" t="s">
        <v>21</v>
      </c>
      <c r="B16" s="1">
        <v>250000</v>
      </c>
      <c r="C16" s="5">
        <f t="shared" si="6"/>
        <v>-530000</v>
      </c>
      <c r="D16" s="9">
        <v>952000</v>
      </c>
      <c r="E16" s="9">
        <v>202000</v>
      </c>
      <c r="F16" s="9">
        <v>0</v>
      </c>
      <c r="G16" s="5">
        <v>0</v>
      </c>
      <c r="H16" s="10" t="str">
        <f t="shared" si="0"/>
        <v>BANQUE</v>
      </c>
      <c r="I16" s="10">
        <f>15000+40000</f>
        <v>55000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202000</v>
      </c>
      <c r="R16" s="2">
        <v>202000</v>
      </c>
      <c r="S16" s="20">
        <v>1000000</v>
      </c>
      <c r="T16" s="12"/>
      <c r="U16" s="17">
        <f t="shared" si="8"/>
        <v>1684000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9"/>
        <v>80000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5"/>
        <v>0</v>
      </c>
      <c r="BA16" s="58"/>
      <c r="BB16" s="58"/>
      <c r="BC16" s="15"/>
      <c r="BD16" s="57">
        <f t="shared" si="13"/>
        <v>0</v>
      </c>
      <c r="BE16" s="82"/>
      <c r="BF16" s="29">
        <f t="shared" si="5"/>
        <v>0</v>
      </c>
      <c r="BG16" s="29">
        <v>12</v>
      </c>
      <c r="BH16" s="15"/>
      <c r="BI16" s="15"/>
      <c r="BJ16" s="15"/>
      <c r="BK16" s="15"/>
      <c r="BL16" s="61"/>
      <c r="BO16" s="62" t="s">
        <v>142</v>
      </c>
      <c r="BQ16" s="62">
        <f>SUM(BQ6:BQ15)</f>
        <v>4031000</v>
      </c>
      <c r="BR16" s="9">
        <v>0</v>
      </c>
      <c r="BS16" s="9">
        <f t="shared" si="14"/>
        <v>0</v>
      </c>
    </row>
    <row r="17" spans="1:71" ht="18.5" x14ac:dyDescent="0.45">
      <c r="A17" s="1" t="s">
        <v>22</v>
      </c>
      <c r="B17" s="1">
        <v>150000</v>
      </c>
      <c r="C17" s="5">
        <f t="shared" si="6"/>
        <v>-170000</v>
      </c>
      <c r="D17" s="9">
        <v>260000</v>
      </c>
      <c r="E17" s="9">
        <v>0</v>
      </c>
      <c r="F17" s="9">
        <v>0</v>
      </c>
      <c r="G17" s="5">
        <v>0</v>
      </c>
      <c r="H17" s="10" t="str">
        <f t="shared" si="0"/>
        <v>BANQUE</v>
      </c>
      <c r="I17" s="10">
        <v>5500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>
        <v>0</v>
      </c>
      <c r="R17" s="2">
        <v>104500</v>
      </c>
      <c r="S17" s="20">
        <v>170000</v>
      </c>
      <c r="T17" s="12"/>
      <c r="U17" s="17">
        <f t="shared" si="8"/>
        <v>430000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9"/>
        <v>30500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5"/>
        <v>0</v>
      </c>
      <c r="BA17" s="58"/>
      <c r="BB17" s="58"/>
      <c r="BC17" s="15"/>
      <c r="BD17" s="57">
        <f t="shared" si="13"/>
        <v>0</v>
      </c>
      <c r="BE17" s="82"/>
      <c r="BF17" s="29">
        <f t="shared" si="5"/>
        <v>0</v>
      </c>
      <c r="BG17" s="29">
        <v>12</v>
      </c>
      <c r="BH17" s="15"/>
      <c r="BI17" s="15"/>
      <c r="BJ17" s="15"/>
      <c r="BK17" s="15"/>
      <c r="BL17" s="61"/>
      <c r="BO17" s="62"/>
      <c r="BQ17" s="6"/>
      <c r="BR17" s="9">
        <v>110000</v>
      </c>
      <c r="BS17" s="9">
        <f t="shared" si="14"/>
        <v>110000</v>
      </c>
    </row>
    <row r="18" spans="1:71" ht="18.5" x14ac:dyDescent="0.45">
      <c r="A18" s="1" t="s">
        <v>23</v>
      </c>
      <c r="B18" s="1">
        <v>150000</v>
      </c>
      <c r="C18" s="5">
        <f t="shared" si="6"/>
        <v>0</v>
      </c>
      <c r="D18" s="9">
        <v>611000</v>
      </c>
      <c r="E18" s="9">
        <v>0</v>
      </c>
      <c r="F18" s="9">
        <v>0</v>
      </c>
      <c r="G18" s="5"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101000</v>
      </c>
      <c r="S18" s="20">
        <v>350000</v>
      </c>
      <c r="T18" s="12"/>
      <c r="U18" s="17">
        <f t="shared" si="8"/>
        <v>611000</v>
      </c>
      <c r="V18" s="12"/>
      <c r="W18" s="12"/>
      <c r="X18" s="12"/>
      <c r="Y18" s="12"/>
      <c r="Z18" s="12">
        <v>1000000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5"/>
        <v>880000</v>
      </c>
      <c r="BA18" s="58"/>
      <c r="BB18" s="58"/>
      <c r="BC18" s="15"/>
      <c r="BD18" s="57">
        <f t="shared" si="13"/>
        <v>880000</v>
      </c>
      <c r="BE18" s="82" t="s">
        <v>186</v>
      </c>
      <c r="BF18" s="29">
        <f t="shared" si="5"/>
        <v>120000</v>
      </c>
      <c r="BG18" s="29">
        <v>12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>
        <v>1026618</v>
      </c>
      <c r="BR18" s="9">
        <v>461000</v>
      </c>
      <c r="BS18" s="9">
        <f t="shared" si="14"/>
        <v>461000</v>
      </c>
    </row>
    <row r="19" spans="1:71" ht="18.5" x14ac:dyDescent="0.45">
      <c r="A19" s="1" t="s">
        <v>195</v>
      </c>
      <c r="B19" s="1">
        <v>50000</v>
      </c>
      <c r="C19" s="5">
        <f t="shared" si="6"/>
        <v>-487500</v>
      </c>
      <c r="D19" s="9">
        <v>50000</v>
      </c>
      <c r="E19" s="9">
        <v>0</v>
      </c>
      <c r="F19" s="9">
        <v>0</v>
      </c>
      <c r="G19" s="5">
        <v>0</v>
      </c>
      <c r="H19" s="10" t="str">
        <f t="shared" si="0"/>
        <v>BANQUE</v>
      </c>
      <c r="I19" s="10">
        <v>297500</v>
      </c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347500</v>
      </c>
      <c r="V19" s="12"/>
      <c r="W19" s="12"/>
      <c r="X19" s="12"/>
      <c r="Y19" s="12"/>
      <c r="Z19" s="12"/>
      <c r="AA19" s="12"/>
      <c r="AB19" s="12"/>
      <c r="AC19" s="12">
        <v>2500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322500</v>
      </c>
      <c r="AT19" s="15"/>
      <c r="AV19" s="15"/>
      <c r="AW19" s="15">
        <f t="shared" si="10"/>
        <v>297500</v>
      </c>
      <c r="AX19" s="15">
        <f t="shared" si="11"/>
        <v>0</v>
      </c>
      <c r="AY19" s="15">
        <f t="shared" si="12"/>
        <v>0</v>
      </c>
      <c r="AZ19" s="16">
        <f t="shared" si="15"/>
        <v>297500</v>
      </c>
      <c r="BA19" s="58">
        <v>297500</v>
      </c>
      <c r="BB19" s="58">
        <v>190000</v>
      </c>
      <c r="BC19" s="15"/>
      <c r="BD19" s="57"/>
      <c r="BE19" s="82"/>
      <c r="BF19" s="29">
        <f t="shared" si="5"/>
        <v>0</v>
      </c>
      <c r="BG19" s="29">
        <v>12</v>
      </c>
      <c r="BH19" s="15"/>
      <c r="BI19" s="15"/>
      <c r="BJ19" s="15"/>
      <c r="BK19" s="15"/>
      <c r="BL19" s="61"/>
      <c r="BQ19" s="6"/>
      <c r="BR19" s="9">
        <v>0</v>
      </c>
      <c r="BS19" s="9">
        <f t="shared" si="14"/>
        <v>0</v>
      </c>
    </row>
    <row r="20" spans="1:71" ht="18.5" x14ac:dyDescent="0.45">
      <c r="A20" s="1" t="s">
        <v>25</v>
      </c>
      <c r="B20" s="1">
        <v>225000</v>
      </c>
      <c r="C20" s="5">
        <f t="shared" si="6"/>
        <v>-66700</v>
      </c>
      <c r="D20" s="9">
        <v>225000</v>
      </c>
      <c r="E20" s="9">
        <v>1536000</v>
      </c>
      <c r="F20" s="9">
        <v>0</v>
      </c>
      <c r="G20" s="5"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132000</v>
      </c>
      <c r="Q20" s="2">
        <v>202000</v>
      </c>
      <c r="R20" s="2">
        <v>202000</v>
      </c>
      <c r="S20" s="20">
        <v>1000000</v>
      </c>
      <c r="T20" s="12"/>
      <c r="U20" s="17">
        <f t="shared" si="8"/>
        <v>1761000</v>
      </c>
      <c r="V20" s="12"/>
      <c r="W20" s="12"/>
      <c r="X20" s="12"/>
      <c r="Y20" s="12"/>
      <c r="Z20" s="12">
        <v>1000000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5"/>
        <v>970000</v>
      </c>
      <c r="BA20" s="58">
        <v>970000</v>
      </c>
      <c r="BB20" s="58">
        <v>66700</v>
      </c>
      <c r="BC20" s="15"/>
      <c r="BD20" s="57"/>
      <c r="BE20" s="82"/>
      <c r="BF20" s="29">
        <f t="shared" si="5"/>
        <v>30000</v>
      </c>
      <c r="BG20" s="29">
        <v>3</v>
      </c>
      <c r="BH20" s="15"/>
      <c r="BI20" s="15"/>
      <c r="BJ20" s="15"/>
      <c r="BK20" s="15"/>
      <c r="BL20" s="61"/>
      <c r="BQ20" s="6"/>
      <c r="BR20" s="9">
        <v>0</v>
      </c>
      <c r="BS20" s="9">
        <f t="shared" si="14"/>
        <v>0</v>
      </c>
    </row>
    <row r="21" spans="1:71" ht="18.5" x14ac:dyDescent="0.45">
      <c r="A21" s="1" t="s">
        <v>26</v>
      </c>
      <c r="B21" s="1">
        <v>50000</v>
      </c>
      <c r="C21" s="5">
        <f t="shared" si="6"/>
        <v>-283500</v>
      </c>
      <c r="D21" s="9">
        <v>0</v>
      </c>
      <c r="E21" s="9">
        <v>66500</v>
      </c>
      <c r="F21" s="9">
        <v>0</v>
      </c>
      <c r="G21" s="5">
        <v>0</v>
      </c>
      <c r="H21" s="10" t="str">
        <f t="shared" si="0"/>
        <v>ESPECES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>
        <f>296500+3500</f>
        <v>300000</v>
      </c>
      <c r="T21" s="12"/>
      <c r="U21" s="17">
        <f t="shared" si="8"/>
        <v>350000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>SUM(AV21:AY21)-BF21+Z21-F21+BH21+BI21+BJ21+BK21+BL21+BM21+46500</f>
        <v>0</v>
      </c>
      <c r="BA21" s="58"/>
      <c r="BB21" s="58"/>
      <c r="BC21" s="15"/>
      <c r="BD21" s="57">
        <f t="shared" si="13"/>
        <v>0</v>
      </c>
      <c r="BE21" s="82"/>
      <c r="BF21" s="29">
        <f>Z21*1/100*BG21+46500</f>
        <v>46500</v>
      </c>
      <c r="BG21" s="29">
        <v>12</v>
      </c>
      <c r="BH21" s="15"/>
      <c r="BI21" s="15"/>
      <c r="BJ21" s="15"/>
      <c r="BK21" s="15"/>
      <c r="BL21" s="61"/>
      <c r="BQ21" s="6"/>
      <c r="BR21" s="9">
        <v>0</v>
      </c>
      <c r="BS21" s="9">
        <f t="shared" si="14"/>
        <v>0</v>
      </c>
    </row>
    <row r="22" spans="1:71" ht="18.5" x14ac:dyDescent="0.45">
      <c r="A22" s="1" t="s">
        <v>27</v>
      </c>
      <c r="B22" s="1">
        <v>125000</v>
      </c>
      <c r="C22" s="5">
        <f t="shared" si="6"/>
        <v>-107500</v>
      </c>
      <c r="D22" s="9">
        <v>125000</v>
      </c>
      <c r="E22" s="9">
        <v>0</v>
      </c>
      <c r="F22" s="9">
        <v>0</v>
      </c>
      <c r="G22" s="5"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>
        <v>0</v>
      </c>
      <c r="S22" s="20">
        <v>107500</v>
      </c>
      <c r="T22" s="12"/>
      <c r="U22" s="17">
        <f t="shared" si="8"/>
        <v>232500</v>
      </c>
      <c r="V22" s="12"/>
      <c r="W22" s="12"/>
      <c r="X22" s="12"/>
      <c r="Y22" s="12"/>
      <c r="Z22" s="12">
        <v>900000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5"/>
        <v>792000</v>
      </c>
      <c r="BA22" s="58"/>
      <c r="BB22" s="58"/>
      <c r="BC22" s="15"/>
      <c r="BD22" s="57">
        <f t="shared" si="13"/>
        <v>792000</v>
      </c>
      <c r="BE22" s="82" t="s">
        <v>186</v>
      </c>
      <c r="BF22" s="29">
        <f t="shared" si="5"/>
        <v>108000</v>
      </c>
      <c r="BG22" s="29">
        <v>12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1026618</v>
      </c>
      <c r="BR22" s="9">
        <v>0</v>
      </c>
      <c r="BS22" s="9">
        <f t="shared" si="14"/>
        <v>0</v>
      </c>
    </row>
    <row r="23" spans="1:71" ht="18.5" x14ac:dyDescent="0.45">
      <c r="A23" s="1" t="s">
        <v>28</v>
      </c>
      <c r="B23" s="1">
        <v>250000</v>
      </c>
      <c r="C23" s="5">
        <f t="shared" si="6"/>
        <v>0</v>
      </c>
      <c r="D23" s="9">
        <v>1164000</v>
      </c>
      <c r="E23" s="9">
        <v>0</v>
      </c>
      <c r="F23" s="9">
        <v>0</v>
      </c>
      <c r="G23" s="5"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>
        <v>0</v>
      </c>
      <c r="R23" s="2">
        <v>404000</v>
      </c>
      <c r="S23" s="20">
        <v>500000</v>
      </c>
      <c r="T23" s="12"/>
      <c r="U23" s="17">
        <f t="shared" si="8"/>
        <v>1164000</v>
      </c>
      <c r="V23" s="12"/>
      <c r="W23" s="12"/>
      <c r="X23" s="12"/>
      <c r="Y23" s="12"/>
      <c r="Z23" s="12">
        <v>500000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5"/>
        <v>470000</v>
      </c>
      <c r="BA23" s="58"/>
      <c r="BB23" s="58"/>
      <c r="BC23" s="15"/>
      <c r="BD23" s="57">
        <f t="shared" si="13"/>
        <v>470000</v>
      </c>
      <c r="BE23" s="82" t="s">
        <v>186</v>
      </c>
      <c r="BF23" s="29">
        <f t="shared" si="5"/>
        <v>30000</v>
      </c>
      <c r="BG23" s="29">
        <v>6</v>
      </c>
      <c r="BH23" s="15"/>
      <c r="BI23" s="15"/>
      <c r="BJ23" s="15"/>
      <c r="BK23" s="15"/>
      <c r="BL23" s="61"/>
      <c r="BR23" s="9">
        <v>904000</v>
      </c>
      <c r="BS23" s="9">
        <f t="shared" si="14"/>
        <v>904000</v>
      </c>
    </row>
    <row r="24" spans="1:71" ht="18.5" x14ac:dyDescent="0.45">
      <c r="A24" s="1" t="s">
        <v>29</v>
      </c>
      <c r="B24" s="1">
        <v>225000</v>
      </c>
      <c r="C24" s="5">
        <f t="shared" si="6"/>
        <v>0</v>
      </c>
      <c r="D24" s="9">
        <v>442000</v>
      </c>
      <c r="E24" s="9">
        <v>500000</v>
      </c>
      <c r="F24" s="9">
        <v>0</v>
      </c>
      <c r="G24" s="5">
        <v>0</v>
      </c>
      <c r="H24" s="10" t="str">
        <f t="shared" si="0"/>
        <v>BANQUE</v>
      </c>
      <c r="I24" s="10">
        <v>13000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204000</v>
      </c>
      <c r="S24" s="20">
        <v>500000</v>
      </c>
      <c r="T24" s="12"/>
      <c r="U24" s="17">
        <f t="shared" si="8"/>
        <v>942000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9"/>
        <v>38000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5"/>
        <v>0</v>
      </c>
      <c r="BA24" s="58"/>
      <c r="BB24" s="58"/>
      <c r="BC24" s="15"/>
      <c r="BD24" s="57">
        <f t="shared" si="13"/>
        <v>0</v>
      </c>
      <c r="BE24" s="82"/>
      <c r="BF24" s="29">
        <f t="shared" si="5"/>
        <v>0</v>
      </c>
      <c r="BG24" s="29">
        <v>12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  <c r="BR24" s="9">
        <v>0</v>
      </c>
      <c r="BS24" s="9">
        <f t="shared" si="14"/>
        <v>0</v>
      </c>
    </row>
    <row r="25" spans="1:71" ht="18.5" x14ac:dyDescent="0.45">
      <c r="A25" s="1" t="s">
        <v>30</v>
      </c>
      <c r="B25" s="1">
        <v>250000</v>
      </c>
      <c r="C25" s="5">
        <f t="shared" si="6"/>
        <v>-1000000</v>
      </c>
      <c r="D25" s="9">
        <v>375000</v>
      </c>
      <c r="E25" s="9">
        <v>0</v>
      </c>
      <c r="F25" s="9">
        <v>0</v>
      </c>
      <c r="G25" s="5">
        <v>0</v>
      </c>
      <c r="H25" s="10" t="str">
        <f t="shared" si="0"/>
        <v>BANQUE</v>
      </c>
      <c r="I25" s="10"/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0</v>
      </c>
      <c r="R25" s="2">
        <v>0</v>
      </c>
      <c r="S25" s="20">
        <v>1000000</v>
      </c>
      <c r="T25" s="12"/>
      <c r="U25" s="17">
        <f t="shared" si="8"/>
        <v>1375000</v>
      </c>
      <c r="V25" s="12"/>
      <c r="W25" s="12"/>
      <c r="X25" s="12"/>
      <c r="Y25" s="12"/>
      <c r="Z25" s="12">
        <v>1000000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5"/>
        <v>880000</v>
      </c>
      <c r="BA25" s="58"/>
      <c r="BB25" s="58"/>
      <c r="BC25" s="15"/>
      <c r="BD25" s="57">
        <f t="shared" si="13"/>
        <v>880000</v>
      </c>
      <c r="BE25" s="82" t="s">
        <v>186</v>
      </c>
      <c r="BF25" s="29">
        <f t="shared" si="5"/>
        <v>120000</v>
      </c>
      <c r="BG25" s="29">
        <v>12</v>
      </c>
      <c r="BH25" s="15"/>
      <c r="BI25" s="15"/>
      <c r="BJ25" s="15"/>
      <c r="BK25" s="15"/>
      <c r="BL25" s="61"/>
      <c r="BO25" t="s">
        <v>125</v>
      </c>
      <c r="BP25" t="s">
        <v>143</v>
      </c>
      <c r="BR25" s="9">
        <v>0</v>
      </c>
      <c r="BS25" s="9">
        <f t="shared" si="14"/>
        <v>0</v>
      </c>
    </row>
    <row r="26" spans="1:71" ht="18.5" x14ac:dyDescent="0.45">
      <c r="A26" s="1" t="s">
        <v>31</v>
      </c>
      <c r="B26" s="1">
        <v>50000</v>
      </c>
      <c r="C26" s="5">
        <f t="shared" si="6"/>
        <v>0</v>
      </c>
      <c r="D26" s="9">
        <v>0</v>
      </c>
      <c r="E26" s="9">
        <v>1050000</v>
      </c>
      <c r="F26" s="9">
        <v>0</v>
      </c>
      <c r="G26" s="5">
        <v>0</v>
      </c>
      <c r="H26" s="10" t="str">
        <f t="shared" si="0"/>
        <v>ESPECES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0</v>
      </c>
      <c r="Q26" s="2">
        <v>0</v>
      </c>
      <c r="R26" s="2">
        <v>0</v>
      </c>
      <c r="S26" s="20">
        <v>1000000</v>
      </c>
      <c r="T26" s="12"/>
      <c r="U26" s="17">
        <f t="shared" si="8"/>
        <v>1050000</v>
      </c>
      <c r="V26" s="12"/>
      <c r="W26" s="12"/>
      <c r="X26" s="12"/>
      <c r="Y26" s="12"/>
      <c r="Z26" s="12">
        <v>1000000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5"/>
        <v>970000</v>
      </c>
      <c r="BA26" s="58">
        <v>144500</v>
      </c>
      <c r="BB26" s="58"/>
      <c r="BC26" s="15"/>
      <c r="BD26" s="57">
        <f t="shared" si="13"/>
        <v>825500</v>
      </c>
      <c r="BE26" s="82" t="s">
        <v>186</v>
      </c>
      <c r="BF26" s="29">
        <f t="shared" si="5"/>
        <v>30000</v>
      </c>
      <c r="BG26" s="29">
        <v>3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  <c r="BR26" s="9">
        <v>0</v>
      </c>
      <c r="BS26" s="9">
        <f t="shared" si="14"/>
        <v>0</v>
      </c>
    </row>
    <row r="27" spans="1:71" ht="18.5" x14ac:dyDescent="0.45">
      <c r="A27" s="1" t="s">
        <v>158</v>
      </c>
      <c r="B27" s="1">
        <v>50000</v>
      </c>
      <c r="C27" s="5">
        <f t="shared" si="6"/>
        <v>-50000</v>
      </c>
      <c r="D27" s="9">
        <v>50000</v>
      </c>
      <c r="E27" s="9">
        <v>0</v>
      </c>
      <c r="F27" s="9">
        <v>0</v>
      </c>
      <c r="G27" s="5"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>
        <v>0</v>
      </c>
      <c r="R27" s="2">
        <v>0</v>
      </c>
      <c r="S27" s="20">
        <v>50000</v>
      </c>
      <c r="T27" s="12"/>
      <c r="U27" s="17">
        <f t="shared" si="8"/>
        <v>100000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>SUM(AV27:AY27)-BF27+Z27-F27+BH27+BI27+BJ27+BK27+BL27+BM27+7750</f>
        <v>0</v>
      </c>
      <c r="BA27" s="58"/>
      <c r="BB27" s="58"/>
      <c r="BC27" s="15"/>
      <c r="BD27" s="57">
        <f t="shared" si="13"/>
        <v>0</v>
      </c>
      <c r="BE27" s="82"/>
      <c r="BF27" s="29">
        <f>Z27*1/100*BG27+7750</f>
        <v>7750</v>
      </c>
      <c r="BG27" s="29">
        <v>3</v>
      </c>
      <c r="BH27" s="15"/>
      <c r="BI27" s="15"/>
      <c r="BJ27" s="15"/>
      <c r="BK27" s="15"/>
      <c r="BL27" s="61"/>
      <c r="BQ27" s="6"/>
      <c r="BR27" s="9">
        <v>0</v>
      </c>
      <c r="BS27" s="9">
        <f t="shared" si="14"/>
        <v>0</v>
      </c>
    </row>
    <row r="28" spans="1:71" ht="18.5" x14ac:dyDescent="0.45">
      <c r="A28" s="1" t="s">
        <v>34</v>
      </c>
      <c r="B28" s="1">
        <v>125000</v>
      </c>
      <c r="C28" s="5">
        <f t="shared" si="6"/>
        <v>-27000</v>
      </c>
      <c r="D28" s="9">
        <v>125000</v>
      </c>
      <c r="E28" s="9">
        <v>0</v>
      </c>
      <c r="F28" s="9">
        <v>0</v>
      </c>
      <c r="G28" s="5">
        <v>0</v>
      </c>
      <c r="H28" s="10" t="str">
        <f t="shared" si="0"/>
        <v>BANQUE</v>
      </c>
      <c r="I28" s="10">
        <v>27000</v>
      </c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8"/>
        <v>152000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52000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5"/>
        <v>0</v>
      </c>
      <c r="BA28" s="58"/>
      <c r="BB28" s="58"/>
      <c r="BC28" s="15"/>
      <c r="BD28" s="57">
        <f t="shared" si="13"/>
        <v>0</v>
      </c>
      <c r="BE28" s="82"/>
      <c r="BF28" s="29">
        <f t="shared" si="5"/>
        <v>0</v>
      </c>
      <c r="BG28" s="29">
        <v>12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  <c r="BR28" s="9">
        <v>0</v>
      </c>
      <c r="BS28" s="9">
        <f t="shared" si="14"/>
        <v>0</v>
      </c>
    </row>
    <row r="29" spans="1:71" ht="18.5" x14ac:dyDescent="0.45">
      <c r="A29" s="1" t="s">
        <v>159</v>
      </c>
      <c r="B29" s="1">
        <v>50000</v>
      </c>
      <c r="C29" s="5">
        <f t="shared" si="6"/>
        <v>-115000</v>
      </c>
      <c r="D29" s="9">
        <v>110000</v>
      </c>
      <c r="E29" s="9">
        <v>0</v>
      </c>
      <c r="F29" s="9">
        <v>0</v>
      </c>
      <c r="G29" s="5">
        <v>0</v>
      </c>
      <c r="H29" s="10" t="str">
        <f t="shared" si="0"/>
        <v>BANQUE</v>
      </c>
      <c r="I29" s="10">
        <v>-1000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61000</v>
      </c>
      <c r="Q29" s="2">
        <v>0</v>
      </c>
      <c r="R29" s="2">
        <v>0</v>
      </c>
      <c r="S29" s="20"/>
      <c r="T29" s="12"/>
      <c r="U29" s="17">
        <f t="shared" si="8"/>
        <v>110000</v>
      </c>
      <c r="V29" s="12"/>
      <c r="W29" s="12"/>
      <c r="X29" s="12"/>
      <c r="Y29" s="12"/>
      <c r="Z29" s="12">
        <v>1000000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24000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5"/>
        <v>980000</v>
      </c>
      <c r="BA29" s="58">
        <v>980000</v>
      </c>
      <c r="BB29" s="58">
        <v>115000</v>
      </c>
      <c r="BC29" s="15"/>
      <c r="BD29" s="57"/>
      <c r="BE29" s="82"/>
      <c r="BF29" s="29">
        <f t="shared" si="5"/>
        <v>120000</v>
      </c>
      <c r="BG29" s="29">
        <v>12</v>
      </c>
      <c r="BH29" s="15"/>
      <c r="BI29" s="15"/>
      <c r="BJ29" s="15"/>
      <c r="BK29" s="15">
        <v>100000</v>
      </c>
      <c r="BL29" s="61"/>
      <c r="BO29" s="62"/>
      <c r="BQ29" s="6"/>
      <c r="BR29" s="9">
        <v>60000</v>
      </c>
      <c r="BS29" s="9">
        <f t="shared" si="14"/>
        <v>60000</v>
      </c>
    </row>
    <row r="30" spans="1:71" ht="18.5" x14ac:dyDescent="0.45">
      <c r="A30" s="1" t="s">
        <v>35</v>
      </c>
      <c r="B30" s="1">
        <v>250000</v>
      </c>
      <c r="C30" s="5">
        <f t="shared" si="6"/>
        <v>0</v>
      </c>
      <c r="D30" s="9">
        <v>452000</v>
      </c>
      <c r="E30" s="9">
        <v>1000000</v>
      </c>
      <c r="F30" s="9">
        <v>0</v>
      </c>
      <c r="G30" s="5"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>
        <v>0</v>
      </c>
      <c r="R30" s="2">
        <v>202000</v>
      </c>
      <c r="S30" s="20">
        <v>1000000</v>
      </c>
      <c r="T30" s="12"/>
      <c r="U30" s="17">
        <f t="shared" si="8"/>
        <v>1452000</v>
      </c>
      <c r="V30" s="12"/>
      <c r="W30" s="12"/>
      <c r="X30" s="12"/>
      <c r="Y30" s="12"/>
      <c r="Z30" s="12">
        <v>1000000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5"/>
        <v>880000</v>
      </c>
      <c r="BA30" s="58">
        <v>880000</v>
      </c>
      <c r="BB30" s="58"/>
      <c r="BC30" s="15"/>
      <c r="BD30" s="57">
        <f t="shared" si="13"/>
        <v>0</v>
      </c>
      <c r="BE30" s="82"/>
      <c r="BF30" s="29">
        <f t="shared" si="5"/>
        <v>120000</v>
      </c>
      <c r="BG30" s="29">
        <v>12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  <c r="BR30" s="9">
        <v>0</v>
      </c>
      <c r="BS30" s="9">
        <f t="shared" si="14"/>
        <v>0</v>
      </c>
    </row>
    <row r="31" spans="1:71" ht="18.5" x14ac:dyDescent="0.45">
      <c r="A31" s="1" t="s">
        <v>37</v>
      </c>
      <c r="B31" s="1">
        <v>150000</v>
      </c>
      <c r="C31" s="5">
        <f t="shared" si="6"/>
        <v>0</v>
      </c>
      <c r="D31" s="9">
        <v>1150000</v>
      </c>
      <c r="E31" s="9">
        <v>0</v>
      </c>
      <c r="F31" s="9">
        <v>0</v>
      </c>
      <c r="G31" s="5"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>
        <v>0</v>
      </c>
      <c r="R31" s="2">
        <v>0</v>
      </c>
      <c r="S31" s="20">
        <v>1000000</v>
      </c>
      <c r="T31" s="12"/>
      <c r="U31" s="17">
        <f t="shared" si="8"/>
        <v>1150000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5"/>
        <v>880000</v>
      </c>
      <c r="BA31" s="58"/>
      <c r="BB31" s="58"/>
      <c r="BC31" s="15"/>
      <c r="BD31" s="57">
        <f t="shared" si="13"/>
        <v>880000</v>
      </c>
      <c r="BE31" s="82" t="s">
        <v>186</v>
      </c>
      <c r="BF31" s="29">
        <f t="shared" si="5"/>
        <v>120000</v>
      </c>
      <c r="BG31" s="29">
        <v>12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  <c r="BR31" s="9">
        <v>1000000</v>
      </c>
      <c r="BS31" s="9">
        <f t="shared" si="14"/>
        <v>1000000</v>
      </c>
    </row>
    <row r="32" spans="1:71" ht="18.5" x14ac:dyDescent="0.45">
      <c r="A32" s="1" t="s">
        <v>38</v>
      </c>
      <c r="B32" s="1">
        <v>125000</v>
      </c>
      <c r="C32" s="5">
        <f t="shared" si="6"/>
        <v>0</v>
      </c>
      <c r="D32" s="9">
        <v>327000</v>
      </c>
      <c r="E32" s="9">
        <v>0</v>
      </c>
      <c r="F32" s="9">
        <v>0</v>
      </c>
      <c r="G32" s="5"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202000</v>
      </c>
      <c r="R32" s="2">
        <v>0</v>
      </c>
      <c r="S32" s="20"/>
      <c r="T32" s="12"/>
      <c r="U32" s="17">
        <f t="shared" si="8"/>
        <v>327000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5"/>
        <v>880000</v>
      </c>
      <c r="BA32" s="58"/>
      <c r="BB32" s="58"/>
      <c r="BC32" s="15"/>
      <c r="BD32" s="57">
        <f t="shared" si="13"/>
        <v>880000</v>
      </c>
      <c r="BE32" s="82" t="s">
        <v>186</v>
      </c>
      <c r="BF32" s="29">
        <f t="shared" si="5"/>
        <v>120000</v>
      </c>
      <c r="BG32" s="29">
        <v>12</v>
      </c>
      <c r="BH32" s="15"/>
      <c r="BI32" s="15"/>
      <c r="BJ32" s="15"/>
      <c r="BK32" s="15"/>
      <c r="BL32" s="61"/>
      <c r="BO32" t="s">
        <v>203</v>
      </c>
      <c r="BR32" s="9">
        <v>0</v>
      </c>
      <c r="BS32" s="9">
        <f t="shared" si="14"/>
        <v>0</v>
      </c>
    </row>
    <row r="33" spans="1:71" ht="18.5" x14ac:dyDescent="0.45">
      <c r="A33" s="1" t="s">
        <v>194</v>
      </c>
      <c r="B33" s="1">
        <v>150000</v>
      </c>
      <c r="C33" s="5">
        <f t="shared" si="6"/>
        <v>0</v>
      </c>
      <c r="D33" s="9">
        <v>160000</v>
      </c>
      <c r="E33" s="9">
        <v>0</v>
      </c>
      <c r="F33" s="9">
        <v>0</v>
      </c>
      <c r="G33" s="5"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>
        <v>1000000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5"/>
        <v>880000</v>
      </c>
      <c r="BA33" s="58">
        <v>880000</v>
      </c>
      <c r="BB33" s="58"/>
      <c r="BC33" s="15"/>
      <c r="BD33" s="57">
        <f t="shared" si="13"/>
        <v>0</v>
      </c>
      <c r="BE33" s="82"/>
      <c r="BF33" s="29">
        <f t="shared" si="5"/>
        <v>120000</v>
      </c>
      <c r="BG33" s="29">
        <v>12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  <c r="BR33" s="9">
        <v>10000</v>
      </c>
      <c r="BS33" s="9">
        <f t="shared" si="14"/>
        <v>10000</v>
      </c>
    </row>
    <row r="34" spans="1:71" ht="18.5" x14ac:dyDescent="0.45">
      <c r="A34" s="1" t="s">
        <v>157</v>
      </c>
      <c r="B34" s="1">
        <v>50000</v>
      </c>
      <c r="C34" s="5">
        <f t="shared" si="6"/>
        <v>-297500</v>
      </c>
      <c r="D34" s="9">
        <v>0</v>
      </c>
      <c r="E34" s="9">
        <v>50000</v>
      </c>
      <c r="F34" s="9">
        <v>0</v>
      </c>
      <c r="G34" s="5">
        <v>0</v>
      </c>
      <c r="H34" s="10" t="str">
        <f t="shared" si="0"/>
        <v>ESPECES</v>
      </c>
      <c r="I34" s="10">
        <v>297500</v>
      </c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8"/>
        <v>347500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322500</v>
      </c>
      <c r="AT34" s="15"/>
      <c r="AV34" s="15"/>
      <c r="AW34" s="15">
        <f t="shared" si="10"/>
        <v>297500</v>
      </c>
      <c r="AX34" s="15">
        <f t="shared" si="11"/>
        <v>0</v>
      </c>
      <c r="AY34" s="15">
        <f t="shared" si="12"/>
        <v>0</v>
      </c>
      <c r="AZ34" s="16">
        <f t="shared" si="15"/>
        <v>297500</v>
      </c>
      <c r="BA34" s="58">
        <v>297500</v>
      </c>
      <c r="BB34" s="58"/>
      <c r="BC34" s="15"/>
      <c r="BD34" s="57">
        <f t="shared" si="13"/>
        <v>0</v>
      </c>
      <c r="BE34" s="82"/>
      <c r="BF34" s="29">
        <f t="shared" si="5"/>
        <v>0</v>
      </c>
      <c r="BG34" s="29">
        <v>12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  <c r="BR34" s="9">
        <v>0</v>
      </c>
      <c r="BS34" s="9">
        <f t="shared" si="14"/>
        <v>0</v>
      </c>
    </row>
    <row r="35" spans="1:71" ht="18.5" x14ac:dyDescent="0.45">
      <c r="A35" s="21" t="s">
        <v>160</v>
      </c>
      <c r="B35" s="1">
        <v>125000</v>
      </c>
      <c r="C35" s="5">
        <f t="shared" si="6"/>
        <v>0</v>
      </c>
      <c r="D35" s="9">
        <v>350000</v>
      </c>
      <c r="E35" s="9">
        <v>0</v>
      </c>
      <c r="F35" s="9">
        <v>0</v>
      </c>
      <c r="G35" s="5">
        <v>0</v>
      </c>
      <c r="H35" s="10" t="str">
        <f t="shared" si="0"/>
        <v>BANQUE</v>
      </c>
      <c r="I35" s="10"/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>
        <v>0</v>
      </c>
      <c r="R35" s="2">
        <v>0</v>
      </c>
      <c r="S35" s="20">
        <v>300000</v>
      </c>
      <c r="T35" s="12"/>
      <c r="U35" s="17">
        <f t="shared" si="8"/>
        <v>350000</v>
      </c>
      <c r="V35" s="12"/>
      <c r="W35" s="12"/>
      <c r="X35" s="12"/>
      <c r="Y35" s="12"/>
      <c r="Z35" s="12">
        <v>1000000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25000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5"/>
        <v>880000</v>
      </c>
      <c r="BA35" s="58"/>
      <c r="BB35" s="58"/>
      <c r="BC35" s="15"/>
      <c r="BD35" s="57">
        <f t="shared" si="13"/>
        <v>880000</v>
      </c>
      <c r="BE35" s="82" t="s">
        <v>186</v>
      </c>
      <c r="BF35" s="29">
        <f t="shared" si="5"/>
        <v>120000</v>
      </c>
      <c r="BG35" s="29">
        <v>12</v>
      </c>
      <c r="BH35" s="15"/>
      <c r="BI35" s="15"/>
      <c r="BJ35" s="15"/>
      <c r="BK35" s="15"/>
      <c r="BL35" s="61"/>
      <c r="BR35" s="9">
        <v>290000</v>
      </c>
      <c r="BS35" s="9">
        <f t="shared" si="14"/>
        <v>290000</v>
      </c>
    </row>
    <row r="36" spans="1:71" ht="18.5" x14ac:dyDescent="0.45">
      <c r="A36" s="1" t="s">
        <v>40</v>
      </c>
      <c r="B36" s="1">
        <v>50000</v>
      </c>
      <c r="C36" s="5">
        <f t="shared" si="6"/>
        <v>0</v>
      </c>
      <c r="D36" s="9">
        <v>0</v>
      </c>
      <c r="E36" s="9">
        <v>50000</v>
      </c>
      <c r="F36" s="9">
        <v>0</v>
      </c>
      <c r="G36" s="5">
        <v>0</v>
      </c>
      <c r="H36" s="10" t="str">
        <f t="shared" si="0"/>
        <v>ESPECES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297500</v>
      </c>
      <c r="AX36" s="15">
        <f t="shared" si="11"/>
        <v>0</v>
      </c>
      <c r="AY36" s="15">
        <f t="shared" si="12"/>
        <v>0</v>
      </c>
      <c r="AZ36" s="16">
        <f t="shared" si="15"/>
        <v>297500</v>
      </c>
      <c r="BA36" s="58">
        <v>297500</v>
      </c>
      <c r="BB36" s="58"/>
      <c r="BC36" s="15"/>
      <c r="BD36" s="57">
        <f t="shared" si="13"/>
        <v>0</v>
      </c>
      <c r="BE36" s="82"/>
      <c r="BF36" s="29">
        <f t="shared" si="5"/>
        <v>0</v>
      </c>
      <c r="BG36" s="29">
        <v>12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  <c r="BR36" s="9">
        <v>0</v>
      </c>
      <c r="BS36" s="9">
        <f t="shared" si="14"/>
        <v>0</v>
      </c>
    </row>
    <row r="37" spans="1:71" ht="18.5" x14ac:dyDescent="0.45">
      <c r="A37" s="1" t="s">
        <v>193</v>
      </c>
      <c r="B37" s="1">
        <v>150000</v>
      </c>
      <c r="C37" s="5">
        <f t="shared" si="6"/>
        <v>0</v>
      </c>
      <c r="D37" s="9">
        <v>0</v>
      </c>
      <c r="E37" s="9">
        <v>150000</v>
      </c>
      <c r="F37" s="9">
        <v>0</v>
      </c>
      <c r="G37" s="5">
        <v>0</v>
      </c>
      <c r="H37" s="10" t="str">
        <f t="shared" si="0"/>
        <v>ESPECES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5"/>
        <v>0</v>
      </c>
      <c r="BA37" s="58"/>
      <c r="BB37" s="58"/>
      <c r="BC37" s="15"/>
      <c r="BD37" s="57">
        <f t="shared" si="13"/>
        <v>0</v>
      </c>
      <c r="BE37" s="82"/>
      <c r="BF37" s="29">
        <f t="shared" si="5"/>
        <v>0</v>
      </c>
      <c r="BG37" s="29">
        <v>12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  <c r="BR37" s="9">
        <v>0</v>
      </c>
      <c r="BS37" s="9">
        <f t="shared" si="14"/>
        <v>0</v>
      </c>
    </row>
    <row r="38" spans="1:71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>
        <v>500000</v>
      </c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5"/>
        <v>485000</v>
      </c>
      <c r="BA38" s="58">
        <v>485000</v>
      </c>
      <c r="BB38" s="58"/>
      <c r="BC38" s="15"/>
      <c r="BD38" s="57">
        <f t="shared" si="13"/>
        <v>0</v>
      </c>
      <c r="BE38" s="82"/>
      <c r="BF38" s="29">
        <f t="shared" si="5"/>
        <v>15000</v>
      </c>
      <c r="BG38" s="29">
        <v>3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  <c r="BR38" s="9">
        <v>0</v>
      </c>
      <c r="BS38" s="9">
        <f t="shared" si="14"/>
        <v>0</v>
      </c>
    </row>
    <row r="39" spans="1:71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71" ht="18.5" x14ac:dyDescent="0.45">
      <c r="B40" s="1" t="s">
        <v>44</v>
      </c>
      <c r="C40" s="5">
        <f t="shared" ref="C40:S40" si="16">SUM(C6:C39)</f>
        <v>-2706700</v>
      </c>
      <c r="D40" s="5">
        <f t="shared" si="16"/>
        <v>9103000</v>
      </c>
      <c r="E40" s="5">
        <f t="shared" si="16"/>
        <v>9052000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790500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315000</v>
      </c>
      <c r="Q40" s="5">
        <f t="shared" si="16"/>
        <v>942500</v>
      </c>
      <c r="R40" s="5">
        <f t="shared" si="16"/>
        <v>2025500</v>
      </c>
      <c r="S40" s="5">
        <f t="shared" si="16"/>
        <v>11817500</v>
      </c>
      <c r="T40" s="5"/>
      <c r="U40" s="5">
        <f t="shared" ref="U40:AA40" si="17">SUM(U6:U39)</f>
        <v>20491000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15400000</v>
      </c>
      <c r="AA40" s="5">
        <f t="shared" si="17"/>
        <v>0</v>
      </c>
      <c r="AB40" s="5"/>
      <c r="AC40" s="5">
        <f>SUM(AC6:AC39)</f>
        <v>7500</v>
      </c>
      <c r="AD40" s="5">
        <f>SUM(AD6:AD39)</f>
        <v>7500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1529500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892500</v>
      </c>
      <c r="AX40" s="5">
        <f t="shared" si="18"/>
        <v>892500</v>
      </c>
      <c r="AY40" s="5">
        <f t="shared" si="18"/>
        <v>1190000</v>
      </c>
      <c r="AZ40" s="5">
        <f t="shared" si="18"/>
        <v>18935500</v>
      </c>
      <c r="BA40" s="5">
        <f t="shared" si="18"/>
        <v>7523000</v>
      </c>
      <c r="BB40" s="5">
        <f t="shared" si="18"/>
        <v>371700</v>
      </c>
      <c r="BC40" s="5">
        <f t="shared" si="18"/>
        <v>0</v>
      </c>
      <c r="BD40" s="5">
        <f t="shared" si="18"/>
        <v>12439118</v>
      </c>
      <c r="BE40" s="5">
        <f t="shared" si="18"/>
        <v>0</v>
      </c>
      <c r="BF40" s="5">
        <f t="shared" si="18"/>
        <v>1635250</v>
      </c>
      <c r="BH40" s="5">
        <f t="shared" ref="BH40:BL40" si="19">SUM(BH6:BH39)</f>
        <v>4031000</v>
      </c>
      <c r="BI40" s="5">
        <f t="shared" si="19"/>
        <v>0</v>
      </c>
      <c r="BJ40" s="5">
        <f t="shared" si="19"/>
        <v>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71" ht="18.5" x14ac:dyDescent="0.45">
      <c r="AW41" s="15"/>
      <c r="AX41" s="15"/>
      <c r="AY41" s="15"/>
      <c r="AZ41" s="16"/>
    </row>
    <row r="42" spans="1:71" ht="18.5" x14ac:dyDescent="0.45">
      <c r="Z42" s="12"/>
      <c r="AW42" s="15"/>
      <c r="AX42" s="15"/>
      <c r="AY42" s="15"/>
      <c r="AZ42" s="16"/>
      <c r="BA42" s="6"/>
    </row>
    <row r="43" spans="1:71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71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71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71" ht="18.5" x14ac:dyDescent="0.45">
      <c r="B46" s="1" t="s">
        <v>78</v>
      </c>
      <c r="AW46" s="15"/>
      <c r="AX46" s="15"/>
      <c r="AY46" s="15"/>
      <c r="AZ46" s="16"/>
    </row>
    <row r="47" spans="1:71" ht="18.5" x14ac:dyDescent="0.45">
      <c r="B47" s="1" t="s">
        <v>79</v>
      </c>
      <c r="C47" s="14">
        <f>AZ40</f>
        <v>18935500</v>
      </c>
      <c r="D47" s="9">
        <f>SUMIFS(D8:D40,H8:H40,"BANQUE")</f>
        <v>8928000</v>
      </c>
      <c r="F47" s="9">
        <f>E40</f>
        <v>9052000</v>
      </c>
      <c r="G47" s="14"/>
      <c r="J47" s="5"/>
      <c r="AW47" s="15"/>
      <c r="AX47" s="15"/>
      <c r="AY47" s="15"/>
      <c r="AZ47" s="16"/>
    </row>
    <row r="48" spans="1:71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33840000</v>
      </c>
    </row>
  </sheetData>
  <autoFilter ref="A5:AF38" xr:uid="{00000000-0009-0000-0000-00000F000000}"/>
  <mergeCells count="1">
    <mergeCell ref="B4:M4"/>
  </mergeCells>
  <dataValidations count="1">
    <dataValidation type="list" allowBlank="1" showInputMessage="1" showErrorMessage="1" sqref="T6:T38 AP6:AP38 AF6:AF38 AA6:AA38" xr:uid="{00000000-0002-0000-0F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Q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6" sqref="C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0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2024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  <c r="BQ3" s="1">
        <v>69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</row>
    <row r="6" spans="1:69" ht="18.5" x14ac:dyDescent="0.45">
      <c r="A6" s="1" t="s">
        <v>108</v>
      </c>
      <c r="B6" s="1">
        <v>250000</v>
      </c>
      <c r="C6" s="5"/>
      <c r="D6" s="9">
        <f>HISTOJANV24!D6+HISTOFEV24!D6+HISTOMARS24!D6+HISTOAVRIL24!D6+HISTOMAI24!D6+HISTOJUIN24!D6+HISTOJUIL24!D6+HISTOAOUT24!D6+HISTOSEPT24!D6+HISTOOCT24!D6+HISTONOV24!D6+HISTODEC244!D6</f>
        <v>2100000</v>
      </c>
      <c r="E6" s="9">
        <f>HISTOJANV24!E6+HISTOFEV24!E6+HISTOMARS24!E6+HISTOAVRIL24!E6+HISTOMAI24!E6+HISTOJUIN24!E6+HISTOJUIL24!E6+HISTOAOUT24!E6+HISTOSEPT24!E6+HISTOOCT24!E6+HISTONOV24!E6+HISTODEC244!E6</f>
        <v>0</v>
      </c>
      <c r="F6" s="9">
        <f>HISTOJANV24!F6+HISTOFEV24!F6+HISTOMARS24!F6+HISTOAVRIL24!F6+HISTOMAI24!F6+HISTOJUIN24!F6+HISTOJUIL24!F6+HISTOAOUT24!F6+HISTOSEPT24!F6+HISTOOCT24!F6+HISTONOV24!F6+HISTODEC244!F6</f>
        <v>0</v>
      </c>
      <c r="G6" s="9">
        <f>HISTOJANV24!G6+HISTOFEV24!G6+HISTOMARS24!G6+HISTOAVRIL24!G6+HISTOMAI24!G6+HISTOJUIN24!G6+HISTOJUIL24!G6+HISTOAOUT24!G6+HISTOSEPT24!G6+HISTOOCT24!G6+HISTONOV24!G6+HISTODEC244!G6</f>
        <v>0</v>
      </c>
      <c r="H6" s="10"/>
      <c r="I6" s="9">
        <f>HISTOJANV24!I6+HISTOFEV24!I6+HISTOMARS24!I6+HISTOAVRIL24!I6+HISTOMAI24!I6+HISTOJUIN24!I6+HISTOJUIL24!I6+HISTOAOUT24!I6+HISTOSEPT24!I6+HISTOOCT24!I6+HISTONOV24!I6+HISTODEC244!I6</f>
        <v>61000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HISTOJANV24!P6+HISTOFEV24!P6+HISTOMARS24!P6+HISTOAVRIL24!P6+HISTOMAI24!P6+HISTOJUIN24!P6+HISTOJUIL24!P6+HISTOAOUT24!P6+HISTOSEPT24!P6+HISTOOCT24!P6+HISTONOV24!P6+HISTODEC244!P6</f>
        <v>0</v>
      </c>
      <c r="Q6" s="9">
        <f>HISTOJANV24!Q6+HISTOFEV24!Q6+HISTOMARS24!Q6+HISTOAVRIL24!Q6+HISTOMAI24!Q6+HISTOJUIN24!Q6+HISTOJUIL24!Q6+HISTOAOUT24!Q6+HISTOSEPT24!Q6+HISTOOCT24!Q6+HISTONOV24!Q6+HISTODEC244!Q6</f>
        <v>0</v>
      </c>
      <c r="R6" s="9">
        <f>HISTOJANV24!R6+HISTOFEV24!R6+HISTOMARS24!R6+HISTOAVRIL24!R6+HISTOMAI24!R6+HISTOJUIN24!R6+HISTOJUIL24!R6+HISTOAOUT24!R6+HISTOSEPT24!R6+HISTOOCT24!R6+HISTONOV24!R6+HISTODEC244!R6</f>
        <v>0</v>
      </c>
      <c r="S6" s="9">
        <f>HISTOJANV24!S6+HISTOFEV24!S6+HISTOMARS24!S6+HISTOAVRIL24!S6+HISTOMAI24!S6+HISTOJUIN24!S6+HISTOJUIL24!S6+HISTOAOUT24!S6+HISTOSEPT24!S6+HISTOOCT24!S6+HISTONOV24!S6+HISTODEC244!S6</f>
        <v>0</v>
      </c>
      <c r="T6" s="12"/>
      <c r="U6" s="17">
        <f>G6+S6++R6+P6+O6+M6+I6+K6+Q6+V6+W6</f>
        <v>236000</v>
      </c>
      <c r="V6" s="9">
        <f>HISTOJANV24!V6+HISTOFEV24!V6+HISTOMARS24!V6+HISTOAVRIL24!V6+HISTOMAI24!V6+HISTOJUIN24!V6+HISTOJUIL24!V6+HISTOAOUT24!V6+HISTOSEPT24!V6+HISTOOCT24!V6+HISTONOV24!V6+HISTODEC244!V6</f>
        <v>0</v>
      </c>
      <c r="W6" s="9">
        <f>HISTOJANV24!W6+HISTOFEV24!W6+HISTOMARS24!W6+HISTOAVRIL24!W6+HISTOMAI24!W6+HISTOJUIN24!W6+HISTOJUIL24!W6+HISTOAOUT24!W6+HISTOSEPT24!W6+HISTOOCT24!W6+HISTONOV24!W6+HISTODEC244!W6</f>
        <v>0</v>
      </c>
      <c r="X6" s="9">
        <f>HISTOJANV24!X6+HISTOFEV24!X6+HISTOMARS24!X6+HISTOAVRIL24!X6+HISTOMAI24!X6+HISTOJUIN24!X6+HISTOJUIL24!X6+HISTOAOUT24!X6+HISTOSEPT24!X6+HISTOOCT24!X6+HISTONOV24!X6+HISTODEC244!X6</f>
        <v>0</v>
      </c>
      <c r="Y6" s="9">
        <f>HISTOJANV24!Y6+HISTOFEV24!Y6+HISTOMARS24!Y6+HISTOAVRIL24!Y6+HISTOMAI24!Y6+HISTOJUIN24!Y6+HISTOJUIL24!Y6+HISTOAOUT24!Y6+HISTOSEPT24!Y6+HISTOOCT24!Y6+HISTONOV24!Y6+HISTODEC244!Y6</f>
        <v>0</v>
      </c>
      <c r="Z6" s="9">
        <f>HISTOJANV24!Z6+HISTOFEV24!Z6+HISTOMARS24!Z6+HISTOAVRIL24!Z6+HISTOMAI24!Z6+HISTOJUIN24!Z6+HISTOJUIL24!Z6+HISTOAOUT24!Z6+HISTOSEPT24!Z6+HISTOOCT24!Z6+HISTONOV24!Z6+HISTODEC244!Z6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HISTOJANV24!AC6+HISTOFEV24!AC6+HISTOMARS24!AC6+HISTOAVRIL24!AC6+HISTOMAI24!AC6+HISTOJUIN24!AC6+HISTOJUIL24!AC6+HISTOAOUT24!AC6+HISTOSEPT24!AC6+HISTOOCT24!AC6+HISTONOV24!AC6+HISTODEC244!AC6</f>
        <v>0</v>
      </c>
      <c r="AD6" s="9">
        <f>HISTOJANV24!AD6+HISTOFEV24!AD6+HISTOMARS24!AD6+HISTOAVRIL24!AD6+HISTOMAI24!AD6+HISTOJUIN24!AD6+HISTOJUIL24!AD6+HISTOAOUT24!AD6+HISTOSEPT24!AD6+HISTOOCT24!AD6+HISTONOV24!AD6+HISTODEC244!AD6</f>
        <v>7500</v>
      </c>
      <c r="AE6" s="9">
        <f>HISTOJANV24!AE6+HISTOFEV24!AE6+HISTOMARS24!AE6+HISTOAVRIL24!AE6+HISTOMAI24!AE6+HISTOJUIN24!AE6+HISTOJUIL24!AE6+HISTOAOUT24!AE6+HISTOSEPT24!AE6+HISTOOCT24!AE6+HISTONOV24!AE6+HISTODEC244!AE6</f>
        <v>10000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HISTOJANV24!AH6+HISTOFEV24!AH6+HISTOMARS24!AH6+HISTOAVRIL24!AH6+HISTOMAI24!AH6+HISTOJUIN24!AH6+HISTOJUIL24!AH6+HISTOAOUT24!AH6+HISTOSEPT24!AH6+HISTOOCT24!AH6+HISTONOV24!AH6+HISTODEC244!AH6</f>
        <v>0</v>
      </c>
      <c r="AI6" s="9">
        <f>HISTOJANV24!AI6+HISTOFEV24!AI6+HISTOMARS24!AI6+HISTOAVRIL24!AI6+HISTOMAI24!AI6+HISTOJUIN24!AI6+HISTOJUIL24!AI6+HISTOAOUT24!AI6+HISTOSEPT24!AI6+HISTOOCT24!AI6+HISTONOV24!AI6+HISTODEC244!AI6</f>
        <v>0</v>
      </c>
      <c r="AJ6" s="9">
        <f>HISTOJANV24!AJ6+HISTOFEV24!AJ6+HISTOMARS24!AJ6+HISTOAVRIL24!AJ6+HISTOMAI24!AJ6+HISTOJUIN24!AJ6+HISTOJUIL24!AJ6+HISTOAOUT24!AJ6+HISTOSEPT24!AJ6+HISTOOCT24!AJ6+HISTONOV24!AJ6+HISTODEC244!AJ6</f>
        <v>0</v>
      </c>
      <c r="AK6" s="9">
        <f>HISTOJANV24!AK6+HISTOFEV24!AK6+HISTOMARS24!AK6+HISTOAVRIL24!AK6+HISTOMAI24!AK6+HISTOJUIN24!AK6+HISTOJUIL24!AK6+HISTOAOUT24!AK6+HISTOSEPT24!AK6+HISTOOCT24!AK6+HISTONOV24!AK6+HISTODEC244!AK6</f>
        <v>0</v>
      </c>
      <c r="AL6" s="9">
        <f>HISTOJANV24!AL6+HISTOFEV24!AL6+HISTOMARS24!AL6+HISTOAVRIL24!AL6+HISTOMAI24!AL6+HISTOJUIN24!AL6+HISTOJUIL24!AL6+HISTOAOUT24!AL6+HISTOSEPT24!AL6+HISTOOCT24!AL6+HISTONOV24!AL6+HISTODEC244!AL6</f>
        <v>0</v>
      </c>
      <c r="AM6" s="9">
        <f>HISTOJANV24!AM6+HISTOFEV24!AM6+HISTOMARS24!AM6+HISTOAVRIL24!AM6+HISTOMAI24!AM6+HISTOJUIN24!AM6+HISTOJUIL24!AM6+HISTOAOUT24!AM6+HISTOSEPT24!AM6+HISTOOCT24!AM6+HISTONOV24!AM6+HISTODEC244!AM6</f>
        <v>0</v>
      </c>
      <c r="AN6" s="9">
        <f>HISTOJANV24!AN6+HISTOFEV24!AN6+HISTOMARS24!AN6+HISTOAVRIL24!AN6+HISTOMAI24!AN6+HISTOJUIN24!AN6+HISTOJUIL24!AN6+HISTOAOUT24!AN6+HISTOSEPT24!AN6+HISTOOCT24!AN6+HISTONOV24!AN6+HISTODEC244!AN6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HISTOJANV24!AW6+HISTOFEV24!AW6+HISTOMARS24!AW6+HISTOAVRIL24!AW6+HISTOMAI24!AW6+HISTOJUIN24!AW6+HISTOJUIL24!AW6+HISTOAOUT24!AW6+HISTOSEPT24!AW6+HISTOOCT24!AW6+HISTONOV24!AW6+HISTODEC244!AW6</f>
        <v>0</v>
      </c>
      <c r="AX6" s="9">
        <f>HISTOJANV24!AX6+HISTOFEV24!AX6+HISTOMARS24!AX6+HISTOAVRIL24!AX6+HISTOMAI24!AX6+HISTOJUIN24!AX6+HISTOJUIL24!AX6+HISTOAOUT24!AX6+HISTOSEPT24!AX6+HISTOOCT24!AX6+HISTONOV24!AX6+HISTODEC244!AX6</f>
        <v>892500</v>
      </c>
      <c r="AY6" s="9">
        <f>HISTOJANV24!AY6+HISTOFEV24!AY6+HISTOMARS24!AY6+HISTOAVRIL24!AY6+HISTOMAI24!AY6+HISTOJUIN24!AY6+HISTOJUIL24!AY6+HISTOAOUT24!AY6+HISTOSEPT24!AY6+HISTOOCT24!AY6+HISTONOV24!AY6+HISTODEC244!AY6</f>
        <v>1190000</v>
      </c>
      <c r="AZ6" s="9">
        <f>HISTOJANV24!AZ6+HISTOFEV24!AZ6+HISTOMARS24!AZ6+HISTOAVRIL24!AZ6+HISTOMAI24!AZ6+HISTOJUIN24!AZ6+HISTOJUIL24!AZ6+HISTOAOUT24!AZ6+HISTOSEPT24!AZ6+HISTOOCT24!AZ6+HISTONOV24!AZ6+HISTODEC244!AZ6</f>
        <v>5711000</v>
      </c>
      <c r="BA6" s="9">
        <f>HISTOJANV24!BA6+HISTOFEV24!BA6+HISTOMARS24!BA6+HISTOAVRIL24!BA6+HISTOMAI24!BA6+HISTOJUIN24!BA6+HISTOJUIL24!BA6+HISTOAOUT24!BA6+HISTOSEPT24!BA6+HISTOOCT24!BA6+HISTONOV24!BA6+HISTODEC244!BA6</f>
        <v>119000</v>
      </c>
      <c r="BB6" s="9">
        <f>HISTOJANV24!BB6+HISTOFEV24!BB6+HISTOMARS24!BB6+HISTOAVRIL24!BB6+HISTOMAI24!BB6+HISTOJUIN24!BB6+HISTOJUIL24!BB6+HISTOAOUT24!BB6+HISTOSEPT24!BB6+HISTOOCT24!BB6+HISTONOV24!BB6+HISTODEC244!BB6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HISTOJANV24!BD6+HISTOFEV24!BD6+HISTOMARS24!BD6+HISTOAVRIL24!BD6+HISTOMAI24!BD6+HISTOJUIN24!BD6+HISTOJUIL24!BD6+HISTOAOUT24!BD6+HISTOSEPT24!BD6+HISTOOCT24!BD6+HISTONOV24!BD6+HISTODEC244!BD6</f>
        <v>7210118</v>
      </c>
      <c r="BE6" s="82"/>
      <c r="BF6" s="9">
        <f>HISTOJANV24!BF6+HISTOFEV24!BF6+HISTOMARS24!BF6+HISTOAVRIL24!BF6+HISTOMAI24!BF6+HISTOJUIN24!BF6+HISTOJUIL24!BF6+HISTOAOUT24!BF6+HISTOSEPT24!BF6+HISTOOCT24!BF6+HISTONOV24!BF6+HISTODEC244!BF6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HISTOJANV24!BH6+HISTOFEV24!BH6+HISTOMARS24!BH6+HISTOAVRIL24!BH6+HISTOMAI24!BH6+HISTOJUIN24!BH6+HISTOJUIL24!BH6+HISTOAOUT24!BH6+HISTOSEPT24!BH6+HISTOOCT24!BH6+HISTONOV24!BH6+HISTODEC244!BH6</f>
        <v>4251000</v>
      </c>
      <c r="BI6" s="9">
        <f>HISTOJANV24!BI6+HISTOFEV24!BI6+HISTOMARS24!BI6+HISTOAVRIL24!BI6+HISTOMAI24!BI6+HISTOJUIN24!BI6+HISTOJUIL24!BI6+HISTOAOUT24!BI6+HISTOSEPT24!BI6+HISTOOCT24!BI6+HISTONOV24!BI6+HISTODEC244!BI6</f>
        <v>960000</v>
      </c>
      <c r="BJ6" s="9">
        <f>HISTOJANV24!BJ6+HISTOFEV24!BJ6+HISTOMARS24!BJ6+HISTOAVRIL24!BJ6+HISTOMAI24!BJ6+HISTOJUIN24!BJ6+HISTOJUIL24!BJ6+HISTOAOUT24!BJ6+HISTOSEPT24!BJ6+HISTOOCT24!BJ6+HISTONOV24!BJ6+HISTODEC244!BJ6</f>
        <v>200000</v>
      </c>
      <c r="BK6" s="9">
        <f>HISTOJANV24!BK6+HISTOFEV24!BK6+HISTOMARS24!BK6+HISTOAVRIL24!BK6+HISTOMAI24!BK6+HISTOJUIN24!BK6+HISTOJUIL24!BK6+HISTOAOUT24!BK6+HISTOSEPT24!BK6+HISTOOCT24!BK6+HISTONOV24!BK6+HISTODEC244!BK6</f>
        <v>300000</v>
      </c>
      <c r="BL6" s="9">
        <f>HISTOJANV24!BL6+HISTOFEV24!BL6+HISTOMARS24!BL6+HISTOAVRIL24!BL6+HISTOMAI24!BL6+HISTOJUIN24!BL6+HISTOJUIL24!BL6+HISTOAOUT24!BL6+HISTOSEPT24!BL6+HISTOOCT24!BL6+HISTONOV24!BL6+HISTODEC244!BL6</f>
        <v>0</v>
      </c>
      <c r="BM6" s="9">
        <f>HISTOJANV24!BM6+HISTOFEV24!BM6+HISTOMARS24!BM6+HISTOAVRIL24!BM6+HISTOMAI24!BM6+HISTOJUIN24!BM6+HISTOJUIL24!BM6+HISTOAOUT24!BM6+HISTOSEPT24!BM6+HISTOOCT24!BM6+HISTONOV24!BM6+HISTODEC244!BM6</f>
        <v>0</v>
      </c>
      <c r="BN6" s="9">
        <f>HISTOJANV24!BN6+HISTOFEV24!BN6+HISTOMARS24!BN6+HISTOAVRIL24!BN6+HISTOMAI24!BN6+HISTOJUIN24!BN6+HISTOJUIL24!BN6+HISTOAOUT24!BN6+HISTOSEPT24!BN6+HISTOOCT24!BN6+HISTONOV24!BN6+HISTODEC244!BN6</f>
        <v>5326618</v>
      </c>
      <c r="BO6" t="s">
        <v>115</v>
      </c>
      <c r="BP6" t="s">
        <v>114</v>
      </c>
      <c r="BQ6" s="9">
        <f>HISTOJANV24!BQ6+HISTOFEV24!BQ6+HISTOMARS24!BQ6+HISTOAVRIL24!BQ6+HISTOMAI24!BQ6+HISTOJUIN24!BQ6+HISTOJUIL24!BQ6+HISTOAOUT24!BQ6+HISTOSEPT24!BQ6+HISTOOCT24!BQ6+HISTONOV24!BQ6+HISTODEC244!BQ6</f>
        <v>11500</v>
      </c>
    </row>
    <row r="7" spans="1:69" ht="18.5" x14ac:dyDescent="0.45">
      <c r="A7" s="1" t="s">
        <v>161</v>
      </c>
      <c r="B7" s="1">
        <v>50000</v>
      </c>
      <c r="C7" s="14"/>
      <c r="D7" s="9">
        <f>HISTOJANV24!D7+HISTOFEV24!D7+HISTOMARS24!D7+HISTOAVRIL24!D7+HISTOMAI24!D7+HISTOJUIN24!D7+HISTOJUIL24!D7+HISTOAOUT24!D7+HISTOSEPT24!D7+HISTOOCT24!D7+HISTONOV24!D7+HISTODEC244!D7</f>
        <v>340000</v>
      </c>
      <c r="E7" s="9">
        <f>HISTOJANV24!E7+HISTOFEV24!E7+HISTOMARS24!E7+HISTOAVRIL24!E7+HISTOMAI24!E7+HISTOJUIN24!E7+HISTOJUIL24!E7+HISTOAOUT24!E7+HISTOSEPT24!E7+HISTOOCT24!E7+HISTONOV24!E7+HISTODEC244!E7</f>
        <v>471000</v>
      </c>
      <c r="F7" s="9">
        <f>HISTOJANV24!F7+HISTOFEV24!F7+HISTOMARS24!F7+HISTOAVRIL24!F7+HISTOMAI24!F7+HISTOJUIN24!F7+HISTOJUIL24!F7+HISTOAOUT24!F7+HISTOSEPT24!F7+HISTOOCT24!F7+HISTONOV24!F7+HISTODEC244!F7</f>
        <v>0</v>
      </c>
      <c r="G7" s="9">
        <f>HISTOJANV24!G7+HISTOFEV24!G7+HISTOMARS24!G7+HISTOAVRIL24!G7+HISTOMAI24!G7+HISTOJUIN24!G7+HISTOJUIL24!G7+HISTOAOUT24!G7+HISTOSEPT24!G7+HISTOOCT24!G7+HISTONOV24!G7+HISTODEC244!G7</f>
        <v>15000</v>
      </c>
      <c r="H7" s="10"/>
      <c r="I7" s="9">
        <f>HISTOJANV24!I7+HISTOFEV24!I7+HISTOMARS24!I7+HISTOAVRIL24!I7+HISTOMAI24!I7+HISTOJUIN24!I7+HISTOJUIL24!I7+HISTOAOUT24!I7+HISTOSEPT24!I7+HISTOOCT24!I7+HISTONOV24!I7+HISTODEC244!I7</f>
        <v>8000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HISTOJANV24!P7+HISTOFEV24!P7+HISTOMARS24!P7+HISTOAVRIL24!P7+HISTOMAI24!P7+HISTOJUIN24!P7+HISTOJUIL24!P7+HISTOAOUT24!P7+HISTOSEPT24!P7+HISTOOCT24!P7+HISTONOV24!P7+HISTODEC244!P7</f>
        <v>119000</v>
      </c>
      <c r="Q7" s="9">
        <f>HISTOJANV24!Q7+HISTOFEV24!Q7+HISTOMARS24!Q7+HISTOAVRIL24!Q7+HISTOMAI24!Q7+HISTOJUIN24!Q7+HISTOJUIL24!Q7+HISTOAOUT24!Q7+HISTOSEPT24!Q7+HISTOOCT24!Q7+HISTONOV24!Q7+HISTODEC244!Q7</f>
        <v>0</v>
      </c>
      <c r="R7" s="9">
        <f>HISTOJANV24!R7+HISTOFEV24!R7+HISTOMARS24!R7+HISTOAVRIL24!R7+HISTOMAI24!R7+HISTOJUIN24!R7+HISTOJUIL24!R7+HISTOAOUT24!R7+HISTOSEPT24!R7+HISTOOCT24!R7+HISTONOV24!R7+HISTODEC244!R7</f>
        <v>0</v>
      </c>
      <c r="S7" s="9">
        <f>HISTOJANV24!S7+HISTOFEV24!S7+HISTOMARS24!S7+HISTOAVRIL24!S7+HISTOMAI24!S7+HISTOJUIN24!S7+HISTOJUIL24!S7+HISTOAOUT24!S7+HISTOSEPT24!S7+HISTOOCT24!S7+HISTONOV24!S7+HISTODEC244!S7</f>
        <v>0</v>
      </c>
      <c r="T7" s="12"/>
      <c r="U7" s="17">
        <f t="shared" ref="U7:U38" si="5">G7+S7++R7+P7+O7+M7+I7+K7+Q7+V7+W7</f>
        <v>192000</v>
      </c>
      <c r="V7" s="9">
        <f>HISTOJANV24!V7+HISTOFEV24!V7+HISTOMARS24!V7+HISTOAVRIL24!V7+HISTOMAI24!V7+HISTOJUIN24!V7+HISTOJUIL24!V7+HISTOAOUT24!V7+HISTOSEPT24!V7+HISTOOCT24!V7+HISTONOV24!V7+HISTODEC244!V7</f>
        <v>0</v>
      </c>
      <c r="W7" s="9">
        <f>HISTOJANV24!W7+HISTOFEV24!W7+HISTOMARS24!W7+HISTOAVRIL24!W7+HISTOMAI24!W7+HISTOJUIN24!W7+HISTOJUIL24!W7+HISTOAOUT24!W7+HISTOSEPT24!W7+HISTOOCT24!W7+HISTONOV24!W7+HISTODEC244!W7</f>
        <v>0</v>
      </c>
      <c r="X7" s="9">
        <f>HISTOJANV24!X7+HISTOFEV24!X7+HISTOMARS24!X7+HISTOAVRIL24!X7+HISTOMAI24!X7+HISTOJUIN24!X7+HISTOJUIL24!X7+HISTOAOUT24!X7+HISTOSEPT24!X7+HISTOOCT24!X7+HISTONOV24!X7+HISTODEC244!X7</f>
        <v>0</v>
      </c>
      <c r="Y7" s="9">
        <f>HISTOJANV24!Y7+HISTOFEV24!Y7+HISTOMARS24!Y7+HISTOAVRIL24!Y7+HISTOMAI24!Y7+HISTOJUIN24!Y7+HISTOJUIL24!Y7+HISTOAOUT24!Y7+HISTOSEPT24!Y7+HISTOOCT24!Y7+HISTONOV24!Y7+HISTODEC244!Y7</f>
        <v>0</v>
      </c>
      <c r="Z7" s="9">
        <f>HISTOJANV24!Z7+HISTOFEV24!Z7+HISTOMARS24!Z7+HISTOAVRIL24!Z7+HISTOMAI24!Z7+HISTOJUIN24!Z7+HISTOJUIL24!Z7+HISTOAOUT24!Z7+HISTOSEPT24!Z7+HISTOOCT24!Z7+HISTONOV24!Z7+HISTODEC244!Z7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HISTOJANV24!AC7+HISTOFEV24!AC7+HISTOMARS24!AC7+HISTOAVRIL24!AC7+HISTOMAI24!AC7+HISTOJUIN24!AC7+HISTOJUIL24!AC7+HISTOAOUT24!AC7+HISTOSEPT24!AC7+HISTOOCT24!AC7+HISTONOV24!AC7+HISTODEC244!AC7</f>
        <v>10000</v>
      </c>
      <c r="AD7" s="9">
        <f>HISTOJANV24!AD7+HISTOFEV24!AD7+HISTOMARS24!AD7+HISTOAVRIL24!AD7+HISTOMAI24!AD7+HISTOJUIN24!AD7+HISTOJUIL24!AD7+HISTOAOUT24!AD7+HISTOSEPT24!AD7+HISTOOCT24!AD7+HISTONOV24!AD7+HISTODEC244!AD7</f>
        <v>0</v>
      </c>
      <c r="AE7" s="9">
        <f>HISTOJANV24!AE7+HISTOFEV24!AE7+HISTOMARS24!AE7+HISTOAVRIL24!AE7+HISTOMAI24!AE7+HISTOJUIN24!AE7+HISTOJUIL24!AE7+HISTOAOUT24!AE7+HISTOSEPT24!AE7+HISTOOCT24!AE7+HISTONOV24!AE7+HISTODEC244!AE7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HISTOJANV24!AH7+HISTOFEV24!AH7+HISTOMARS24!AH7+HISTOAVRIL24!AH7+HISTOMAI24!AH7+HISTOJUIN24!AH7+HISTOJUIL24!AH7+HISTOAOUT24!AH7+HISTOSEPT24!AH7+HISTOOCT24!AH7+HISTONOV24!AH7+HISTODEC244!AH7</f>
        <v>0</v>
      </c>
      <c r="AI7" s="9">
        <f>HISTOJANV24!AI7+HISTOFEV24!AI7+HISTOMARS24!AI7+HISTOAVRIL24!AI7+HISTOMAI24!AI7+HISTOJUIN24!AI7+HISTOJUIL24!AI7+HISTOAOUT24!AI7+HISTOSEPT24!AI7+HISTOOCT24!AI7+HISTONOV24!AI7+HISTODEC244!AI7</f>
        <v>117000</v>
      </c>
      <c r="AJ7" s="9">
        <f>HISTOJANV24!AJ7+HISTOFEV24!AJ7+HISTOMARS24!AJ7+HISTOAVRIL24!AJ7+HISTOMAI24!AJ7+HISTOJUIN24!AJ7+HISTOJUIL24!AJ7+HISTOAOUT24!AJ7+HISTOSEPT24!AJ7+HISTOOCT24!AJ7+HISTONOV24!AJ7+HISTODEC244!AJ7</f>
        <v>0</v>
      </c>
      <c r="AK7" s="9">
        <f>HISTOJANV24!AK7+HISTOFEV24!AK7+HISTOMARS24!AK7+HISTOAVRIL24!AK7+HISTOMAI24!AK7+HISTOJUIN24!AK7+HISTOJUIL24!AK7+HISTOAOUT24!AK7+HISTOSEPT24!AK7+HISTOOCT24!AK7+HISTONOV24!AK7+HISTODEC244!AK7</f>
        <v>0</v>
      </c>
      <c r="AL7" s="9">
        <f>HISTOJANV24!AL7+HISTOFEV24!AL7+HISTOMARS24!AL7+HISTOAVRIL24!AL7+HISTOMAI24!AL7+HISTOJUIN24!AL7+HISTOJUIL24!AL7+HISTOAOUT24!AL7+HISTOSEPT24!AL7+HISTOOCT24!AL7+HISTONOV24!AL7+HISTODEC244!AL7</f>
        <v>2000</v>
      </c>
      <c r="AM7" s="9">
        <f>HISTOJANV24!AM7+HISTOFEV24!AM7+HISTOMARS24!AM7+HISTOAVRIL24!AM7+HISTOMAI24!AM7+HISTOJUIN24!AM7+HISTOJUIL24!AM7+HISTOAOUT24!AM7+HISTOSEPT24!AM7+HISTOOCT24!AM7+HISTONOV24!AM7+HISTODEC244!AM7</f>
        <v>0</v>
      </c>
      <c r="AN7" s="9">
        <f>HISTOJANV24!AN7+HISTOFEV24!AN7+HISTOMARS24!AN7+HISTOAVRIL24!AN7+HISTOMAI24!AN7+HISTOJUIN24!AN7+HISTOJUIL24!AN7+HISTOAOUT24!AN7+HISTOSEPT24!AN7+HISTOOCT24!AN7+HISTONOV24!AN7+HISTODEC244!AN7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33000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HISTOJANV24!AW7+HISTOFEV24!AW7+HISTOMARS24!AW7+HISTOAVRIL24!AW7+HISTOMAI24!AW7+HISTOJUIN24!AW7+HISTOJUIL24!AW7+HISTOAOUT24!AW7+HISTOSEPT24!AW7+HISTOOCT24!AW7+HISTONOV24!AW7+HISTODEC244!AW7</f>
        <v>407000</v>
      </c>
      <c r="AX7" s="9">
        <f>HISTOJANV24!AX7+HISTOFEV24!AX7+HISTOMARS24!AX7+HISTOAVRIL24!AX7+HISTOMAI24!AX7+HISTOJUIN24!AX7+HISTOJUIL24!AX7+HISTOAOUT24!AX7+HISTOSEPT24!AX7+HISTOOCT24!AX7+HISTONOV24!AX7+HISTODEC244!AX7</f>
        <v>0</v>
      </c>
      <c r="AY7" s="9">
        <f>HISTOJANV24!AY7+HISTOFEV24!AY7+HISTOMARS24!AY7+HISTOAVRIL24!AY7+HISTOMAI24!AY7+HISTOJUIN24!AY7+HISTOJUIL24!AY7+HISTOAOUT24!AY7+HISTOSEPT24!AY7+HISTOOCT24!AY7+HISTONOV24!AY7+HISTODEC244!AY7</f>
        <v>0</v>
      </c>
      <c r="AZ7" s="9">
        <f>HISTOJANV24!AZ7+HISTOFEV24!AZ7+HISTOMARS24!AZ7+HISTOAVRIL24!AZ7+HISTOMAI24!AZ7+HISTOJUIN24!AZ7+HISTOJUIL24!AZ7+HISTOAOUT24!AZ7+HISTOSEPT24!AZ7+HISTOOCT24!AZ7+HISTONOV24!AZ7+HISTODEC244!AZ7</f>
        <v>1001000</v>
      </c>
      <c r="BA7" s="9">
        <f>HISTOJANV24!BA7+HISTOFEV24!BA7+HISTOMARS24!BA7+HISTOAVRIL24!BA7+HISTOMAI24!BA7+HISTOJUIN24!BA7+HISTOJUIL24!BA7+HISTOAOUT24!BA7+HISTOSEPT24!BA7+HISTOOCT24!BA7+HISTONOV24!BA7+HISTODEC244!BA7</f>
        <v>10000</v>
      </c>
      <c r="BB7" s="9">
        <f>HISTOJANV24!BB7+HISTOFEV24!BB7+HISTOMARS24!BB7+HISTOAVRIL24!BB7+HISTOMAI24!BB7+HISTOJUIN24!BB7+HISTOJUIL24!BB7+HISTOAOUT24!BB7+HISTOSEPT24!BB7+HISTOOCT24!BB7+HISTONOV24!BB7+HISTODEC244!BB7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HISTOJANV24!BD7+HISTOFEV24!BD7+HISTOMARS24!BD7+HISTOAVRIL24!BD7+HISTOMAI24!BD7+HISTOJUIN24!BD7+HISTOJUIL24!BD7+HISTOAOUT24!BD7+HISTOSEPT24!BD7+HISTOOCT24!BD7+HISTONOV24!BD7+HISTODEC244!BD7</f>
        <v>397000</v>
      </c>
      <c r="BE7" s="82"/>
      <c r="BF7" s="9">
        <f>HISTOJANV24!BF7+HISTOFEV24!BF7+HISTOMARS24!BF7+HISTOAVRIL24!BF7+HISTOMAI24!BF7+HISTOJUIN24!BF7+HISTOJUIL24!BF7+HISTOAOUT24!BF7+HISTOSEPT24!BF7+HISTOOCT24!BF7+HISTONOV24!BF7+HISTODEC244!BF7</f>
        <v>111000</v>
      </c>
      <c r="BG7" s="29"/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9">
        <f>HISTOJANV24!BQ7+HISTOFEV24!BQ7+HISTOMARS24!BQ7+HISTOAVRIL24!BQ7+HISTOMAI24!BQ7+HISTOJUIN24!BQ7+HISTOJUIL24!BQ7+HISTOAOUT24!BQ7+HISTOSEPT24!BQ7+HISTOOCT24!BQ7+HISTONOV24!BQ7+HISTODEC244!BQ7</f>
        <v>0</v>
      </c>
    </row>
    <row r="8" spans="1:69" ht="18.5" x14ac:dyDescent="0.45">
      <c r="A8" s="1" t="s">
        <v>12</v>
      </c>
      <c r="B8" s="1">
        <v>125000</v>
      </c>
      <c r="C8" s="14"/>
      <c r="D8" s="9">
        <f>HISTOJANV24!D8+HISTOFEV24!D8+HISTOMARS24!D8+HISTOAVRIL24!D8+HISTOMAI24!D8+HISTOJUIN24!D8+HISTOJUIL24!D8+HISTOAOUT24!D8+HISTOSEPT24!D8+HISTOOCT24!D8+HISTONOV24!D8+HISTODEC244!D8</f>
        <v>1365000</v>
      </c>
      <c r="E8" s="9">
        <f>HISTOJANV24!E8+HISTOFEV24!E8+HISTOMARS24!E8+HISTOAVRIL24!E8+HISTOMAI24!E8+HISTOJUIN24!E8+HISTOJUIL24!E8+HISTOAOUT24!E8+HISTOSEPT24!E8+HISTOOCT24!E8+HISTONOV24!E8+HISTODEC244!E8</f>
        <v>663000</v>
      </c>
      <c r="F8" s="9">
        <f>HISTOJANV24!F8+HISTOFEV24!F8+HISTOMARS24!F8+HISTOAVRIL24!F8+HISTOMAI24!F8+HISTOJUIN24!F8+HISTOJUIL24!F8+HISTOAOUT24!F8+HISTOSEPT24!F8+HISTOOCT24!F8+HISTONOV24!F8+HISTODEC244!F8</f>
        <v>0</v>
      </c>
      <c r="G8" s="9">
        <f>HISTOJANV24!G8+HISTOFEV24!G8+HISTOMARS24!G8+HISTOAVRIL24!G8+HISTOMAI24!G8+HISTOJUIN24!G8+HISTOJUIL24!G8+HISTOAOUT24!G8+HISTOSEPT24!G8+HISTOOCT24!G8+HISTONOV24!G8+HISTODEC244!G8</f>
        <v>6000</v>
      </c>
      <c r="H8" s="10"/>
      <c r="I8" s="9">
        <f>HISTOJANV24!I8+HISTOFEV24!I8+HISTOMARS24!I8+HISTOAVRIL24!I8+HISTOMAI24!I8+HISTOJUIN24!I8+HISTOJUIL24!I8+HISTOAOUT24!I8+HISTOSEPT24!I8+HISTOOCT24!I8+HISTONOV24!I8+HISTODEC244!I8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HISTOJANV24!P8+HISTOFEV24!P8+HISTOMARS24!P8+HISTOAVRIL24!P8+HISTOMAI24!P8+HISTOJUIN24!P8+HISTOJUIL24!P8+HISTOAOUT24!P8+HISTOSEPT24!P8+HISTOOCT24!P8+HISTONOV24!P8+HISTODEC244!P8</f>
        <v>0</v>
      </c>
      <c r="Q8" s="9">
        <f>HISTOJANV24!Q8+HISTOFEV24!Q8+HISTOMARS24!Q8+HISTOAVRIL24!Q8+HISTOMAI24!Q8+HISTOJUIN24!Q8+HISTOJUIL24!Q8+HISTOAOUT24!Q8+HISTOSEPT24!Q8+HISTOOCT24!Q8+HISTONOV24!Q8+HISTODEC244!Q8</f>
        <v>0</v>
      </c>
      <c r="R8" s="9">
        <f>HISTOJANV24!R8+HISTOFEV24!R8+HISTOMARS24!R8+HISTOAVRIL24!R8+HISTOMAI24!R8+HISTOJUIN24!R8+HISTOJUIL24!R8+HISTOAOUT24!R8+HISTOSEPT24!R8+HISTOOCT24!R8+HISTONOV24!R8+HISTODEC244!R8</f>
        <v>0</v>
      </c>
      <c r="S8" s="9">
        <f>HISTOJANV24!S8+HISTOFEV24!S8+HISTOMARS24!S8+HISTOAVRIL24!S8+HISTOMAI24!S8+HISTOJUIN24!S8+HISTOJUIL24!S8+HISTOAOUT24!S8+HISTOSEPT24!S8+HISTOOCT24!S8+HISTONOV24!S8+HISTODEC244!S8</f>
        <v>500000</v>
      </c>
      <c r="T8" s="12"/>
      <c r="U8" s="17">
        <f t="shared" si="5"/>
        <v>628000</v>
      </c>
      <c r="V8" s="9">
        <f>HISTOJANV24!V8+HISTOFEV24!V8+HISTOMARS24!V8+HISTOAVRIL24!V8+HISTOMAI24!V8+HISTOJUIN24!V8+HISTOJUIL24!V8+HISTOAOUT24!V8+HISTOSEPT24!V8+HISTOOCT24!V8+HISTONOV24!V8+HISTODEC244!V8</f>
        <v>0</v>
      </c>
      <c r="W8" s="9">
        <f>HISTOJANV24!W8+HISTOFEV24!W8+HISTOMARS24!W8+HISTOAVRIL24!W8+HISTOMAI24!W8+HISTOJUIN24!W8+HISTOJUIL24!W8+HISTOAOUT24!W8+HISTOSEPT24!W8+HISTOOCT24!W8+HISTONOV24!W8+HISTODEC244!W8</f>
        <v>0</v>
      </c>
      <c r="X8" s="9">
        <f>HISTOJANV24!X8+HISTOFEV24!X8+HISTOMARS24!X8+HISTOAVRIL24!X8+HISTOMAI24!X8+HISTOJUIN24!X8+HISTOJUIL24!X8+HISTOAOUT24!X8+HISTOSEPT24!X8+HISTOOCT24!X8+HISTONOV24!X8+HISTODEC244!X8</f>
        <v>0</v>
      </c>
      <c r="Y8" s="9">
        <f>HISTOJANV24!Y8+HISTOFEV24!Y8+HISTOMARS24!Y8+HISTOAVRIL24!Y8+HISTOMAI24!Y8+HISTOJUIN24!Y8+HISTOJUIL24!Y8+HISTOAOUT24!Y8+HISTOSEPT24!Y8+HISTOOCT24!Y8+HISTONOV24!Y8+HISTODEC244!Y8</f>
        <v>0</v>
      </c>
      <c r="Z8" s="9">
        <f>HISTOJANV24!Z8+HISTOFEV24!Z8+HISTOMARS24!Z8+HISTOAVRIL24!Z8+HISTOMAI24!Z8+HISTOJUIN24!Z8+HISTOJUIL24!Z8+HISTOAOUT24!Z8+HISTOSEPT24!Z8+HISTOOCT24!Z8+HISTONOV24!Z8+HISTODEC244!Z8</f>
        <v>500000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HISTOJANV24!AC8+HISTOFEV24!AC8+HISTOMARS24!AC8+HISTOAVRIL24!AC8+HISTOMAI24!AC8+HISTOJUIN24!AC8+HISTOJUIL24!AC8+HISTOAOUT24!AC8+HISTOSEPT24!AC8+HISTOOCT24!AC8+HISTONOV24!AC8+HISTODEC244!AC8</f>
        <v>2500</v>
      </c>
      <c r="AD8" s="9">
        <f>HISTOJANV24!AD8+HISTOFEV24!AD8+HISTOMARS24!AD8+HISTOAVRIL24!AD8+HISTOMAI24!AD8+HISTOJUIN24!AD8+HISTOJUIL24!AD8+HISTOAOUT24!AD8+HISTOSEPT24!AD8+HISTOOCT24!AD8+HISTONOV24!AD8+HISTODEC244!AD8</f>
        <v>7500</v>
      </c>
      <c r="AE8" s="9">
        <f>HISTOJANV24!AE8+HISTOFEV24!AE8+HISTOMARS24!AE8+HISTOAVRIL24!AE8+HISTOMAI24!AE8+HISTOJUIN24!AE8+HISTOJUIL24!AE8+HISTOAOUT24!AE8+HISTOSEPT24!AE8+HISTOOCT24!AE8+HISTONOV24!AE8+HISTODEC244!AE8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HISTOJANV24!AH8+HISTOFEV24!AH8+HISTOMARS24!AH8+HISTOAVRIL24!AH8+HISTOMAI24!AH8+HISTOJUIN24!AH8+HISTOJUIL24!AH8+HISTOAOUT24!AH8+HISTOSEPT24!AH8+HISTOOCT24!AH8+HISTONOV24!AH8+HISTODEC244!AH8</f>
        <v>0</v>
      </c>
      <c r="AI8" s="9">
        <f>HISTOJANV24!AI8+HISTOFEV24!AI8+HISTOMARS24!AI8+HISTOAVRIL24!AI8+HISTOMAI24!AI8+HISTOJUIN24!AI8+HISTOJUIL24!AI8+HISTOAOUT24!AI8+HISTOSEPT24!AI8+HISTOOCT24!AI8+HISTONOV24!AI8+HISTODEC244!AI8</f>
        <v>0</v>
      </c>
      <c r="AJ8" s="9">
        <f>HISTOJANV24!AJ8+HISTOFEV24!AJ8+HISTOMARS24!AJ8+HISTOAVRIL24!AJ8+HISTOMAI24!AJ8+HISTOJUIN24!AJ8+HISTOJUIL24!AJ8+HISTOAOUT24!AJ8+HISTOSEPT24!AJ8+HISTOOCT24!AJ8+HISTONOV24!AJ8+HISTODEC244!AJ8</f>
        <v>0</v>
      </c>
      <c r="AK8" s="9">
        <f>HISTOJANV24!AK8+HISTOFEV24!AK8+HISTOMARS24!AK8+HISTOAVRIL24!AK8+HISTOMAI24!AK8+HISTOJUIN24!AK8+HISTOJUIL24!AK8+HISTOAOUT24!AK8+HISTOSEPT24!AK8+HISTOOCT24!AK8+HISTONOV24!AK8+HISTODEC244!AK8</f>
        <v>0</v>
      </c>
      <c r="AL8" s="9">
        <f>HISTOJANV24!AL8+HISTOFEV24!AL8+HISTOMARS24!AL8+HISTOAVRIL24!AL8+HISTOMAI24!AL8+HISTOJUIN24!AL8+HISTOJUIL24!AL8+HISTOAOUT24!AL8+HISTOSEPT24!AL8+HISTOOCT24!AL8+HISTONOV24!AL8+HISTODEC244!AL8</f>
        <v>0</v>
      </c>
      <c r="AM8" s="9">
        <f>HISTOJANV24!AM8+HISTOFEV24!AM8+HISTOMARS24!AM8+HISTOAVRIL24!AM8+HISTOMAI24!AM8+HISTOJUIN24!AM8+HISTOJUIL24!AM8+HISTOAOUT24!AM8+HISTOSEPT24!AM8+HISTOOCT24!AM8+HISTONOV24!AM8+HISTODEC244!AM8</f>
        <v>0</v>
      </c>
      <c r="AN8" s="9">
        <f>HISTOJANV24!AN8+HISTOFEV24!AN8+HISTOMARS24!AN8+HISTOAVRIL24!AN8+HISTOMAI24!AN8+HISTOJUIN24!AN8+HISTOJUIL24!AN8+HISTOAOUT24!AN8+HISTOSEPT24!AN8+HISTOOCT24!AN8+HISTONOV24!AN8+HISTODEC244!AN8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HISTOJANV24!AW8+HISTOFEV24!AW8+HISTOMARS24!AW8+HISTOAVRIL24!AW8+HISTOMAI24!AW8+HISTOJUIN24!AW8+HISTOJUIL24!AW8+HISTOAOUT24!AW8+HISTOSEPT24!AW8+HISTOOCT24!AW8+HISTONOV24!AW8+HISTODEC244!AW8</f>
        <v>297500</v>
      </c>
      <c r="AX8" s="9">
        <f>HISTOJANV24!AX8+HISTOFEV24!AX8+HISTOMARS24!AX8+HISTOAVRIL24!AX8+HISTOMAI24!AX8+HISTOJUIN24!AX8+HISTOJUIL24!AX8+HISTOAOUT24!AX8+HISTOSEPT24!AX8+HISTOOCT24!AX8+HISTONOV24!AX8+HISTODEC244!AX8</f>
        <v>892500</v>
      </c>
      <c r="AY8" s="9">
        <f>HISTOJANV24!AY8+HISTOFEV24!AY8+HISTOMARS24!AY8+HISTOAVRIL24!AY8+HISTOMAI24!AY8+HISTOJUIN24!AY8+HISTOJUIL24!AY8+HISTOAOUT24!AY8+HISTOSEPT24!AY8+HISTOOCT24!AY8+HISTONOV24!AY8+HISTODEC244!AY8</f>
        <v>0</v>
      </c>
      <c r="AZ8" s="9">
        <f>HISTOJANV24!AZ8+HISTOFEV24!AZ8+HISTOMARS24!AZ8+HISTOAVRIL24!AZ8+HISTOMAI24!AZ8+HISTOJUIN24!AZ8+HISTOJUIL24!AZ8+HISTOAOUT24!AZ8+HISTOSEPT24!AZ8+HISTOOCT24!AZ8+HISTONOV24!AZ8+HISTODEC244!AZ8</f>
        <v>1662750</v>
      </c>
      <c r="BA8" s="9">
        <f>HISTOJANV24!BA8+HISTOFEV24!BA8+HISTOMARS24!BA8+HISTOAVRIL24!BA8+HISTOMAI24!BA8+HISTOJUIN24!BA8+HISTOJUIL24!BA8+HISTOAOUT24!BA8+HISTOSEPT24!BA8+HISTOOCT24!BA8+HISTONOV24!BA8+HISTODEC244!BA8</f>
        <v>440000</v>
      </c>
      <c r="BB8" s="9">
        <f>HISTOJANV24!BB8+HISTOFEV24!BB8+HISTOMARS24!BB8+HISTOAVRIL24!BB8+HISTOMAI24!BB8+HISTOJUIN24!BB8+HISTOJUIL24!BB8+HISTOAOUT24!BB8+HISTOSEPT24!BB8+HISTOOCT24!BB8+HISTONOV24!BB8+HISTODEC244!BB8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HISTOJANV24!BD8+HISTOFEV24!BD8+HISTOMARS24!BD8+HISTOAVRIL24!BD8+HISTOMAI24!BD8+HISTOJUIN24!BD8+HISTOJUIL24!BD8+HISTOAOUT24!BD8+HISTOSEPT24!BD8+HISTOOCT24!BD8+HISTONOV24!BD8+HISTODEC244!BD8</f>
        <v>1222750</v>
      </c>
      <c r="BE8" s="82"/>
      <c r="BF8" s="9">
        <f>HISTOJANV24!BF8+HISTOFEV24!BF8+HISTOMARS24!BF8+HISTOAVRIL24!BF8+HISTOMAI24!BF8+HISTOJUIN24!BF8+HISTOJUIL24!BF8+HISTOAOUT24!BF8+HISTOSEPT24!BF8+HISTOOCT24!BF8+HISTONOV24!BF8+HISTODEC244!BF8</f>
        <v>60000</v>
      </c>
      <c r="BG8" s="29"/>
      <c r="BH8" s="15"/>
      <c r="BI8" s="15"/>
      <c r="BJ8" s="15"/>
      <c r="BK8" s="15"/>
      <c r="BL8" s="61"/>
      <c r="BO8" t="s">
        <v>117</v>
      </c>
      <c r="BP8" t="s">
        <v>114</v>
      </c>
      <c r="BQ8" s="9">
        <f>HISTOJANV24!BQ8+HISTOFEV24!BQ8+HISTOMARS24!BQ8+HISTOAVRIL24!BQ8+HISTOMAI24!BQ8+HISTOJUIN24!BQ8+HISTOJUIL24!BQ8+HISTOAOUT24!BQ8+HISTOSEPT24!BQ8+HISTOOCT24!BQ8+HISTONOV24!BQ8+HISTODEC244!BQ8</f>
        <v>101000</v>
      </c>
    </row>
    <row r="9" spans="1:69" ht="18.5" x14ac:dyDescent="0.45">
      <c r="A9" s="1" t="s">
        <v>13</v>
      </c>
      <c r="B9" s="1">
        <v>250000</v>
      </c>
      <c r="C9" s="5"/>
      <c r="D9" s="9">
        <f>HISTOJANV24!D9+HISTOFEV24!D9+HISTOMARS24!D9+HISTOAVRIL24!D9+HISTOMAI24!D9+HISTOJUIN24!D9+HISTOJUIL24!D9+HISTOAOUT24!D9+HISTOSEPT24!D9+HISTOOCT24!D9+HISTONOV24!D9+HISTODEC244!D9</f>
        <v>3664500</v>
      </c>
      <c r="E9" s="9">
        <f>HISTOJANV24!E9+HISTOFEV24!E9+HISTOMARS24!E9+HISTOAVRIL24!E9+HISTOMAI24!E9+HISTOJUIN24!E9+HISTOJUIL24!E9+HISTOAOUT24!E9+HISTOSEPT24!E9+HISTOOCT24!E9+HISTONOV24!E9+HISTODEC244!E9</f>
        <v>1600000</v>
      </c>
      <c r="F9" s="9">
        <f>HISTOJANV24!F9+HISTOFEV24!F9+HISTOMARS24!F9+HISTOAVRIL24!F9+HISTOMAI24!F9+HISTOJUIN24!F9+HISTOJUIL24!F9+HISTOAOUT24!F9+HISTOSEPT24!F9+HISTOOCT24!F9+HISTONOV24!F9+HISTODEC244!F9</f>
        <v>0</v>
      </c>
      <c r="G9" s="9">
        <f>HISTOJANV24!G9+HISTOFEV24!G9+HISTOMARS24!G9+HISTOAVRIL24!G9+HISTOMAI24!G9+HISTOJUIN24!G9+HISTOJUIL24!G9+HISTOAOUT24!G9+HISTOSEPT24!G9+HISTOOCT24!G9+HISTONOV24!G9+HISTODEC244!G9</f>
        <v>0</v>
      </c>
      <c r="H9" s="10"/>
      <c r="I9" s="9">
        <f>HISTOJANV24!I9+HISTOFEV24!I9+HISTOMARS24!I9+HISTOAVRIL24!I9+HISTOMAI24!I9+HISTOJUIN24!I9+HISTOJUIL24!I9+HISTOAOUT24!I9+HISTOSEPT24!I9+HISTOOCT24!I9+HISTONOV24!I9+HISTODEC244!I9</f>
        <v>-7500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HISTOJANV24!P9+HISTOFEV24!P9+HISTOMARS24!P9+HISTOAVRIL24!P9+HISTOMAI24!P9+HISTOJUIN24!P9+HISTOJUIL24!P9+HISTOAOUT24!P9+HISTOSEPT24!P9+HISTOOCT24!P9+HISTONOV24!P9+HISTODEC244!P9</f>
        <v>0</v>
      </c>
      <c r="Q9" s="9">
        <f>HISTOJANV24!Q9+HISTOFEV24!Q9+HISTOMARS24!Q9+HISTOAVRIL24!Q9+HISTOMAI24!Q9+HISTOJUIN24!Q9+HISTOJUIL24!Q9+HISTOAOUT24!Q9+HISTOSEPT24!Q9+HISTOOCT24!Q9+HISTONOV24!Q9+HISTODEC244!Q9</f>
        <v>0</v>
      </c>
      <c r="R9" s="9">
        <f>HISTOJANV24!R9+HISTOFEV24!R9+HISTOMARS24!R9+HISTOAVRIL24!R9+HISTOMAI24!R9+HISTOJUIN24!R9+HISTOJUIL24!R9+HISTOAOUT24!R9+HISTOSEPT24!R9+HISTOOCT24!R9+HISTONOV24!R9+HISTODEC244!R9</f>
        <v>764000</v>
      </c>
      <c r="S9" s="9">
        <f>HISTOJANV24!S9+HISTOFEV24!S9+HISTOMARS24!S9+HISTOAVRIL24!S9+HISTOMAI24!S9+HISTOJUIN24!S9+HISTOJUIL24!S9+HISTOAOUT24!S9+HISTOSEPT24!S9+HISTOOCT24!S9+HISTONOV24!S9+HISTODEC244!S9</f>
        <v>1000000</v>
      </c>
      <c r="T9" s="12"/>
      <c r="U9" s="17">
        <f t="shared" si="5"/>
        <v>2006500</v>
      </c>
      <c r="V9" s="9">
        <f>HISTOJANV24!V9+HISTOFEV24!V9+HISTOMARS24!V9+HISTOAVRIL24!V9+HISTOMAI24!V9+HISTOJUIN24!V9+HISTOJUIL24!V9+HISTOAOUT24!V9+HISTOSEPT24!V9+HISTOOCT24!V9+HISTONOV24!V9+HISTODEC244!V9</f>
        <v>0</v>
      </c>
      <c r="W9" s="9">
        <f>HISTOJANV24!W9+HISTOFEV24!W9+HISTOMARS24!W9+HISTOAVRIL24!W9+HISTOMAI24!W9+HISTOJUIN24!W9+HISTOJUIL24!W9+HISTOAOUT24!W9+HISTOSEPT24!W9+HISTOOCT24!W9+HISTONOV24!W9+HISTODEC244!W9</f>
        <v>0</v>
      </c>
      <c r="X9" s="9">
        <f>HISTOJANV24!X9+HISTOFEV24!X9+HISTOMARS24!X9+HISTOAVRIL24!X9+HISTOMAI24!X9+HISTOJUIN24!X9+HISTOJUIL24!X9+HISTOAOUT24!X9+HISTOSEPT24!X9+HISTOOCT24!X9+HISTONOV24!X9+HISTODEC244!X9</f>
        <v>0</v>
      </c>
      <c r="Y9" s="9">
        <f>HISTOJANV24!Y9+HISTOFEV24!Y9+HISTOMARS24!Y9+HISTOAVRIL24!Y9+HISTOMAI24!Y9+HISTOJUIN24!Y9+HISTOJUIL24!Y9+HISTOAOUT24!Y9+HISTOSEPT24!Y9+HISTOOCT24!Y9+HISTONOV24!Y9+HISTODEC244!Y9</f>
        <v>0</v>
      </c>
      <c r="Z9" s="9">
        <f>HISTOJANV24!Z9+HISTOFEV24!Z9+HISTOMARS24!Z9+HISTOAVRIL24!Z9+HISTOMAI24!Z9+HISTOJUIN24!Z9+HISTOJUIL24!Z9+HISTOAOUT24!Z9+HISTOSEPT24!Z9+HISTOOCT24!Z9+HISTONOV24!Z9+HISTODEC244!Z9</f>
        <v>1000000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HISTOJANV24!AC9+HISTOFEV24!AC9+HISTOMARS24!AC9+HISTOAVRIL24!AC9+HISTOMAI24!AC9+HISTOJUIN24!AC9+HISTOJUIL24!AC9+HISTOAOUT24!AC9+HISTOSEPT24!AC9+HISTOOCT24!AC9+HISTONOV24!AC9+HISTODEC244!AC9</f>
        <v>18000</v>
      </c>
      <c r="AD9" s="9">
        <f>HISTOJANV24!AD9+HISTOFEV24!AD9+HISTOMARS24!AD9+HISTOAVRIL24!AD9+HISTOMAI24!AD9+HISTOJUIN24!AD9+HISTOJUIL24!AD9+HISTOAOUT24!AD9+HISTOSEPT24!AD9+HISTOOCT24!AD9+HISTONOV24!AD9+HISTODEC244!AD9</f>
        <v>0</v>
      </c>
      <c r="AE9" s="9">
        <f>HISTOJANV24!AE9+HISTOFEV24!AE9+HISTOMARS24!AE9+HISTOAVRIL24!AE9+HISTOMAI24!AE9+HISTOJUIN24!AE9+HISTOJUIL24!AE9+HISTOAOUT24!AE9+HISTOSEPT24!AE9+HISTOOCT24!AE9+HISTONOV24!AE9+HISTODEC244!AE9</f>
        <v>125000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HISTOJANV24!AH9+HISTOFEV24!AH9+HISTOMARS24!AH9+HISTOAVRIL24!AH9+HISTOMAI24!AH9+HISTOJUIN24!AH9+HISTOJUIL24!AH9+HISTOAOUT24!AH9+HISTOSEPT24!AH9+HISTOOCT24!AH9+HISTONOV24!AH9+HISTODEC244!AH9</f>
        <v>0</v>
      </c>
      <c r="AI9" s="9">
        <f>HISTOJANV24!AI9+HISTOFEV24!AI9+HISTOMARS24!AI9+HISTOAVRIL24!AI9+HISTOMAI24!AI9+HISTOJUIN24!AI9+HISTOJUIL24!AI9+HISTOAOUT24!AI9+HISTOSEPT24!AI9+HISTOOCT24!AI9+HISTONOV24!AI9+HISTODEC244!AI9</f>
        <v>0</v>
      </c>
      <c r="AJ9" s="9">
        <f>HISTOJANV24!AJ9+HISTOFEV24!AJ9+HISTOMARS24!AJ9+HISTOAVRIL24!AJ9+HISTOMAI24!AJ9+HISTOJUIN24!AJ9+HISTOJUIL24!AJ9+HISTOAOUT24!AJ9+HISTOSEPT24!AJ9+HISTOOCT24!AJ9+HISTONOV24!AJ9+HISTODEC244!AJ9</f>
        <v>0</v>
      </c>
      <c r="AK9" s="9">
        <f>HISTOJANV24!AK9+HISTOFEV24!AK9+HISTOMARS24!AK9+HISTOAVRIL24!AK9+HISTOMAI24!AK9+HISTOJUIN24!AK9+HISTOJUIL24!AK9+HISTOAOUT24!AK9+HISTOSEPT24!AK9+HISTOOCT24!AK9+HISTONOV24!AK9+HISTODEC244!AK9</f>
        <v>755500</v>
      </c>
      <c r="AL9" s="9">
        <f>HISTOJANV24!AL9+HISTOFEV24!AL9+HISTOMARS24!AL9+HISTOAVRIL24!AL9+HISTOMAI24!AL9+HISTOJUIN24!AL9+HISTOJUIL24!AL9+HISTOAOUT24!AL9+HISTOSEPT24!AL9+HISTOOCT24!AL9+HISTONOV24!AL9+HISTODEC244!AL9</f>
        <v>0</v>
      </c>
      <c r="AM9" s="9">
        <f>HISTOJANV24!AM9+HISTOFEV24!AM9+HISTOMARS24!AM9+HISTOAVRIL24!AM9+HISTOMAI24!AM9+HISTOJUIN24!AM9+HISTOJUIL24!AM9+HISTOAOUT24!AM9+HISTOSEPT24!AM9+HISTOOCT24!AM9+HISTONOV24!AM9+HISTODEC244!AM9</f>
        <v>0</v>
      </c>
      <c r="AN9" s="9">
        <f>HISTOJANV24!AN9+HISTOFEV24!AN9+HISTOMARS24!AN9+HISTOAVRIL24!AN9+HISTOMAI24!AN9+HISTOJUIN24!AN9+HISTOJUIL24!AN9+HISTOAOUT24!AN9+HISTOSEPT24!AN9+HISTOOCT24!AN9+HISTONOV24!AN9+HISTODEC244!AN9</f>
        <v>8500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17500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HISTOJANV24!AW9+HISTOFEV24!AW9+HISTOMARS24!AW9+HISTOAVRIL24!AW9+HISTOMAI24!AW9+HISTOJUIN24!AW9+HISTOJUIL24!AW9+HISTOAOUT24!AW9+HISTOSEPT24!AW9+HISTOOCT24!AW9+HISTONOV24!AW9+HISTODEC244!AW9</f>
        <v>282000</v>
      </c>
      <c r="AX9" s="9">
        <f>HISTOJANV24!AX9+HISTOFEV24!AX9+HISTOMARS24!AX9+HISTOAVRIL24!AX9+HISTOMAI24!AX9+HISTOJUIN24!AX9+HISTOJUIL24!AX9+HISTOAOUT24!AX9+HISTOSEPT24!AX9+HISTOOCT24!AX9+HISTONOV24!AX9+HISTODEC244!AX9</f>
        <v>0</v>
      </c>
      <c r="AY9" s="9">
        <f>HISTOJANV24!AY9+HISTOFEV24!AY9+HISTOMARS24!AY9+HISTOAVRIL24!AY9+HISTOMAI24!AY9+HISTOJUIN24!AY9+HISTOJUIL24!AY9+HISTOAOUT24!AY9+HISTOSEPT24!AY9+HISTOOCT24!AY9+HISTONOV24!AY9+HISTODEC244!AY9</f>
        <v>3030500</v>
      </c>
      <c r="AZ9" s="9">
        <f>HISTOJANV24!AZ9+HISTOFEV24!AZ9+HISTOMARS24!AZ9+HISTOAVRIL24!AZ9+HISTOMAI24!AZ9+HISTOJUIN24!AZ9+HISTOJUIL24!AZ9+HISTOAOUT24!AZ9+HISTOSEPT24!AZ9+HISTOOCT24!AZ9+HISTONOV24!AZ9+HISTODEC244!AZ9</f>
        <v>4192500</v>
      </c>
      <c r="BA9" s="9">
        <f>HISTOJANV24!BA9+HISTOFEV24!BA9+HISTOMARS24!BA9+HISTOAVRIL24!BA9+HISTOMAI24!BA9+HISTOJUIN24!BA9+HISTOJUIL24!BA9+HISTOAOUT24!BA9+HISTOSEPT24!BA9+HISTOOCT24!BA9+HISTONOV24!BA9+HISTODEC244!BA9</f>
        <v>1912000</v>
      </c>
      <c r="BB9" s="9">
        <f>HISTOJANV24!BB9+HISTOFEV24!BB9+HISTOMARS24!BB9+HISTOAVRIL24!BB9+HISTOMAI24!BB9+HISTOJUIN24!BB9+HISTOJUIL24!BB9+HISTOAOUT24!BB9+HISTOSEPT24!BB9+HISTOOCT24!BB9+HISTONOV24!BB9+HISTODEC244!BB9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HISTOJANV24!BD9+HISTOFEV24!BD9+HISTOMARS24!BD9+HISTOAVRIL24!BD9+HISTOMAI24!BD9+HISTOJUIN24!BD9+HISTOJUIL24!BD9+HISTOAOUT24!BD9+HISTOSEPT24!BD9+HISTOOCT24!BD9+HISTONOV24!BD9+HISTODEC244!BD9</f>
        <v>2280500</v>
      </c>
      <c r="BE9" s="82"/>
      <c r="BF9" s="9">
        <f>HISTOJANV24!BF9+HISTOFEV24!BF9+HISTOMARS24!BF9+HISTOAVRIL24!BF9+HISTOMAI24!BF9+HISTOJUIN24!BF9+HISTOJUIL24!BF9+HISTOAOUT24!BF9+HISTOSEPT24!BF9+HISTOOCT24!BF9+HISTONOV24!BF9+HISTODEC244!BF9</f>
        <v>120000</v>
      </c>
      <c r="BG9" s="29"/>
      <c r="BH9" s="15"/>
      <c r="BI9" s="15"/>
      <c r="BJ9" s="15"/>
      <c r="BK9" s="15"/>
      <c r="BL9" s="61"/>
      <c r="BO9" t="s">
        <v>196</v>
      </c>
      <c r="BP9" t="s">
        <v>114</v>
      </c>
      <c r="BQ9" s="9">
        <f>HISTOJANV24!BQ9+HISTOFEV24!BQ9+HISTOMARS24!BQ9+HISTOAVRIL24!BQ9+HISTOMAI24!BQ9+HISTOJUIN24!BQ9+HISTOJUIL24!BQ9+HISTOAOUT24!BQ9+HISTOSEPT24!BQ9+HISTOOCT24!BQ9+HISTONOV24!BQ9+HISTODEC244!BQ9</f>
        <v>18500</v>
      </c>
    </row>
    <row r="10" spans="1:69" ht="18.5" x14ac:dyDescent="0.45">
      <c r="A10" s="1" t="s">
        <v>14</v>
      </c>
      <c r="B10" s="1">
        <v>50000</v>
      </c>
      <c r="C10" s="5"/>
      <c r="D10" s="9">
        <f>HISTOJANV24!D10+HISTOFEV24!D10+HISTOMARS24!D10+HISTOAVRIL24!D10+HISTOMAI24!D10+HISTOJUIN24!D10+HISTOJUIL24!D10+HISTOAOUT24!D10+HISTOSEPT24!D10+HISTOOCT24!D10+HISTONOV24!D10+HISTODEC244!D10</f>
        <v>1629000</v>
      </c>
      <c r="E10" s="9">
        <f>HISTOJANV24!E10+HISTOFEV24!E10+HISTOMARS24!E10+HISTOAVRIL24!E10+HISTOMAI24!E10+HISTOJUIN24!E10+HISTOJUIL24!E10+HISTOAOUT24!E10+HISTOSEPT24!E10+HISTOOCT24!E10+HISTONOV24!E10+HISTODEC244!E10</f>
        <v>1830000</v>
      </c>
      <c r="F10" s="9">
        <f>HISTOJANV24!F10+HISTOFEV24!F10+HISTOMARS24!F10+HISTOAVRIL24!F10+HISTOMAI24!F10+HISTOJUIN24!F10+HISTOJUIL24!F10+HISTOAOUT24!F10+HISTOSEPT24!F10+HISTOOCT24!F10+HISTONOV24!F10+HISTODEC244!F10</f>
        <v>0</v>
      </c>
      <c r="G10" s="9">
        <f>HISTOJANV24!G10+HISTOFEV24!G10+HISTOMARS24!G10+HISTOAVRIL24!G10+HISTOMAI24!G10+HISTOJUIN24!G10+HISTOJUIL24!G10+HISTOAOUT24!G10+HISTOSEPT24!G10+HISTOOCT24!G10+HISTONOV24!G10+HISTODEC244!G10</f>
        <v>9000</v>
      </c>
      <c r="H10" s="10"/>
      <c r="I10" s="9">
        <f>HISTOJANV24!I10+HISTOFEV24!I10+HISTOMARS24!I10+HISTOAVRIL24!I10+HISTOMAI24!I10+HISTOJUIN24!I10+HISTOJUIL24!I10+HISTOAOUT24!I10+HISTOSEPT24!I10+HISTOOCT24!I10+HISTONOV24!I10+HISTODEC244!I10</f>
        <v>-6500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HISTOJANV24!P10+HISTOFEV24!P10+HISTOMARS24!P10+HISTOAVRIL24!P10+HISTOMAI24!P10+HISTOJUIN24!P10+HISTOJUIL24!P10+HISTOAOUT24!P10+HISTOSEPT24!P10+HISTOOCT24!P10+HISTONOV24!P10+HISTODEC244!P10</f>
        <v>376500</v>
      </c>
      <c r="Q10" s="9">
        <f>HISTOJANV24!Q10+HISTOFEV24!Q10+HISTOMARS24!Q10+HISTOAVRIL24!Q10+HISTOMAI24!Q10+HISTOJUIN24!Q10+HISTOJUIL24!Q10+HISTOAOUT24!Q10+HISTOSEPT24!Q10+HISTOOCT24!Q10+HISTONOV24!Q10+HISTODEC244!Q10</f>
        <v>591000</v>
      </c>
      <c r="R10" s="9">
        <f>HISTOJANV24!R10+HISTOFEV24!R10+HISTOMARS24!R10+HISTOAVRIL24!R10+HISTOMAI24!R10+HISTOJUIN24!R10+HISTOJUIL24!R10+HISTOAOUT24!R10+HISTOSEPT24!R10+HISTOOCT24!R10+HISTONOV24!R10+HISTODEC244!R10</f>
        <v>0</v>
      </c>
      <c r="S10" s="9">
        <f>HISTOJANV24!S10+HISTOFEV24!S10+HISTOMARS24!S10+HISTOAVRIL24!S10+HISTOMAI24!S10+HISTOJUIN24!S10+HISTOJUIL24!S10+HISTOAOUT24!S10+HISTOSEPT24!S10+HISTOOCT24!S10+HISTONOV24!S10+HISTODEC244!S10</f>
        <v>1000000</v>
      </c>
      <c r="T10" s="12"/>
      <c r="U10" s="17">
        <f t="shared" si="5"/>
        <v>2095000</v>
      </c>
      <c r="V10" s="9">
        <f>HISTOJANV24!V10+HISTOFEV24!V10+HISTOMARS24!V10+HISTOAVRIL24!V10+HISTOMAI24!V10+HISTOJUIN24!V10+HISTOJUIL24!V10+HISTOAOUT24!V10+HISTOSEPT24!V10+HISTOOCT24!V10+HISTONOV24!V10+HISTODEC244!V10</f>
        <v>0</v>
      </c>
      <c r="W10" s="9">
        <f>HISTOJANV24!W10+HISTOFEV24!W10+HISTOMARS24!W10+HISTOAVRIL24!W10+HISTOMAI24!W10+HISTOJUIN24!W10+HISTOJUIL24!W10+HISTOAOUT24!W10+HISTOSEPT24!W10+HISTOOCT24!W10+HISTONOV24!W10+HISTODEC244!W10</f>
        <v>0</v>
      </c>
      <c r="X10" s="9">
        <f>HISTOJANV24!X10+HISTOFEV24!X10+HISTOMARS24!X10+HISTOAVRIL24!X10+HISTOMAI24!X10+HISTOJUIN24!X10+HISTOJUIL24!X10+HISTOAOUT24!X10+HISTOSEPT24!X10+HISTOOCT24!X10+HISTONOV24!X10+HISTODEC244!X10</f>
        <v>0</v>
      </c>
      <c r="Y10" s="9">
        <f>HISTOJANV24!Y10+HISTOFEV24!Y10+HISTOMARS24!Y10+HISTOAVRIL24!Y10+HISTOMAI24!Y10+HISTOJUIN24!Y10+HISTOJUIL24!Y10+HISTOAOUT24!Y10+HISTOSEPT24!Y10+HISTOOCT24!Y10+HISTONOV24!Y10+HISTODEC244!Y10</f>
        <v>0</v>
      </c>
      <c r="Z10" s="9">
        <f>HISTOJANV24!Z10+HISTOFEV24!Z10+HISTOMARS24!Z10+HISTOAVRIL24!Z10+HISTOMAI24!Z10+HISTOJUIN24!Z10+HISTOJUIL24!Z10+HISTOAOUT24!Z10+HISTOSEPT24!Z10+HISTOOCT24!Z10+HISTONOV24!Z10+HISTODEC244!Z10</f>
        <v>1000000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HISTOJANV24!AC10+HISTOFEV24!AC10+HISTOMARS24!AC10+HISTOAVRIL24!AC10+HISTOMAI24!AC10+HISTOJUIN24!AC10+HISTOJUIL24!AC10+HISTOAOUT24!AC10+HISTOSEPT24!AC10+HISTOOCT24!AC10+HISTONOV24!AC10+HISTODEC244!AC10</f>
        <v>2500</v>
      </c>
      <c r="AD10" s="9">
        <f>HISTOJANV24!AD10+HISTOFEV24!AD10+HISTOMARS24!AD10+HISTOAVRIL24!AD10+HISTOMAI24!AD10+HISTOJUIN24!AD10+HISTOJUIL24!AD10+HISTOAOUT24!AD10+HISTOSEPT24!AD10+HISTOOCT24!AD10+HISTONOV24!AD10+HISTODEC244!AD10</f>
        <v>28000</v>
      </c>
      <c r="AE10" s="9">
        <f>HISTOJANV24!AE10+HISTOFEV24!AE10+HISTOMARS24!AE10+HISTOAVRIL24!AE10+HISTOMAI24!AE10+HISTOJUIN24!AE10+HISTOJUIL24!AE10+HISTOAOUT24!AE10+HISTOSEPT24!AE10+HISTOOCT24!AE10+HISTONOV24!AE10+HISTODEC244!AE10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HISTOJANV24!AH10+HISTOFEV24!AH10+HISTOMARS24!AH10+HISTOAVRIL24!AH10+HISTOMAI24!AH10+HISTOJUIN24!AH10+HISTOJUIL24!AH10+HISTOAOUT24!AH10+HISTOSEPT24!AH10+HISTOOCT24!AH10+HISTONOV24!AH10+HISTODEC244!AH10</f>
        <v>0</v>
      </c>
      <c r="AI10" s="9">
        <f>HISTOJANV24!AI10+HISTOFEV24!AI10+HISTOMARS24!AI10+HISTOAVRIL24!AI10+HISTOMAI24!AI10+HISTOJUIN24!AI10+HISTOJUIL24!AI10+HISTOAOUT24!AI10+HISTOSEPT24!AI10+HISTOOCT24!AI10+HISTONOV24!AI10+HISTODEC244!AI10</f>
        <v>369500</v>
      </c>
      <c r="AJ10" s="9">
        <f>HISTOJANV24!AJ10+HISTOFEV24!AJ10+HISTOMARS24!AJ10+HISTOAVRIL24!AJ10+HISTOMAI24!AJ10+HISTOJUIN24!AJ10+HISTOJUIL24!AJ10+HISTOAOUT24!AJ10+HISTOSEPT24!AJ10+HISTOOCT24!AJ10+HISTONOV24!AJ10+HISTODEC244!AJ10</f>
        <v>581500</v>
      </c>
      <c r="AK10" s="9">
        <f>HISTOJANV24!AK10+HISTOFEV24!AK10+HISTOMARS24!AK10+HISTOAVRIL24!AK10+HISTOMAI24!AK10+HISTOJUIN24!AK10+HISTOJUIL24!AK10+HISTOAOUT24!AK10+HISTOSEPT24!AK10+HISTOOCT24!AK10+HISTONOV24!AK10+HISTODEC244!AK10</f>
        <v>0</v>
      </c>
      <c r="AL10" s="9">
        <f>HISTOJANV24!AL10+HISTOFEV24!AL10+HISTOMARS24!AL10+HISTOAVRIL24!AL10+HISTOMAI24!AL10+HISTOJUIN24!AL10+HISTOJUIL24!AL10+HISTOAOUT24!AL10+HISTOSEPT24!AL10+HISTOOCT24!AL10+HISTONOV24!AL10+HISTODEC244!AL10</f>
        <v>7000</v>
      </c>
      <c r="AM10" s="9">
        <f>HISTOJANV24!AM10+HISTOFEV24!AM10+HISTOMARS24!AM10+HISTOAVRIL24!AM10+HISTOMAI24!AM10+HISTOJUIN24!AM10+HISTOJUIL24!AM10+HISTOAOUT24!AM10+HISTOSEPT24!AM10+HISTOOCT24!AM10+HISTONOV24!AM10+HISTODEC244!AM10</f>
        <v>9500</v>
      </c>
      <c r="AN10" s="9">
        <f>HISTOJANV24!AN10+HISTOFEV24!AN10+HISTOMARS24!AN10+HISTOAVRIL24!AN10+HISTOMAI24!AN10+HISTOJUIN24!AN10+HISTOJUIL24!AN10+HISTOAOUT24!AN10+HISTOSEPT24!AN10+HISTOOCT24!AN10+HISTONOV24!AN10+HISTODEC244!AN10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18500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HISTOJANV24!AW10+HISTOFEV24!AW10+HISTOMARS24!AW10+HISTOAVRIL24!AW10+HISTOMAI24!AW10+HISTOJUIN24!AW10+HISTOJUIL24!AW10+HISTOAOUT24!AW10+HISTOSEPT24!AW10+HISTOOCT24!AW10+HISTONOV24!AW10+HISTODEC244!AW10</f>
        <v>667000</v>
      </c>
      <c r="AX10" s="9">
        <f>HISTOJANV24!AX10+HISTOFEV24!AX10+HISTOMARS24!AX10+HISTOAVRIL24!AX10+HISTOMAI24!AX10+HISTOJUIN24!AX10+HISTOJUIL24!AX10+HISTOAOUT24!AX10+HISTOSEPT24!AX10+HISTOOCT24!AX10+HISTONOV24!AX10+HISTODEC244!AX10</f>
        <v>1453500</v>
      </c>
      <c r="AY10" s="9">
        <f>HISTOJANV24!AY10+HISTOFEV24!AY10+HISTOMARS24!AY10+HISTOAVRIL24!AY10+HISTOMAI24!AY10+HISTOJUIN24!AY10+HISTOJUIL24!AY10+HISTOAOUT24!AY10+HISTOSEPT24!AY10+HISTOOCT24!AY10+HISTONOV24!AY10+HISTODEC244!AY10</f>
        <v>0</v>
      </c>
      <c r="AZ10" s="9">
        <f>HISTOJANV24!AZ10+HISTOFEV24!AZ10+HISTOMARS24!AZ10+HISTOAVRIL24!AZ10+HISTOMAI24!AZ10+HISTOJUIN24!AZ10+HISTOJUIL24!AZ10+HISTOAOUT24!AZ10+HISTOSEPT24!AZ10+HISTOOCT24!AZ10+HISTONOV24!AZ10+HISTODEC244!AZ10</f>
        <v>3000500</v>
      </c>
      <c r="BA10" s="9">
        <f>HISTOJANV24!BA10+HISTOFEV24!BA10+HISTOMARS24!BA10+HISTOAVRIL24!BA10+HISTOMAI24!BA10+HISTOJUIN24!BA10+HISTOJUIL24!BA10+HISTOAOUT24!BA10+HISTOSEPT24!BA10+HISTOOCT24!BA10+HISTONOV24!BA10+HISTODEC244!BA10</f>
        <v>439500</v>
      </c>
      <c r="BB10" s="9">
        <f>HISTOJANV24!BB10+HISTOFEV24!BB10+HISTOMARS24!BB10+HISTOAVRIL24!BB10+HISTOMAI24!BB10+HISTOJUIN24!BB10+HISTOJUIL24!BB10+HISTOAOUT24!BB10+HISTOSEPT24!BB10+HISTOOCT24!BB10+HISTONOV24!BB10+HISTODEC244!BB10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HISTOJANV24!BD10+HISTOFEV24!BD10+HISTOMARS24!BD10+HISTOAVRIL24!BD10+HISTOMAI24!BD10+HISTOJUIN24!BD10+HISTOJUIL24!BD10+HISTOAOUT24!BD10+HISTOSEPT24!BD10+HISTOOCT24!BD10+HISTONOV24!BD10+HISTODEC244!BD10</f>
        <v>2561000</v>
      </c>
      <c r="BE10" s="82"/>
      <c r="BF10" s="9">
        <f>HISTOJANV24!BF10+HISTOFEV24!BF10+HISTOMARS24!BF10+HISTOAVRIL24!BF10+HISTOMAI24!BF10+HISTOJUIN24!BF10+HISTOJUIL24!BF10+HISTOAOUT24!BF10+HISTOSEPT24!BF10+HISTOOCT24!BF10+HISTONOV24!BF10+HISTODEC244!BF10</f>
        <v>120000</v>
      </c>
      <c r="BG10" s="29"/>
      <c r="BH10" s="15"/>
      <c r="BI10" s="15"/>
      <c r="BJ10" s="15"/>
      <c r="BK10" s="15"/>
      <c r="BL10" s="61"/>
      <c r="BO10" t="s">
        <v>118</v>
      </c>
      <c r="BP10" t="s">
        <v>114</v>
      </c>
      <c r="BQ10" s="9">
        <f>HISTOJANV24!BQ10+HISTOFEV24!BQ10+HISTOMARS24!BQ10+HISTOAVRIL24!BQ10+HISTOMAI24!BQ10+HISTOJUIN24!BQ10+HISTOJUIL24!BQ10+HISTOAOUT24!BQ10+HISTOSEPT24!BQ10+HISTOOCT24!BQ10+HISTONOV24!BQ10+HISTODEC244!BQ10</f>
        <v>0</v>
      </c>
    </row>
    <row r="11" spans="1:69" ht="18.5" x14ac:dyDescent="0.45">
      <c r="A11" s="1" t="s">
        <v>15</v>
      </c>
      <c r="B11" s="1">
        <v>125000</v>
      </c>
      <c r="C11" s="5"/>
      <c r="D11" s="9">
        <f>HISTOJANV24!D11+HISTOFEV24!D11+HISTOMARS24!D11+HISTOAVRIL24!D11+HISTOMAI24!D11+HISTOJUIN24!D11+HISTOJUIL24!D11+HISTOAOUT24!D11+HISTOSEPT24!D11+HISTOOCT24!D11+HISTONOV24!D11+HISTODEC244!D11</f>
        <v>2536500</v>
      </c>
      <c r="E11" s="9">
        <f>HISTOJANV24!E11+HISTOFEV24!E11+HISTOMARS24!E11+HISTOAVRIL24!E11+HISTOMAI24!E11+HISTOJUIN24!E11+HISTOJUIL24!E11+HISTOAOUT24!E11+HISTOSEPT24!E11+HISTOOCT24!E11+HISTONOV24!E11+HISTODEC244!E11</f>
        <v>228000</v>
      </c>
      <c r="F11" s="9">
        <f>HISTOJANV24!F11+HISTOFEV24!F11+HISTOMARS24!F11+HISTOAVRIL24!F11+HISTOMAI24!F11+HISTOJUIN24!F11+HISTOJUIL24!F11+HISTOAOUT24!F11+HISTOSEPT24!F11+HISTOOCT24!F11+HISTONOV24!F11+HISTODEC244!F11</f>
        <v>1000000</v>
      </c>
      <c r="G11" s="9">
        <f>HISTOJANV24!G11+HISTOFEV24!G11+HISTOMARS24!G11+HISTOAVRIL24!G11+HISTOMAI24!G11+HISTOJUIN24!G11+HISTOJUIL24!G11+HISTOAOUT24!G11+HISTOSEPT24!G11+HISTOOCT24!G11+HISTONOV24!G11+HISTODEC244!G11</f>
        <v>3000</v>
      </c>
      <c r="H11" s="10"/>
      <c r="I11" s="9">
        <f>HISTOJANV24!I11+HISTOFEV24!I11+HISTOMARS24!I11+HISTOAVRIL24!I11+HISTOMAI24!I11+HISTOJUIN24!I11+HISTOJUIL24!I11+HISTOAOUT24!I11+HISTOSEPT24!I11+HISTOOCT24!I11+HISTONOV24!I11+HISTODEC244!I11</f>
        <v>23000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HISTOJANV24!P11+HISTOFEV24!P11+HISTOMARS24!P11+HISTOAVRIL24!P11+HISTOMAI24!P11+HISTOJUIN24!P11+HISTOJUIL24!P11+HISTOAOUT24!P11+HISTOSEPT24!P11+HISTOOCT24!P11+HISTONOV24!P11+HISTODEC244!P11</f>
        <v>114500</v>
      </c>
      <c r="Q11" s="9">
        <f>HISTOJANV24!Q11+HISTOFEV24!Q11+HISTOMARS24!Q11+HISTOAVRIL24!Q11+HISTOMAI24!Q11+HISTOJUIN24!Q11+HISTOJUIL24!Q11+HISTOAOUT24!Q11+HISTOSEPT24!Q11+HISTOOCT24!Q11+HISTONOV24!Q11+HISTODEC244!Q11</f>
        <v>1146000</v>
      </c>
      <c r="R11" s="9">
        <f>HISTOJANV24!R11+HISTOFEV24!R11+HISTOMARS24!R11+HISTOAVRIL24!R11+HISTOMAI24!R11+HISTOJUIN24!R11+HISTOJUIL24!R11+HISTOAOUT24!R11+HISTOSEPT24!R11+HISTOOCT24!R11+HISTONOV24!R11+HISTODEC244!R11</f>
        <v>0</v>
      </c>
      <c r="S11" s="9">
        <f>HISTOJANV24!S11+HISTOFEV24!S11+HISTOMARS24!S11+HISTOAVRIL24!S11+HISTOMAI24!S11+HISTOJUIN24!S11+HISTOJUIL24!S11+HISTOAOUT24!S11+HISTOSEPT24!S11+HISTOOCT24!S11+HISTONOV24!S11+HISTODEC244!S11</f>
        <v>1000000</v>
      </c>
      <c r="T11" s="12"/>
      <c r="U11" s="17">
        <f t="shared" si="5"/>
        <v>2411500</v>
      </c>
      <c r="V11" s="9">
        <f>HISTOJANV24!V11+HISTOFEV24!V11+HISTOMARS24!V11+HISTOAVRIL24!V11+HISTOMAI24!V11+HISTOJUIN24!V11+HISTOJUIL24!V11+HISTOAOUT24!V11+HISTOSEPT24!V11+HISTOOCT24!V11+HISTONOV24!V11+HISTODEC244!V11</f>
        <v>0</v>
      </c>
      <c r="W11" s="9">
        <f>HISTOJANV24!W11+HISTOFEV24!W11+HISTOMARS24!W11+HISTOAVRIL24!W11+HISTOMAI24!W11+HISTOJUIN24!W11+HISTOJUIL24!W11+HISTOAOUT24!W11+HISTOSEPT24!W11+HISTOOCT24!W11+HISTONOV24!W11+HISTODEC244!W11</f>
        <v>0</v>
      </c>
      <c r="X11" s="9">
        <f>HISTOJANV24!X11+HISTOFEV24!X11+HISTOMARS24!X11+HISTOAVRIL24!X11+HISTOMAI24!X11+HISTOJUIN24!X11+HISTOJUIL24!X11+HISTOAOUT24!X11+HISTOSEPT24!X11+HISTOOCT24!X11+HISTONOV24!X11+HISTODEC244!X11</f>
        <v>0</v>
      </c>
      <c r="Y11" s="9">
        <f>HISTOJANV24!Y11+HISTOFEV24!Y11+HISTOMARS24!Y11+HISTOAVRIL24!Y11+HISTOMAI24!Y11+HISTOJUIN24!Y11+HISTOJUIL24!Y11+HISTOAOUT24!Y11+HISTOSEPT24!Y11+HISTOOCT24!Y11+HISTONOV24!Y11+HISTODEC244!Y11</f>
        <v>0</v>
      </c>
      <c r="Z11" s="9">
        <f>HISTOJANV24!Z11+HISTOFEV24!Z11+HISTOMARS24!Z11+HISTOAVRIL24!Z11+HISTOMAI24!Z11+HISTOJUIN24!Z11+HISTOJUIL24!Z11+HISTOAOUT24!Z11+HISTOSEPT24!Z11+HISTOOCT24!Z11+HISTONOV24!Z11+HISTODEC244!Z11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HISTOJANV24!AC11+HISTOFEV24!AC11+HISTOMARS24!AC11+HISTOAVRIL24!AC11+HISTOMAI24!AC11+HISTOJUIN24!AC11+HISTOJUIL24!AC11+HISTOAOUT24!AC11+HISTOSEPT24!AC11+HISTOOCT24!AC11+HISTONOV24!AC11+HISTODEC244!AC11</f>
        <v>16000</v>
      </c>
      <c r="AD11" s="9">
        <f>HISTOJANV24!AD11+HISTOFEV24!AD11+HISTOMARS24!AD11+HISTOAVRIL24!AD11+HISTOMAI24!AD11+HISTOJUIN24!AD11+HISTOJUIL24!AD11+HISTOAOUT24!AD11+HISTOSEPT24!AD11+HISTOOCT24!AD11+HISTONOV24!AD11+HISTODEC244!AD11</f>
        <v>16000</v>
      </c>
      <c r="AE11" s="9">
        <f>HISTOJANV24!AE11+HISTOFEV24!AE11+HISTOMARS24!AE11+HISTOAVRIL24!AE11+HISTOMAI24!AE11+HISTOJUIN24!AE11+HISTOJUIL24!AE11+HISTOAOUT24!AE11+HISTOSEPT24!AE11+HISTOOCT24!AE11+HISTONOV24!AE11+HISTODEC244!AE11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HISTOJANV24!AH11+HISTOFEV24!AH11+HISTOMARS24!AH11+HISTOAVRIL24!AH11+HISTOMAI24!AH11+HISTOJUIN24!AH11+HISTOJUIL24!AH11+HISTOAOUT24!AH11+HISTOSEPT24!AH11+HISTOOCT24!AH11+HISTONOV24!AH11+HISTODEC244!AH11</f>
        <v>0</v>
      </c>
      <c r="AI11" s="9">
        <f>HISTOJANV24!AI11+HISTOFEV24!AI11+HISTOMARS24!AI11+HISTOAVRIL24!AI11+HISTOMAI24!AI11+HISTOJUIN24!AI11+HISTOJUIL24!AI11+HISTOAOUT24!AI11+HISTOSEPT24!AI11+HISTOOCT24!AI11+HISTONOV24!AI11+HISTODEC244!AI11</f>
        <v>111000</v>
      </c>
      <c r="AJ11" s="9">
        <f>HISTOJANV24!AJ11+HISTOFEV24!AJ11+HISTOMARS24!AJ11+HISTOAVRIL24!AJ11+HISTOMAI24!AJ11+HISTOJUIN24!AJ11+HISTOJUIL24!AJ11+HISTOAOUT24!AJ11+HISTOSEPT24!AJ11+HISTOOCT24!AJ11+HISTONOV24!AJ11+HISTODEC244!AJ11</f>
        <v>1128000</v>
      </c>
      <c r="AK11" s="9">
        <f>HISTOJANV24!AK11+HISTOFEV24!AK11+HISTOMARS24!AK11+HISTOAVRIL24!AK11+HISTOMAI24!AK11+HISTOJUIN24!AK11+HISTOJUIL24!AK11+HISTOAOUT24!AK11+HISTOSEPT24!AK11+HISTOOCT24!AK11+HISTONOV24!AK11+HISTODEC244!AK11</f>
        <v>0</v>
      </c>
      <c r="AL11" s="9">
        <f>HISTOJANV24!AL11+HISTOFEV24!AL11+HISTOMARS24!AL11+HISTOAVRIL24!AL11+HISTOMAI24!AL11+HISTOJUIN24!AL11+HISTOJUIL24!AL11+HISTOAOUT24!AL11+HISTOSEPT24!AL11+HISTOOCT24!AL11+HISTONOV24!AL11+HISTODEC244!AL11</f>
        <v>3500</v>
      </c>
      <c r="AM11" s="9">
        <f>HISTOJANV24!AM11+HISTOFEV24!AM11+HISTOMARS24!AM11+HISTOAVRIL24!AM11+HISTOMAI24!AM11+HISTOJUIN24!AM11+HISTOJUIL24!AM11+HISTOAOUT24!AM11+HISTOSEPT24!AM11+HISTOOCT24!AM11+HISTONOV24!AM11+HISTODEC244!AM11</f>
        <v>18000</v>
      </c>
      <c r="AN11" s="9">
        <f>HISTOJANV24!AN11+HISTOFEV24!AN11+HISTOMARS24!AN11+HISTOAVRIL24!AN11+HISTOMAI24!AN11+HISTOJUIN24!AN11+HISTOJUIL24!AN11+HISTOAOUT24!AN11+HISTOSEPT24!AN11+HISTOOCT24!AN11+HISTONOV24!AN11+HISTODEC244!AN11</f>
        <v>2000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48000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HISTOJANV24!AW11+HISTOFEV24!AW11+HISTOMARS24!AW11+HISTOAVRIL24!AW11+HISTOMAI24!AW11+HISTOJUIN24!AW11+HISTOJUIL24!AW11+HISTOAOUT24!AW11+HISTOSEPT24!AW11+HISTOOCT24!AW11+HISTONOV24!AW11+HISTODEC244!AW11</f>
        <v>395000</v>
      </c>
      <c r="AX11" s="9">
        <f>HISTOJANV24!AX11+HISTOFEV24!AX11+HISTOMARS24!AX11+HISTOAVRIL24!AX11+HISTOMAI24!AX11+HISTOJUIN24!AX11+HISTOJUIL24!AX11+HISTOAOUT24!AX11+HISTOSEPT24!AX11+HISTOOCT24!AX11+HISTONOV24!AX11+HISTODEC244!AX11</f>
        <v>2012000</v>
      </c>
      <c r="AY11" s="9">
        <f>HISTOJANV24!AY11+HISTOFEV24!AY11+HISTOMARS24!AY11+HISTOAVRIL24!AY11+HISTOMAI24!AY11+HISTOJUIN24!AY11+HISTOJUIL24!AY11+HISTOAOUT24!AY11+HISTOSEPT24!AY11+HISTOOCT24!AY11+HISTONOV24!AY11+HISTODEC244!AY11</f>
        <v>0</v>
      </c>
      <c r="AZ11" s="9">
        <f>HISTOJANV24!AZ11+HISTOFEV24!AZ11+HISTOMARS24!AZ11+HISTOAVRIL24!AZ11+HISTOMAI24!AZ11+HISTOJUIN24!AZ11+HISTOJUIL24!AZ11+HISTOAOUT24!AZ11+HISTOSEPT24!AZ11+HISTOOCT24!AZ11+HISTONOV24!AZ11+HISTODEC244!AZ11</f>
        <v>2346000</v>
      </c>
      <c r="BA11" s="9">
        <f>HISTOJANV24!BA11+HISTOFEV24!BA11+HISTOMARS24!BA11+HISTOAVRIL24!BA11+HISTOMAI24!BA11+HISTOJUIN24!BA11+HISTOJUIL24!BA11+HISTOAOUT24!BA11+HISTOSEPT24!BA11+HISTOOCT24!BA11+HISTONOV24!BA11+HISTODEC244!BA11</f>
        <v>904500</v>
      </c>
      <c r="BB11" s="9">
        <f>HISTOJANV24!BB11+HISTOFEV24!BB11+HISTOMARS24!BB11+HISTOAVRIL24!BB11+HISTOMAI24!BB11+HISTOJUIN24!BB11+HISTOJUIL24!BB11+HISTOAOUT24!BB11+HISTOSEPT24!BB11+HISTOOCT24!BB11+HISTONOV24!BB11+HISTODEC244!BB11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HISTOJANV24!BD11+HISTOFEV24!BD11+HISTOMARS24!BD11+HISTOAVRIL24!BD11+HISTOMAI24!BD11+HISTOJUIN24!BD11+HISTOJUIL24!BD11+HISTOAOUT24!BD11+HISTOSEPT24!BD11+HISTOOCT24!BD11+HISTONOV24!BD11+HISTODEC244!BD11</f>
        <v>1027000</v>
      </c>
      <c r="BE11" s="82"/>
      <c r="BF11" s="9">
        <f>HISTOJANV24!BF11+HISTOFEV24!BF11+HISTOMARS24!BF11+HISTOAVRIL24!BF11+HISTOMAI24!BF11+HISTOJUIN24!BF11+HISTOJUIL24!BF11+HISTOAOUT24!BF11+HISTOSEPT24!BF11+HISTOOCT24!BF11+HISTONOV24!BF11+HISTODEC244!BF11</f>
        <v>40000</v>
      </c>
      <c r="BG11" s="29"/>
      <c r="BH11" s="15"/>
      <c r="BI11" s="15"/>
      <c r="BJ11" s="15"/>
      <c r="BK11" s="15"/>
      <c r="BL11" s="61"/>
      <c r="BO11" t="s">
        <v>119</v>
      </c>
      <c r="BP11" t="s">
        <v>114</v>
      </c>
      <c r="BQ11" s="9">
        <f>HISTOJANV24!BQ11+HISTOFEV24!BQ11+HISTOMARS24!BQ11+HISTOAVRIL24!BQ11+HISTOMAI24!BQ11+HISTOJUIN24!BQ11+HISTOJUIL24!BQ11+HISTOAOUT24!BQ11+HISTOSEPT24!BQ11+HISTOOCT24!BQ11+HISTONOV24!BQ11+HISTODEC244!BQ11</f>
        <v>30000</v>
      </c>
    </row>
    <row r="12" spans="1:69" ht="18.5" x14ac:dyDescent="0.45">
      <c r="A12" s="1" t="s">
        <v>16</v>
      </c>
      <c r="B12" s="1">
        <v>250000</v>
      </c>
      <c r="C12" s="5"/>
      <c r="D12" s="9">
        <f>HISTOJANV24!D12+HISTOFEV24!D12+HISTOMARS24!D12+HISTOAVRIL24!D12+HISTOMAI24!D12+HISTOJUIN24!D12+HISTOJUIL24!D12+HISTOAOUT24!D12+HISTOSEPT24!D12+HISTOOCT24!D12+HISTONOV24!D12+HISTODEC244!D12</f>
        <v>6143000</v>
      </c>
      <c r="E12" s="9">
        <f>HISTOJANV24!E12+HISTOFEV24!E12+HISTOMARS24!E12+HISTOAVRIL24!E12+HISTOMAI24!E12+HISTOJUIN24!E12+HISTOJUIL24!E12+HISTOAOUT24!E12+HISTOSEPT24!E12+HISTOOCT24!E12+HISTONOV24!E12+HISTODEC244!E12</f>
        <v>642500</v>
      </c>
      <c r="F12" s="9">
        <f>HISTOJANV24!F12+HISTOFEV24!F12+HISTOMARS24!F12+HISTOAVRIL24!F12+HISTOMAI24!F12+HISTOJUIN24!F12+HISTOJUIL24!F12+HISTOAOUT24!F12+HISTOSEPT24!F12+HISTOOCT24!F12+HISTONOV24!F12+HISTODEC244!F12</f>
        <v>0</v>
      </c>
      <c r="G12" s="9">
        <f>HISTOJANV24!G12+HISTOFEV24!G12+HISTOMARS24!G12+HISTOAVRIL24!G12+HISTOMAI24!G12+HISTOJUIN24!G12+HISTOJUIL24!G12+HISTOAOUT24!G12+HISTOSEPT24!G12+HISTOOCT24!G12+HISTONOV24!G12+HISTODEC244!G12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HISTOJANV24!I12+HISTOFEV24!I12+HISTOMARS24!I12+HISTOAVRIL24!I12+HISTOMAI24!I12+HISTOJUIN24!I12+HISTOJUIL24!I12+HISTOAOUT24!I12+HISTOSEPT24!I12+HISTOOCT24!I12+HISTONOV24!I12+HISTODEC244!I12</f>
        <v>67600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HISTOJANV24!P12+HISTOFEV24!P12+HISTOMARS24!P12+HISTOAVRIL24!P12+HISTOMAI24!P12+HISTOJUIN24!P12+HISTOJUIL24!P12+HISTOAOUT24!P12+HISTOSEPT24!P12+HISTOOCT24!P12+HISTONOV24!P12+HISTODEC244!P12</f>
        <v>61000</v>
      </c>
      <c r="Q12" s="9">
        <f>HISTOJANV24!Q12+HISTOFEV24!Q12+HISTOMARS24!Q12+HISTOAVRIL24!Q12+HISTOMAI24!Q12+HISTOJUIN24!Q12+HISTOJUIL24!Q12+HISTOAOUT24!Q12+HISTOSEPT24!Q12+HISTOOCT24!Q12+HISTONOV24!Q12+HISTODEC244!Q12</f>
        <v>202500</v>
      </c>
      <c r="R12" s="9">
        <f>HISTOJANV24!R12+HISTOFEV24!R12+HISTOMARS24!R12+HISTOAVRIL24!R12+HISTOMAI24!R12+HISTOJUIN24!R12+HISTOJUIL24!R12+HISTOAOUT24!R12+HISTOSEPT24!R12+HISTOOCT24!R12+HISTONOV24!R12+HISTODEC244!R12</f>
        <v>1547000</v>
      </c>
      <c r="S12" s="9">
        <f>HISTOJANV24!S12+HISTOFEV24!S12+HISTOMARS24!S12+HISTOAVRIL24!S12+HISTOMAI24!S12+HISTOJUIN24!S12+HISTOJUIL24!S12+HISTOAOUT24!S12+HISTOSEPT24!S12+HISTOOCT24!S12+HISTONOV24!S12+HISTODEC244!S12</f>
        <v>1000000</v>
      </c>
      <c r="T12" s="12"/>
      <c r="U12" s="17">
        <f t="shared" si="5"/>
        <v>3203100</v>
      </c>
      <c r="V12" s="9">
        <f>HISTOJANV24!V12+HISTOFEV24!V12+HISTOMARS24!V12+HISTOAVRIL24!V12+HISTOMAI24!V12+HISTOJUIN24!V12+HISTOJUIL24!V12+HISTOAOUT24!V12+HISTOSEPT24!V12+HISTOOCT24!V12+HISTONOV24!V12+HISTODEC244!V12</f>
        <v>0</v>
      </c>
      <c r="W12" s="9">
        <f>HISTOJANV24!W12+HISTOFEV24!W12+HISTOMARS24!W12+HISTOAVRIL24!W12+HISTOMAI24!W12+HISTOJUIN24!W12+HISTOJUIL24!W12+HISTOAOUT24!W12+HISTOSEPT24!W12+HISTOOCT24!W12+HISTONOV24!W12+HISTODEC244!W12</f>
        <v>0</v>
      </c>
      <c r="X12" s="9">
        <f>HISTOJANV24!X12+HISTOFEV24!X12+HISTOMARS24!X12+HISTOAVRIL24!X12+HISTOMAI24!X12+HISTOJUIN24!X12+HISTOJUIL24!X12+HISTOAOUT24!X12+HISTOSEPT24!X12+HISTOOCT24!X12+HISTONOV24!X12+HISTODEC244!X12</f>
        <v>0</v>
      </c>
      <c r="Y12" s="9">
        <f>HISTOJANV24!Y12+HISTOFEV24!Y12+HISTOMARS24!Y12+HISTOAVRIL24!Y12+HISTOMAI24!Y12+HISTOJUIN24!Y12+HISTOJUIL24!Y12+HISTOAOUT24!Y12+HISTOSEPT24!Y12+HISTOOCT24!Y12+HISTONOV24!Y12+HISTODEC244!Y12</f>
        <v>0</v>
      </c>
      <c r="Z12" s="9">
        <f>HISTOJANV24!Z12+HISTOFEV24!Z12+HISTOMARS24!Z12+HISTOAVRIL24!Z12+HISTOMAI24!Z12+HISTOJUIN24!Z12+HISTOJUIL24!Z12+HISTOAOUT24!Z12+HISTOSEPT24!Z12+HISTOOCT24!Z12+HISTONOV24!Z12+HISTODEC244!Z12</f>
        <v>1000000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HISTOJANV24!AC12+HISTOFEV24!AC12+HISTOMARS24!AC12+HISTOAVRIL24!AC12+HISTOMAI24!AC12+HISTOJUIN24!AC12+HISTOJUIL24!AC12+HISTOAOUT24!AC12+HISTOSEPT24!AC12+HISTOOCT24!AC12+HISTONOV24!AC12+HISTODEC244!AC12</f>
        <v>3000</v>
      </c>
      <c r="AD12" s="9">
        <f>HISTOJANV24!AD12+HISTOFEV24!AD12+HISTOMARS24!AD12+HISTOAVRIL24!AD12+HISTOMAI24!AD12+HISTOJUIN24!AD12+HISTOJUIL24!AD12+HISTOAOUT24!AD12+HISTOSEPT24!AD12+HISTOOCT24!AD12+HISTONOV24!AD12+HISTODEC244!AD12</f>
        <v>60000</v>
      </c>
      <c r="AE12" s="9">
        <f>HISTOJANV24!AE12+HISTOFEV24!AE12+HISTOMARS24!AE12+HISTOAVRIL24!AE12+HISTOMAI24!AE12+HISTOJUIN24!AE12+HISTOJUIL24!AE12+HISTOAOUT24!AE12+HISTOSEPT24!AE12+HISTOOCT24!AE12+HISTONOV24!AE12+HISTODEC244!AE12</f>
        <v>20000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HISTOJANV24!AH12+HISTOFEV24!AH12+HISTOMARS24!AH12+HISTOAVRIL24!AH12+HISTOMAI24!AH12+HISTOJUIN24!AH12+HISTOJUIL24!AH12+HISTOAOUT24!AH12+HISTOSEPT24!AH12+HISTOOCT24!AH12+HISTONOV24!AH12+HISTODEC244!AH12</f>
        <v>0</v>
      </c>
      <c r="AI12" s="9">
        <f>HISTOJANV24!AI12+HISTOFEV24!AI12+HISTOMARS24!AI12+HISTOAVRIL24!AI12+HISTOMAI24!AI12+HISTOJUIN24!AI12+HISTOJUIL24!AI12+HISTOAOUT24!AI12+HISTOSEPT24!AI12+HISTOOCT24!AI12+HISTONOV24!AI12+HISTODEC244!AI12</f>
        <v>60000</v>
      </c>
      <c r="AJ12" s="9">
        <f>HISTOJANV24!AJ12+HISTOFEV24!AJ12+HISTOMARS24!AJ12+HISTOAVRIL24!AJ12+HISTOMAI24!AJ12+HISTOJUIN24!AJ12+HISTOJUIL24!AJ12+HISTOAOUT24!AJ12+HISTOSEPT24!AJ12+HISTOOCT24!AJ12+HISTONOV24!AJ12+HISTODEC244!AJ12</f>
        <v>200500</v>
      </c>
      <c r="AK12" s="9">
        <f>HISTOJANV24!AK12+HISTOFEV24!AK12+HISTOMARS24!AK12+HISTOAVRIL24!AK12+HISTOMAI24!AK12+HISTOJUIN24!AK12+HISTOJUIL24!AK12+HISTOAOUT24!AK12+HISTOSEPT24!AK12+HISTOOCT24!AK12+HISTONOV24!AK12+HISTODEC244!AK12</f>
        <v>1531000</v>
      </c>
      <c r="AL12" s="9">
        <f>HISTOJANV24!AL12+HISTOFEV24!AL12+HISTOMARS24!AL12+HISTOAVRIL24!AL12+HISTOMAI24!AL12+HISTOJUIN24!AL12+HISTOJUIL24!AL12+HISTOAOUT24!AL12+HISTOSEPT24!AL12+HISTOOCT24!AL12+HISTONOV24!AL12+HISTODEC244!AL12</f>
        <v>1000</v>
      </c>
      <c r="AM12" s="9">
        <f>HISTOJANV24!AM12+HISTOFEV24!AM12+HISTOMARS24!AM12+HISTOAVRIL24!AM12+HISTOMAI24!AM12+HISTOJUIN24!AM12+HISTOJUIL24!AM12+HISTOAOUT24!AM12+HISTOSEPT24!AM12+HISTOOCT24!AM12+HISTONOV24!AM12+HISTODEC244!AM12</f>
        <v>2000</v>
      </c>
      <c r="AN12" s="9">
        <f>HISTOJANV24!AN12+HISTOFEV24!AN12+HISTOMARS24!AN12+HISTOAVRIL24!AN12+HISTOMAI24!AN12+HISTOJUIN24!AN12+HISTOJUIL24!AN12+HISTOAOUT24!AN12+HISTOSEPT24!AN12+HISTOOCT24!AN12+HISTONOV24!AN12+HISTODEC244!AN12</f>
        <v>16000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92600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HISTOJANV24!AW12+HISTOFEV24!AW12+HISTOMARS24!AW12+HISTOAVRIL24!AW12+HISTOMAI24!AW12+HISTOJUIN24!AW12+HISTOJUIL24!AW12+HISTOAOUT24!AW12+HISTOSEPT24!AW12+HISTOOCT24!AW12+HISTONOV24!AW12+HISTODEC244!AW12</f>
        <v>357000</v>
      </c>
      <c r="AX12" s="9">
        <f>HISTOJANV24!AX12+HISTOFEV24!AX12+HISTOMARS24!AX12+HISTOAVRIL24!AX12+HISTOMAI24!AX12+HISTOJUIN24!AX12+HISTOJUIL24!AX12+HISTOAOUT24!AX12+HISTOSEPT24!AX12+HISTOOCT24!AX12+HISTONOV24!AX12+HISTODEC244!AX12</f>
        <v>1040500</v>
      </c>
      <c r="AY12" s="9">
        <f>HISTOJANV24!AY12+HISTOFEV24!AY12+HISTOMARS24!AY12+HISTOAVRIL24!AY12+HISTOMAI24!AY12+HISTOJUIN24!AY12+HISTOJUIL24!AY12+HISTOAOUT24!AY12+HISTOSEPT24!AY12+HISTOOCT24!AY12+HISTONOV24!AY12+HISTODEC244!AY12</f>
        <v>3911000</v>
      </c>
      <c r="AZ12" s="9">
        <f>HISTOJANV24!AZ12+HISTOFEV24!AZ12+HISTOMARS24!AZ12+HISTOAVRIL24!AZ12+HISTOMAI24!AZ12+HISTOJUIN24!AZ12+HISTOJUIL24!AZ12+HISTOAOUT24!AZ12+HISTOSEPT24!AZ12+HISTOOCT24!AZ12+HISTONOV24!AZ12+HISTODEC244!AZ12</f>
        <v>6140100</v>
      </c>
      <c r="BA12" s="9">
        <f>HISTOJANV24!BA12+HISTOFEV24!BA12+HISTOMARS24!BA12+HISTOAVRIL24!BA12+HISTOMAI24!BA12+HISTOJUIN24!BA12+HISTOJUIL24!BA12+HISTOAOUT24!BA12+HISTOSEPT24!BA12+HISTOOCT24!BA12+HISTONOV24!BA12+HISTODEC244!BA12</f>
        <v>1066700</v>
      </c>
      <c r="BB12" s="9">
        <f>HISTOJANV24!BB12+HISTOFEV24!BB12+HISTOMARS24!BB12+HISTOAVRIL24!BB12+HISTOMAI24!BB12+HISTOJUIN24!BB12+HISTOJUIL24!BB12+HISTOAOUT24!BB12+HISTOSEPT24!BB12+HISTOOCT24!BB12+HISTONOV24!BB12+HISTODEC244!BB12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HISTOJANV24!BD12+HISTOFEV24!BD12+HISTOMARS24!BD12+HISTOAVRIL24!BD12+HISTOMAI24!BD12+HISTOJUIN24!BD12+HISTOJUIL24!BD12+HISTOAOUT24!BD12+HISTOSEPT24!BD12+HISTOOCT24!BD12+HISTONOV24!BD12+HISTODEC244!BD12</f>
        <v>5086800</v>
      </c>
      <c r="BE12" s="82"/>
      <c r="BF12" s="9">
        <f>HISTOJANV24!BF12+HISTOFEV24!BF12+HISTOMARS24!BF12+HISTOAVRIL24!BF12+HISTOMAI24!BF12+HISTOJUIN24!BF12+HISTOJUIL24!BF12+HISTOAOUT24!BF12+HISTOSEPT24!BF12+HISTOOCT24!BF12+HISTONOV24!BF12+HISTODEC244!BF12</f>
        <v>68400</v>
      </c>
      <c r="BG12" s="29"/>
      <c r="BH12" s="15"/>
      <c r="BI12" s="15"/>
      <c r="BJ12" s="15"/>
      <c r="BK12" s="15"/>
      <c r="BL12" s="61"/>
      <c r="BO12" t="s">
        <v>120</v>
      </c>
      <c r="BP12" t="s">
        <v>114</v>
      </c>
      <c r="BQ12" s="9">
        <f>HISTOJANV24!BQ12+HISTOFEV24!BQ12+HISTOMARS24!BQ12+HISTOAVRIL24!BQ12+HISTOMAI24!BQ12+HISTOJUIN24!BQ12+HISTOJUIL24!BQ12+HISTOAOUT24!BQ12+HISTOSEPT24!BQ12+HISTOOCT24!BQ12+HISTONOV24!BQ12+HISTODEC244!BQ12</f>
        <v>0</v>
      </c>
    </row>
    <row r="13" spans="1:69" ht="18.5" x14ac:dyDescent="0.45">
      <c r="A13" s="1" t="s">
        <v>17</v>
      </c>
      <c r="B13" s="1">
        <v>50000</v>
      </c>
      <c r="C13" s="5"/>
      <c r="D13" s="9">
        <f>HISTOJANV24!D13+HISTOFEV24!D13+HISTOMARS24!D13+HISTOAVRIL24!D13+HISTOMAI24!D13+HISTOJUIN24!D13+HISTOJUIL24!D13+HISTOAOUT24!D13+HISTOSEPT24!D13+HISTOOCT24!D13+HISTONOV24!D13+HISTODEC244!D13</f>
        <v>1600000</v>
      </c>
      <c r="E13" s="9">
        <f>HISTOJANV24!E13+HISTOFEV24!E13+HISTOMARS24!E13+HISTOAVRIL24!E13+HISTOMAI24!E13+HISTOJUIN24!E13+HISTOJUIL24!E13+HISTOAOUT24!E13+HISTOSEPT24!E13+HISTOOCT24!E13+HISTONOV24!E13+HISTODEC244!E13</f>
        <v>0</v>
      </c>
      <c r="F13" s="9">
        <f>HISTOJANV24!F13+HISTOFEV24!F13+HISTOMARS24!F13+HISTOAVRIL24!F13+HISTOMAI24!F13+HISTOJUIN24!F13+HISTOJUIL24!F13+HISTOAOUT24!F13+HISTOSEPT24!F13+HISTOOCT24!F13+HISTONOV24!F13+HISTODEC244!F13</f>
        <v>0</v>
      </c>
      <c r="G13" s="9">
        <f>HISTOJANV24!G13+HISTOFEV24!G13+HISTOMARS24!G13+HISTOAVRIL24!G13+HISTOMAI24!G13+HISTOJUIN24!G13+HISTOJUIL24!G13+HISTOAOUT24!G13+HISTOSEPT24!G13+HISTOOCT24!G13+HISTONOV24!G13+HISTODEC244!G13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HISTOJANV24!P13+HISTOFEV24!P13+HISTOMARS24!P13+HISTOAVRIL24!P13+HISTOMAI24!P13+HISTOJUIN24!P13+HISTOJUIL24!P13+HISTOAOUT24!P13+HISTOSEPT24!P13+HISTOOCT24!P13+HISTONOV24!P13+HISTODEC244!P13</f>
        <v>0</v>
      </c>
      <c r="Q13" s="9">
        <f>HISTOJANV24!Q13+HISTOFEV24!Q13+HISTOMARS24!Q13+HISTOAVRIL24!Q13+HISTOMAI24!Q13+HISTOJUIN24!Q13+HISTOJUIL24!Q13+HISTOAOUT24!Q13+HISTOSEPT24!Q13+HISTOOCT24!Q13+HISTONOV24!Q13+HISTODEC244!Q13</f>
        <v>0</v>
      </c>
      <c r="R13" s="9">
        <f>HISTOJANV24!R13+HISTOFEV24!R13+HISTOMARS24!R13+HISTOAVRIL24!R13+HISTOMAI24!R13+HISTOJUIN24!R13+HISTOJUIL24!R13+HISTOAOUT24!R13+HISTOSEPT24!R13+HISTOOCT24!R13+HISTONOV24!R13+HISTODEC244!R13</f>
        <v>0</v>
      </c>
      <c r="S13" s="9">
        <f>HISTOJANV24!S13+HISTOFEV24!S13+HISTOMARS24!S13+HISTOAVRIL24!S13+HISTOMAI24!S13+HISTOJUIN24!S13+HISTOJUIL24!S13+HISTOAOUT24!S13+HISTOSEPT24!S13+HISTOOCT24!S13+HISTONOV24!S13+HISTODEC244!S13</f>
        <v>1000000</v>
      </c>
      <c r="T13" s="12"/>
      <c r="U13" s="17">
        <f t="shared" si="5"/>
        <v>1050000</v>
      </c>
      <c r="V13" s="9">
        <f>HISTOJANV24!V13+HISTOFEV24!V13+HISTOMARS24!V13+HISTOAVRIL24!V13+HISTOMAI24!V13+HISTOJUIN24!V13+HISTOJUIL24!V13+HISTOAOUT24!V13+HISTOSEPT24!V13+HISTOOCT24!V13+HISTONOV24!V13+HISTODEC244!V13</f>
        <v>0</v>
      </c>
      <c r="W13" s="9">
        <f>HISTOJANV24!W13+HISTOFEV24!W13+HISTOMARS24!W13+HISTOAVRIL24!W13+HISTOMAI24!W13+HISTOJUIN24!W13+HISTOJUIL24!W13+HISTOAOUT24!W13+HISTOSEPT24!W13+HISTOOCT24!W13+HISTONOV24!W13+HISTODEC244!W13</f>
        <v>0</v>
      </c>
      <c r="X13" s="9">
        <f>HISTOJANV24!X13+HISTOFEV24!X13+HISTOMARS24!X13+HISTOAVRIL24!X13+HISTOMAI24!X13+HISTOJUIN24!X13+HISTOJUIL24!X13+HISTOAOUT24!X13+HISTOSEPT24!X13+HISTOOCT24!X13+HISTONOV24!X13+HISTODEC244!X13</f>
        <v>0</v>
      </c>
      <c r="Y13" s="9">
        <f>HISTOJANV24!Y13+HISTOFEV24!Y13+HISTOMARS24!Y13+HISTOAVRIL24!Y13+HISTOMAI24!Y13+HISTOJUIN24!Y13+HISTOJUIL24!Y13+HISTOAOUT24!Y13+HISTOSEPT24!Y13+HISTOOCT24!Y13+HISTONOV24!Y13+HISTODEC244!Y13</f>
        <v>0</v>
      </c>
      <c r="Z13" s="9">
        <f>HISTOJANV24!Z13+HISTOFEV24!Z13+HISTOMARS24!Z13+HISTOAVRIL24!Z13+HISTOMAI24!Z13+HISTOJUIN24!Z13+HISTOJUIL24!Z13+HISTOAOUT24!Z13+HISTOSEPT24!Z13+HISTOOCT24!Z13+HISTONOV24!Z13+HISTODEC244!Z13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HISTOJANV24!AC13+HISTOFEV24!AC13+HISTOMARS24!AC13+HISTOAVRIL24!AC13+HISTOMAI24!AC13+HISTOJUIN24!AC13+HISTOJUIL24!AC13+HISTOAOUT24!AC13+HISTOSEPT24!AC13+HISTOOCT24!AC13+HISTONOV24!AC13+HISTODEC244!AC13</f>
        <v>2500</v>
      </c>
      <c r="AD13" s="9">
        <f>HISTOJANV24!AD13+HISTOFEV24!AD13+HISTOMARS24!AD13+HISTOAVRIL24!AD13+HISTOMAI24!AD13+HISTOJUIN24!AD13+HISTOJUIL24!AD13+HISTOAOUT24!AD13+HISTOSEPT24!AD13+HISTOOCT24!AD13+HISTONOV24!AD13+HISTODEC244!AD13</f>
        <v>0</v>
      </c>
      <c r="AE13" s="9">
        <f>HISTOJANV24!AE13+HISTOFEV24!AE13+HISTOMARS24!AE13+HISTOAVRIL24!AE13+HISTOMAI24!AE13+HISTOJUIN24!AE13+HISTOJUIL24!AE13+HISTOAOUT24!AE13+HISTOSEPT24!AE13+HISTOOCT24!AE13+HISTONOV24!AE13+HISTODEC244!AE13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HISTOJANV24!AH13+HISTOFEV24!AH13+HISTOMARS24!AH13+HISTOAVRIL24!AH13+HISTOMAI24!AH13+HISTOJUIN24!AH13+HISTOJUIL24!AH13+HISTOAOUT24!AH13+HISTOSEPT24!AH13+HISTOOCT24!AH13+HISTONOV24!AH13+HISTODEC244!AH13</f>
        <v>0</v>
      </c>
      <c r="AI13" s="9">
        <f>HISTOJANV24!AI13+HISTOFEV24!AI13+HISTOMARS24!AI13+HISTOAVRIL24!AI13+HISTOMAI24!AI13+HISTOJUIN24!AI13+HISTOJUIL24!AI13+HISTOAOUT24!AI13+HISTOSEPT24!AI13+HISTOOCT24!AI13+HISTONOV24!AI13+HISTODEC244!AI13</f>
        <v>0</v>
      </c>
      <c r="AJ13" s="9">
        <f>HISTOJANV24!AJ13+HISTOFEV24!AJ13+HISTOMARS24!AJ13+HISTOAVRIL24!AJ13+HISTOMAI24!AJ13+HISTOJUIN24!AJ13+HISTOJUIL24!AJ13+HISTOAOUT24!AJ13+HISTOSEPT24!AJ13+HISTOOCT24!AJ13+HISTONOV24!AJ13+HISTODEC244!AJ13</f>
        <v>0</v>
      </c>
      <c r="AK13" s="9">
        <f>HISTOJANV24!AK13+HISTOFEV24!AK13+HISTOMARS24!AK13+HISTOAVRIL24!AK13+HISTOMAI24!AK13+HISTOJUIN24!AK13+HISTOJUIL24!AK13+HISTOAOUT24!AK13+HISTOSEPT24!AK13+HISTOOCT24!AK13+HISTONOV24!AK13+HISTODEC244!AK13</f>
        <v>0</v>
      </c>
      <c r="AL13" s="9">
        <f>HISTOJANV24!AL13+HISTOFEV24!AL13+HISTOMARS24!AL13+HISTOAVRIL24!AL13+HISTOMAI24!AL13+HISTOJUIN24!AL13+HISTOJUIL24!AL13+HISTOAOUT24!AL13+HISTOSEPT24!AL13+HISTOOCT24!AL13+HISTONOV24!AL13+HISTODEC244!AL13</f>
        <v>0</v>
      </c>
      <c r="AM13" s="9">
        <f>HISTOJANV24!AM13+HISTOFEV24!AM13+HISTOMARS24!AM13+HISTOAVRIL24!AM13+HISTOMAI24!AM13+HISTOJUIN24!AM13+HISTOJUIL24!AM13+HISTOAOUT24!AM13+HISTOSEPT24!AM13+HISTOOCT24!AM13+HISTONOV24!AM13+HISTODEC244!AM13</f>
        <v>0</v>
      </c>
      <c r="AN13" s="9">
        <f>HISTOJANV24!AN13+HISTOFEV24!AN13+HISTOMARS24!AN13+HISTOAVRIL24!AN13+HISTOMAI24!AN13+HISTOJUIN24!AN13+HISTOJUIL24!AN13+HISTOAOUT24!AN13+HISTOSEPT24!AN13+HISTOOCT24!AN13+HISTONOV24!AN13+HISTODEC244!AN13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HISTOJANV24!AW13+HISTOFEV24!AW13+HISTOMARS24!AW13+HISTOAVRIL24!AW13+HISTOMAI24!AW13+HISTOJUIN24!AW13+HISTOJUIL24!AW13+HISTOAOUT24!AW13+HISTOSEPT24!AW13+HISTOOCT24!AW13+HISTONOV24!AW13+HISTODEC244!AW13</f>
        <v>297500</v>
      </c>
      <c r="AX13" s="9">
        <f>HISTOJANV24!AX13+HISTOFEV24!AX13+HISTOMARS24!AX13+HISTOAVRIL24!AX13+HISTOMAI24!AX13+HISTOJUIN24!AX13+HISTOJUIL24!AX13+HISTOAOUT24!AX13+HISTOSEPT24!AX13+HISTOOCT24!AX13+HISTONOV24!AX13+HISTODEC244!AX13</f>
        <v>0</v>
      </c>
      <c r="AY13" s="9">
        <f>HISTOJANV24!AY13+HISTOFEV24!AY13+HISTOMARS24!AY13+HISTOAVRIL24!AY13+HISTOMAI24!AY13+HISTOJUIN24!AY13+HISTOJUIL24!AY13+HISTOAOUT24!AY13+HISTOSEPT24!AY13+HISTOOCT24!AY13+HISTONOV24!AY13+HISTODEC244!AY13</f>
        <v>0</v>
      </c>
      <c r="AZ13" s="9">
        <f>HISTOJANV24!AZ13+HISTOFEV24!AZ13+HISTOMARS24!AZ13+HISTOAVRIL24!AZ13+HISTOMAI24!AZ13+HISTOJUIN24!AZ13+HISTOJUIL24!AZ13+HISTOAOUT24!AZ13+HISTOSEPT24!AZ13+HISTOOCT24!AZ13+HISTONOV24!AZ13+HISTODEC244!AZ13</f>
        <v>297500</v>
      </c>
      <c r="BA13" s="9">
        <f>HISTOJANV24!BA13+HISTOFEV24!BA13+HISTOMARS24!BA13+HISTOAVRIL24!BA13+HISTOMAI24!BA13+HISTOJUIN24!BA13+HISTOJUIL24!BA13+HISTOAOUT24!BA13+HISTOSEPT24!BA13+HISTOOCT24!BA13+HISTONOV24!BA13+HISTODEC244!BA13</f>
        <v>100000</v>
      </c>
      <c r="BB13" s="9">
        <f>HISTOJANV24!BB13+HISTOFEV24!BB13+HISTOMARS24!BB13+HISTOAVRIL24!BB13+HISTOMAI24!BB13+HISTOJUIN24!BB13+HISTOJUIL24!BB13+HISTOAOUT24!BB13+HISTOSEPT24!BB13+HISTOOCT24!BB13+HISTONOV24!BB13+HISTODEC244!BB13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HISTOJANV24!BD13+HISTOFEV24!BD13+HISTOMARS24!BD13+HISTOAVRIL24!BD13+HISTOMAI24!BD13+HISTOJUIN24!BD13+HISTOJUIL24!BD13+HISTOAOUT24!BD13+HISTOSEPT24!BD13+HISTOOCT24!BD13+HISTONOV24!BD13+HISTODEC244!BD13</f>
        <v>197500</v>
      </c>
      <c r="BE13" s="82"/>
      <c r="BF13" s="9">
        <f>HISTOJANV24!BF13+HISTOFEV24!BF13+HISTOMARS24!BF13+HISTOAVRIL24!BF13+HISTOMAI24!BF13+HISTOJUIN24!BF13+HISTOJUIL24!BF13+HISTOAOUT24!BF13+HISTOSEPT24!BF13+HISTOOCT24!BF13+HISTONOV24!BF13+HISTODEC244!BF13</f>
        <v>0</v>
      </c>
      <c r="BG13" s="29"/>
      <c r="BH13" s="15"/>
      <c r="BI13" s="15"/>
      <c r="BJ13" s="15"/>
      <c r="BK13" s="15"/>
      <c r="BL13" s="61"/>
      <c r="BO13" t="s">
        <v>145</v>
      </c>
      <c r="BP13" t="s">
        <v>114</v>
      </c>
      <c r="BQ13" s="9">
        <f>HISTOJANV24!BQ13+HISTOFEV24!BQ13+HISTOMARS24!BQ13+HISTOAVRIL24!BQ13+HISTOMAI24!BQ13+HISTOJUIN24!BQ13+HISTOJUIL24!BQ13+HISTOAOUT24!BQ13+HISTOSEPT24!BQ13+HISTOOCT24!BQ13+HISTONOV24!BQ13+HISTODEC244!BQ13</f>
        <v>90000</v>
      </c>
    </row>
    <row r="14" spans="1:69" ht="18.5" x14ac:dyDescent="0.45">
      <c r="A14" s="1" t="s">
        <v>18</v>
      </c>
      <c r="B14" s="1">
        <v>50000</v>
      </c>
      <c r="C14" s="5"/>
      <c r="D14" s="9">
        <f>HISTOJANV24!D14+HISTOFEV24!D14+HISTOMARS24!D14+HISTOAVRIL24!D14+HISTOMAI24!D14+HISTOJUIN24!D14+HISTOJUIL24!D14+HISTOAOUT24!D14+HISTOSEPT24!D14+HISTOOCT24!D14+HISTONOV24!D14+HISTODEC244!D14</f>
        <v>500000</v>
      </c>
      <c r="E14" s="9">
        <f>HISTOJANV24!E14+HISTOFEV24!E14+HISTOMARS24!E14+HISTOAVRIL24!E14+HISTOMAI24!E14+HISTOJUIN24!E14+HISTOJUIL24!E14+HISTOAOUT24!E14+HISTOSEPT24!E14+HISTOOCT24!E14+HISTONOV24!E14+HISTODEC244!E14</f>
        <v>100000</v>
      </c>
      <c r="F14" s="9">
        <f>HISTOJANV24!F14+HISTOFEV24!F14+HISTOMARS24!F14+HISTOAVRIL24!F14+HISTOMAI24!F14+HISTOJUIN24!F14+HISTOJUIL24!F14+HISTOAOUT24!F14+HISTOSEPT24!F14+HISTOOCT24!F14+HISTONOV24!F14+HISTODEC244!F14</f>
        <v>0</v>
      </c>
      <c r="G14" s="9">
        <f>HISTOJANV24!G14+HISTOFEV24!G14+HISTOMARS24!G14+HISTOAVRIL24!G14+HISTOMAI24!G14+HISTOJUIN24!G14+HISTOJUIL24!G14+HISTOAOUT24!G14+HISTOSEPT24!G14+HISTOOCT24!G14+HISTONOV24!G14+HISTODEC244!G14</f>
        <v>3000</v>
      </c>
      <c r="H14" s="10"/>
      <c r="I14" s="9">
        <f>HISTOJANV24!I14+HISTOFEV24!I14+HISTOMARS24!I14+HISTOAVRIL24!I14+HISTOMAI24!I14+HISTOJUIN24!I14+HISTOJUIL24!I14+HISTOAOUT24!I14+HISTOSEPT24!I14+HISTOOCT24!I14+HISTONOV24!I14+HISTODEC244!I14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HISTOJANV24!P14+HISTOFEV24!P14+HISTOMARS24!P14+HISTOAVRIL24!P14+HISTOMAI24!P14+HISTOJUIN24!P14+HISTOJUIL24!P14+HISTOAOUT24!P14+HISTOSEPT24!P14+HISTOOCT24!P14+HISTONOV24!P14+HISTODEC244!P14</f>
        <v>0</v>
      </c>
      <c r="Q14" s="9">
        <f>HISTOJANV24!Q14+HISTOFEV24!Q14+HISTOMARS24!Q14+HISTOAVRIL24!Q14+HISTOMAI24!Q14+HISTOJUIN24!Q14+HISTOJUIL24!Q14+HISTOAOUT24!Q14+HISTOSEPT24!Q14+HISTOOCT24!Q14+HISTONOV24!Q14+HISTODEC244!Q14</f>
        <v>0</v>
      </c>
      <c r="R14" s="9">
        <f>HISTOJANV24!R14+HISTOFEV24!R14+HISTOMARS24!R14+HISTOAVRIL24!R14+HISTOMAI24!R14+HISTOJUIN24!R14+HISTOJUIL24!R14+HISTOAOUT24!R14+HISTOSEPT24!R14+HISTOOCT24!R14+HISTONOV24!R14+HISTODEC244!R14</f>
        <v>0</v>
      </c>
      <c r="S14" s="9">
        <f>HISTOJANV24!S14+HISTOFEV24!S14+HISTOMARS24!S14+HISTOAVRIL24!S14+HISTOMAI24!S14+HISTOJUIN24!S14+HISTOJUIL24!S14+HISTOAOUT24!S14+HISTOSEPT24!S14+HISTOOCT24!S14+HISTONOV24!S14+HISTODEC244!S14</f>
        <v>0</v>
      </c>
      <c r="T14" s="12"/>
      <c r="U14" s="17">
        <f t="shared" si="5"/>
        <v>53000</v>
      </c>
      <c r="V14" s="9">
        <f>HISTOJANV24!V14+HISTOFEV24!V14+HISTOMARS24!V14+HISTOAVRIL24!V14+HISTOMAI24!V14+HISTOJUIN24!V14+HISTOJUIL24!V14+HISTOAOUT24!V14+HISTOSEPT24!V14+HISTOOCT24!V14+HISTONOV24!V14+HISTODEC244!V14</f>
        <v>0</v>
      </c>
      <c r="W14" s="9">
        <f>HISTOJANV24!W14+HISTOFEV24!W14+HISTOMARS24!W14+HISTOAVRIL24!W14+HISTOMAI24!W14+HISTOJUIN24!W14+HISTOJUIL24!W14+HISTOAOUT24!W14+HISTOSEPT24!W14+HISTOOCT24!W14+HISTONOV24!W14+HISTODEC244!W14</f>
        <v>0</v>
      </c>
      <c r="X14" s="9">
        <f>HISTOJANV24!X14+HISTOFEV24!X14+HISTOMARS24!X14+HISTOAVRIL24!X14+HISTOMAI24!X14+HISTOJUIN24!X14+HISTOJUIL24!X14+HISTOAOUT24!X14+HISTOSEPT24!X14+HISTOOCT24!X14+HISTONOV24!X14+HISTODEC244!X14</f>
        <v>0</v>
      </c>
      <c r="Y14" s="9">
        <f>HISTOJANV24!Y14+HISTOFEV24!Y14+HISTOMARS24!Y14+HISTOAVRIL24!Y14+HISTOMAI24!Y14+HISTOJUIN24!Y14+HISTOJUIL24!Y14+HISTOAOUT24!Y14+HISTOSEPT24!Y14+HISTOOCT24!Y14+HISTONOV24!Y14+HISTODEC244!Y14</f>
        <v>0</v>
      </c>
      <c r="Z14" s="9">
        <f>HISTOJANV24!Z14+HISTOFEV24!Z14+HISTOMARS24!Z14+HISTOAVRIL24!Z14+HISTOMAI24!Z14+HISTOJUIN24!Z14+HISTOJUIL24!Z14+HISTOAOUT24!Z14+HISTOSEPT24!Z14+HISTOOCT24!Z14+HISTONOV24!Z14+HISTODEC244!Z14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HISTOJANV24!AC14+HISTOFEV24!AC14+HISTOMARS24!AC14+HISTOAVRIL24!AC14+HISTOMAI24!AC14+HISTOJUIN24!AC14+HISTOJUIL24!AC14+HISTOAOUT24!AC14+HISTOSEPT24!AC14+HISTOOCT24!AC14+HISTONOV24!AC14+HISTODEC244!AC14</f>
        <v>2500</v>
      </c>
      <c r="AD14" s="9">
        <f>HISTOJANV24!AD14+HISTOFEV24!AD14+HISTOMARS24!AD14+HISTOAVRIL24!AD14+HISTOMAI24!AD14+HISTOJUIN24!AD14+HISTOJUIL24!AD14+HISTOAOUT24!AD14+HISTOSEPT24!AD14+HISTOOCT24!AD14+HISTONOV24!AD14+HISTODEC244!AD14</f>
        <v>0</v>
      </c>
      <c r="AE14" s="9">
        <f>HISTOJANV24!AE14+HISTOFEV24!AE14+HISTOMARS24!AE14+HISTOAVRIL24!AE14+HISTOMAI24!AE14+HISTOJUIN24!AE14+HISTOJUIL24!AE14+HISTOAOUT24!AE14+HISTOSEPT24!AE14+HISTOOCT24!AE14+HISTONOV24!AE14+HISTODEC244!AE14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HISTOJANV24!AH14+HISTOFEV24!AH14+HISTOMARS24!AH14+HISTOAVRIL24!AH14+HISTOMAI24!AH14+HISTOJUIN24!AH14+HISTOJUIL24!AH14+HISTOAOUT24!AH14+HISTOSEPT24!AH14+HISTOOCT24!AH14+HISTONOV24!AH14+HISTODEC244!AH14</f>
        <v>0</v>
      </c>
      <c r="AI14" s="9">
        <f>HISTOJANV24!AI14+HISTOFEV24!AI14+HISTOMARS24!AI14+HISTOAVRIL24!AI14+HISTOMAI24!AI14+HISTOJUIN24!AI14+HISTOJUIL24!AI14+HISTOAOUT24!AI14+HISTOSEPT24!AI14+HISTOOCT24!AI14+HISTONOV24!AI14+HISTODEC244!AI14</f>
        <v>0</v>
      </c>
      <c r="AJ14" s="9">
        <f>HISTOJANV24!AJ14+HISTOFEV24!AJ14+HISTOMARS24!AJ14+HISTOAVRIL24!AJ14+HISTOMAI24!AJ14+HISTOJUIN24!AJ14+HISTOJUIL24!AJ14+HISTOAOUT24!AJ14+HISTOSEPT24!AJ14+HISTOOCT24!AJ14+HISTONOV24!AJ14+HISTODEC244!AJ14</f>
        <v>0</v>
      </c>
      <c r="AK14" s="9">
        <f>HISTOJANV24!AK14+HISTOFEV24!AK14+HISTOMARS24!AK14+HISTOAVRIL24!AK14+HISTOMAI24!AK14+HISTOJUIN24!AK14+HISTOJUIL24!AK14+HISTOAOUT24!AK14+HISTOSEPT24!AK14+HISTOOCT24!AK14+HISTONOV24!AK14+HISTODEC244!AK14</f>
        <v>0</v>
      </c>
      <c r="AL14" s="9">
        <f>HISTOJANV24!AL14+HISTOFEV24!AL14+HISTOMARS24!AL14+HISTOAVRIL24!AL14+HISTOMAI24!AL14+HISTOJUIN24!AL14+HISTOJUIL24!AL14+HISTOAOUT24!AL14+HISTOSEPT24!AL14+HISTOOCT24!AL14+HISTONOV24!AL14+HISTODEC244!AL14</f>
        <v>0</v>
      </c>
      <c r="AM14" s="9">
        <f>HISTOJANV24!AM14+HISTOFEV24!AM14+HISTOMARS24!AM14+HISTOAVRIL24!AM14+HISTOMAI24!AM14+HISTOJUIN24!AM14+HISTOJUIL24!AM14+HISTOAOUT24!AM14+HISTOSEPT24!AM14+HISTOOCT24!AM14+HISTONOV24!AM14+HISTODEC244!AM14</f>
        <v>0</v>
      </c>
      <c r="AN14" s="9">
        <f>HISTOJANV24!AN14+HISTOFEV24!AN14+HISTOMARS24!AN14+HISTOAVRIL24!AN14+HISTOMAI24!AN14+HISTOJUIN24!AN14+HISTOJUIL24!AN14+HISTOAOUT24!AN14+HISTOSEPT24!AN14+HISTOOCT24!AN14+HISTONOV24!AN14+HISTODEC244!AN14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HISTOJANV24!AW14+HISTOFEV24!AW14+HISTOMARS24!AW14+HISTOAVRIL24!AW14+HISTOMAI24!AW14+HISTOJUIN24!AW14+HISTOJUIL24!AW14+HISTOAOUT24!AW14+HISTOSEPT24!AW14+HISTOOCT24!AW14+HISTONOV24!AW14+HISTODEC244!AW14</f>
        <v>297500</v>
      </c>
      <c r="AX14" s="9">
        <f>HISTOJANV24!AX14+HISTOFEV24!AX14+HISTOMARS24!AX14+HISTOAVRIL24!AX14+HISTOMAI24!AX14+HISTOJUIN24!AX14+HISTOJUIL24!AX14+HISTOAOUT24!AX14+HISTOSEPT24!AX14+HISTOOCT24!AX14+HISTONOV24!AX14+HISTODEC244!AX14</f>
        <v>0</v>
      </c>
      <c r="AY14" s="9">
        <f>HISTOJANV24!AY14+HISTOFEV24!AY14+HISTOMARS24!AY14+HISTOAVRIL24!AY14+HISTOMAI24!AY14+HISTOJUIN24!AY14+HISTOJUIL24!AY14+HISTOAOUT24!AY14+HISTOSEPT24!AY14+HISTOOCT24!AY14+HISTONOV24!AY14+HISTODEC244!AY14</f>
        <v>0</v>
      </c>
      <c r="AZ14" s="9">
        <f>HISTOJANV24!AZ14+HISTOFEV24!AZ14+HISTOMARS24!AZ14+HISTOAVRIL24!AZ14+HISTOMAI24!AZ14+HISTOJUIN24!AZ14+HISTOJUIL24!AZ14+HISTOAOUT24!AZ14+HISTOSEPT24!AZ14+HISTOOCT24!AZ14+HISTONOV24!AZ14+HISTODEC244!AZ14</f>
        <v>297500</v>
      </c>
      <c r="BA14" s="9">
        <f>HISTOJANV24!BA14+HISTOFEV24!BA14+HISTOMARS24!BA14+HISTOAVRIL24!BA14+HISTOMAI24!BA14+HISTOJUIN24!BA14+HISTOJUIL24!BA14+HISTOAOUT24!BA14+HISTOSEPT24!BA14+HISTOOCT24!BA14+HISTONOV24!BA14+HISTODEC244!BA14</f>
        <v>0</v>
      </c>
      <c r="BB14" s="9">
        <f>HISTOJANV24!BB14+HISTOFEV24!BB14+HISTOMARS24!BB14+HISTOAVRIL24!BB14+HISTOMAI24!BB14+HISTOJUIN24!BB14+HISTOJUIL24!BB14+HISTOAOUT24!BB14+HISTOSEPT24!BB14+HISTOOCT24!BB14+HISTONOV24!BB14+HISTODEC244!BB14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HISTOJANV24!BD14+HISTOFEV24!BD14+HISTOMARS24!BD14+HISTOAVRIL24!BD14+HISTOMAI24!BD14+HISTOJUIN24!BD14+HISTOJUIL24!BD14+HISTOAOUT24!BD14+HISTOSEPT24!BD14+HISTOOCT24!BD14+HISTONOV24!BD14+HISTODEC244!BD14</f>
        <v>297500</v>
      </c>
      <c r="BE14" s="82"/>
      <c r="BF14" s="9">
        <f>HISTOJANV24!BF14+HISTOFEV24!BF14+HISTOMARS24!BF14+HISTOAVRIL24!BF14+HISTOMAI24!BF14+HISTOJUIN24!BF14+HISTOJUIL24!BF14+HISTOAOUT24!BF14+HISTOSEPT24!BF14+HISTOOCT24!BF14+HISTONOV24!BF14+HISTODEC244!BF14</f>
        <v>0</v>
      </c>
      <c r="BG14" s="29"/>
      <c r="BH14" s="15"/>
      <c r="BI14" s="15"/>
      <c r="BJ14" s="15"/>
      <c r="BK14" s="15"/>
      <c r="BL14" s="61"/>
      <c r="BO14" t="s">
        <v>210</v>
      </c>
      <c r="BP14" t="s">
        <v>114</v>
      </c>
      <c r="BQ14" s="9">
        <f>HISTOJANV24!BQ14+HISTOFEV24!BQ14+HISTOMARS24!BQ14+HISTOAVRIL24!BQ14+HISTOMAI24!BQ14+HISTOJUIN24!BQ14+HISTOJUIL24!BQ14+HISTOAOUT24!BQ14+HISTOSEPT24!BQ14+HISTOOCT24!BQ14+HISTONOV24!BQ14+HISTODEC244!BQ14</f>
        <v>4000000</v>
      </c>
    </row>
    <row r="15" spans="1:69" ht="18.5" x14ac:dyDescent="0.45">
      <c r="A15" s="1" t="s">
        <v>20</v>
      </c>
      <c r="B15" s="1">
        <v>125000</v>
      </c>
      <c r="C15" s="5"/>
      <c r="D15" s="9">
        <f>HISTOJANV24!D15+HISTOFEV24!D15+HISTOMARS24!D15+HISTOAVRIL24!D15+HISTOMAI24!D15+HISTOJUIN24!D15+HISTOJUIL24!D15+HISTOAOUT24!D15+HISTOSEPT24!D15+HISTOOCT24!D15+HISTONOV24!D15+HISTODEC244!D15</f>
        <v>1375000</v>
      </c>
      <c r="E15" s="9">
        <f>HISTOJANV24!E15+HISTOFEV24!E15+HISTOMARS24!E15+HISTOAVRIL24!E15+HISTOMAI24!E15+HISTOJUIN24!E15+HISTOJUIL24!E15+HISTOAOUT24!E15+HISTOSEPT24!E15+HISTOOCT24!E15+HISTONOV24!E15+HISTODEC244!E15</f>
        <v>125000</v>
      </c>
      <c r="F15" s="9">
        <f>HISTOJANV24!F15+HISTOFEV24!F15+HISTOMARS24!F15+HISTOAVRIL24!F15+HISTOMAI24!F15+HISTOJUIN24!F15+HISTOJUIL24!F15+HISTOAOUT24!F15+HISTOSEPT24!F15+HISTOOCT24!F15+HISTONOV24!F15+HISTODEC244!F15</f>
        <v>0</v>
      </c>
      <c r="G15" s="9">
        <f>HISTOJANV24!G15+HISTOFEV24!G15+HISTOMARS24!G15+HISTOAVRIL24!G15+HISTOMAI24!G15+HISTOJUIN24!G15+HISTOJUIL24!G15+HISTOAOUT24!G15+HISTOSEPT24!G15+HISTOOCT24!G15+HISTONOV24!G15+HISTODEC244!G15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HISTOJANV24!P15+HISTOFEV24!P15+HISTOMARS24!P15+HISTOAVRIL24!P15+HISTOMAI24!P15+HISTOJUIN24!P15+HISTOJUIL24!P15+HISTOAOUT24!P15+HISTOSEPT24!P15+HISTOOCT24!P15+HISTONOV24!P15+HISTODEC244!P15</f>
        <v>0</v>
      </c>
      <c r="Q15" s="9">
        <f>HISTOJANV24!Q15+HISTOFEV24!Q15+HISTOMARS24!Q15+HISTOAVRIL24!Q15+HISTOMAI24!Q15+HISTOJUIN24!Q15+HISTOJUIL24!Q15+HISTOAOUT24!Q15+HISTOSEPT24!Q15+HISTOOCT24!Q15+HISTONOV24!Q15+HISTODEC244!Q15</f>
        <v>0</v>
      </c>
      <c r="R15" s="9">
        <f>HISTOJANV24!R15+HISTOFEV24!R15+HISTOMARS24!R15+HISTOAVRIL24!R15+HISTOMAI24!R15+HISTOJUIN24!R15+HISTOJUIL24!R15+HISTOAOUT24!R15+HISTOSEPT24!R15+HISTOOCT24!R15+HISTONOV24!R15+HISTODEC244!R15</f>
        <v>0</v>
      </c>
      <c r="S15" s="9">
        <f>HISTOJANV24!S15+HISTOFEV24!S15+HISTOMARS24!S15+HISTOAVRIL24!S15+HISTOMAI24!S15+HISTOJUIN24!S15+HISTOJUIL24!S15+HISTOAOUT24!S15+HISTOSEPT24!S15+HISTOOCT24!S15+HISTONOV24!S15+HISTODEC244!S15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HISTOJANV24!V15+HISTOFEV24!V15+HISTOMARS24!V15+HISTOAVRIL24!V15+HISTOMAI24!V15+HISTOJUIN24!V15+HISTOJUIL24!V15+HISTOAOUT24!V15+HISTOSEPT24!V15+HISTOOCT24!V15+HISTONOV24!V15+HISTODEC244!V15</f>
        <v>0</v>
      </c>
      <c r="W15" s="9">
        <f>HISTOJANV24!W15+HISTOFEV24!W15+HISTOMARS24!W15+HISTOAVRIL24!W15+HISTOMAI24!W15+HISTOJUIN24!W15+HISTOJUIL24!W15+HISTOAOUT24!W15+HISTOSEPT24!W15+HISTOOCT24!W15+HISTONOV24!W15+HISTODEC244!W15</f>
        <v>0</v>
      </c>
      <c r="X15" s="9">
        <f>HISTOJANV24!X15+HISTOFEV24!X15+HISTOMARS24!X15+HISTOAVRIL24!X15+HISTOMAI24!X15+HISTOJUIN24!X15+HISTOJUIL24!X15+HISTOAOUT24!X15+HISTOSEPT24!X15+HISTOOCT24!X15+HISTONOV24!X15+HISTODEC244!X15</f>
        <v>0</v>
      </c>
      <c r="Y15" s="9">
        <f>HISTOJANV24!Y15+HISTOFEV24!Y15+HISTOMARS24!Y15+HISTOAVRIL24!Y15+HISTOMAI24!Y15+HISTOJUIN24!Y15+HISTOJUIL24!Y15+HISTOAOUT24!Y15+HISTOSEPT24!Y15+HISTOOCT24!Y15+HISTONOV24!Y15+HISTODEC244!Y15</f>
        <v>0</v>
      </c>
      <c r="Z15" s="9">
        <f>HISTOJANV24!Z15+HISTOFEV24!Z15+HISTOMARS24!Z15+HISTOAVRIL24!Z15+HISTOMAI24!Z15+HISTOJUIN24!Z15+HISTOJUIL24!Z15+HISTOAOUT24!Z15+HISTOSEPT24!Z15+HISTOOCT24!Z15+HISTONOV24!Z15+HISTODEC244!Z15</f>
        <v>1000000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HISTOJANV24!AC15+HISTOFEV24!AC15+HISTOMARS24!AC15+HISTOAVRIL24!AC15+HISTOMAI24!AC15+HISTOJUIN24!AC15+HISTOJUIL24!AC15+HISTOAOUT24!AC15+HISTOSEPT24!AC15+HISTOOCT24!AC15+HISTONOV24!AC15+HISTODEC244!AC15</f>
        <v>10000</v>
      </c>
      <c r="AD15" s="9">
        <f>HISTOJANV24!AD15+HISTOFEV24!AD15+HISTOMARS24!AD15+HISTOAVRIL24!AD15+HISTOMAI24!AD15+HISTOJUIN24!AD15+HISTOJUIL24!AD15+HISTOAOUT24!AD15+HISTOSEPT24!AD15+HISTOOCT24!AD15+HISTONOV24!AD15+HISTODEC244!AD15</f>
        <v>7500</v>
      </c>
      <c r="AE15" s="9">
        <f>HISTOJANV24!AE15+HISTOFEV24!AE15+HISTOMARS24!AE15+HISTOAVRIL24!AE15+HISTOMAI24!AE15+HISTOJUIN24!AE15+HISTOJUIL24!AE15+HISTOAOUT24!AE15+HISTOSEPT24!AE15+HISTOOCT24!AE15+HISTONOV24!AE15+HISTODEC244!AE15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HISTOJANV24!AH15+HISTOFEV24!AH15+HISTOMARS24!AH15+HISTOAVRIL24!AH15+HISTOMAI24!AH15+HISTOJUIN24!AH15+HISTOJUIL24!AH15+HISTOAOUT24!AH15+HISTOSEPT24!AH15+HISTOOCT24!AH15+HISTONOV24!AH15+HISTODEC244!AH15</f>
        <v>0</v>
      </c>
      <c r="AI15" s="9">
        <f>HISTOJANV24!AI15+HISTOFEV24!AI15+HISTOMARS24!AI15+HISTOAVRIL24!AI15+HISTOMAI24!AI15+HISTOJUIN24!AI15+HISTOJUIL24!AI15+HISTOAOUT24!AI15+HISTOSEPT24!AI15+HISTOOCT24!AI15+HISTONOV24!AI15+HISTODEC244!AI15</f>
        <v>0</v>
      </c>
      <c r="AJ15" s="9">
        <f>HISTOJANV24!AJ15+HISTOFEV24!AJ15+HISTOMARS24!AJ15+HISTOAVRIL24!AJ15+HISTOMAI24!AJ15+HISTOJUIN24!AJ15+HISTOJUIL24!AJ15+HISTOAOUT24!AJ15+HISTOSEPT24!AJ15+HISTOOCT24!AJ15+HISTONOV24!AJ15+HISTODEC244!AJ15</f>
        <v>0</v>
      </c>
      <c r="AK15" s="9">
        <f>HISTOJANV24!AK15+HISTOFEV24!AK15+HISTOMARS24!AK15+HISTOAVRIL24!AK15+HISTOMAI24!AK15+HISTOJUIN24!AK15+HISTOJUIL24!AK15+HISTOAOUT24!AK15+HISTOSEPT24!AK15+HISTOOCT24!AK15+HISTONOV24!AK15+HISTODEC244!AK15</f>
        <v>0</v>
      </c>
      <c r="AL15" s="9">
        <f>HISTOJANV24!AL15+HISTOFEV24!AL15+HISTOMARS24!AL15+HISTOAVRIL24!AL15+HISTOMAI24!AL15+HISTOJUIN24!AL15+HISTOJUIL24!AL15+HISTOAOUT24!AL15+HISTOSEPT24!AL15+HISTOOCT24!AL15+HISTONOV24!AL15+HISTODEC244!AL15</f>
        <v>0</v>
      </c>
      <c r="AM15" s="9">
        <f>HISTOJANV24!AM15+HISTOFEV24!AM15+HISTOMARS24!AM15+HISTOAVRIL24!AM15+HISTOMAI24!AM15+HISTOJUIN24!AM15+HISTOJUIL24!AM15+HISTOAOUT24!AM15+HISTOSEPT24!AM15+HISTOOCT24!AM15+HISTONOV24!AM15+HISTODEC244!AM15</f>
        <v>0</v>
      </c>
      <c r="AN15" s="9">
        <f>HISTOJANV24!AN15+HISTOFEV24!AN15+HISTOMARS24!AN15+HISTOAVRIL24!AN15+HISTOMAI24!AN15+HISTOJUIN24!AN15+HISTOJUIL24!AN15+HISTOAOUT24!AN15+HISTOSEPT24!AN15+HISTOOCT24!AN15+HISTONOV24!AN15+HISTODEC244!AN15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HISTOJANV24!AW15+HISTOFEV24!AW15+HISTOMARS24!AW15+HISTOAVRIL24!AW15+HISTOMAI24!AW15+HISTOJUIN24!AW15+HISTOJUIL24!AW15+HISTOAOUT24!AW15+HISTOSEPT24!AW15+HISTOOCT24!AW15+HISTONOV24!AW15+HISTODEC244!AW15</f>
        <v>290000</v>
      </c>
      <c r="AX15" s="9">
        <f>HISTOJANV24!AX15+HISTOFEV24!AX15+HISTOMARS24!AX15+HISTOAVRIL24!AX15+HISTOMAI24!AX15+HISTOJUIN24!AX15+HISTOJUIL24!AX15+HISTOAOUT24!AX15+HISTOSEPT24!AX15+HISTOOCT24!AX15+HISTONOV24!AX15+HISTODEC244!AX15</f>
        <v>892500</v>
      </c>
      <c r="AY15" s="9">
        <f>HISTOJANV24!AY15+HISTOFEV24!AY15+HISTOMARS24!AY15+HISTOAVRIL24!AY15+HISTOMAI24!AY15+HISTOJUIN24!AY15+HISTOJUIL24!AY15+HISTOAOUT24!AY15+HISTOSEPT24!AY15+HISTOOCT24!AY15+HISTONOV24!AY15+HISTODEC244!AY15</f>
        <v>0</v>
      </c>
      <c r="AZ15" s="9">
        <f>HISTOJANV24!AZ15+HISTOFEV24!AZ15+HISTOMARS24!AZ15+HISTOAVRIL24!AZ15+HISTOMAI24!AZ15+HISTOJUIN24!AZ15+HISTOJUIL24!AZ15+HISTOAOUT24!AZ15+HISTOSEPT24!AZ15+HISTOOCT24!AZ15+HISTONOV24!AZ15+HISTODEC244!AZ15</f>
        <v>2112500</v>
      </c>
      <c r="BA15" s="9">
        <f>HISTOJANV24!BA15+HISTOFEV24!BA15+HISTOMARS24!BA15+HISTOAVRIL24!BA15+HISTOMAI24!BA15+HISTOJUIN24!BA15+HISTOJUIL24!BA15+HISTOAOUT24!BA15+HISTOSEPT24!BA15+HISTOOCT24!BA15+HISTONOV24!BA15+HISTODEC244!BA15</f>
        <v>0</v>
      </c>
      <c r="BB15" s="9">
        <f>HISTOJANV24!BB15+HISTOFEV24!BB15+HISTOMARS24!BB15+HISTOAVRIL24!BB15+HISTOMAI24!BB15+HISTOJUIN24!BB15+HISTOJUIL24!BB15+HISTOAOUT24!BB15+HISTOSEPT24!BB15+HISTOOCT24!BB15+HISTONOV24!BB15+HISTODEC244!BB15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HISTOJANV24!BD15+HISTOFEV24!BD15+HISTOMARS24!BD15+HISTOAVRIL24!BD15+HISTOMAI24!BD15+HISTOJUIN24!BD15+HISTOJUIL24!BD15+HISTOAOUT24!BD15+HISTOSEPT24!BD15+HISTOOCT24!BD15+HISTONOV24!BD15+HISTODEC244!BD15</f>
        <v>2112500</v>
      </c>
      <c r="BE15" s="82"/>
      <c r="BF15" s="9">
        <f>HISTOJANV24!BF15+HISTOFEV24!BF15+HISTOMARS24!BF15+HISTOAVRIL24!BF15+HISTOMAI24!BF15+HISTOJUIN24!BF15+HISTOJUIL24!BF15+HISTOAOUT24!BF15+HISTOSEPT24!BF15+HISTOOCT24!BF15+HISTONOV24!BF15+HISTODEC244!BF15</f>
        <v>70000</v>
      </c>
      <c r="BG15" s="29"/>
      <c r="BH15" s="15"/>
      <c r="BI15" s="15"/>
      <c r="BJ15" s="15"/>
      <c r="BK15" s="15"/>
      <c r="BL15" s="61"/>
      <c r="BQ15" s="6"/>
    </row>
    <row r="16" spans="1:69" ht="18.5" x14ac:dyDescent="0.45">
      <c r="A16" s="1" t="s">
        <v>21</v>
      </c>
      <c r="B16" s="1">
        <v>250000</v>
      </c>
      <c r="C16" s="5"/>
      <c r="D16" s="9">
        <f>HISTOJANV24!D16+HISTOFEV24!D16+HISTOMARS24!D16+HISTOAVRIL24!D16+HISTOMAI24!D16+HISTOJUIN24!D16+HISTOJUIL24!D16+HISTOAOUT24!D16+HISTOSEPT24!D16+HISTOOCT24!D16+HISTONOV24!D16+HISTODEC244!D16</f>
        <v>4549000</v>
      </c>
      <c r="E16" s="9">
        <f>HISTOJANV24!E16+HISTOFEV24!E16+HISTOMARS24!E16+HISTOAVRIL24!E16+HISTOMAI24!E16+HISTOJUIN24!E16+HISTOJUIL24!E16+HISTOAOUT24!E16+HISTOSEPT24!E16+HISTOOCT24!E16+HISTONOV24!E16+HISTODEC244!E16</f>
        <v>202000</v>
      </c>
      <c r="F16" s="9">
        <f>HISTOJANV24!F16+HISTOFEV24!F16+HISTOMARS24!F16+HISTOAVRIL24!F16+HISTOMAI24!F16+HISTOJUIN24!F16+HISTOJUIL24!F16+HISTOAOUT24!F16+HISTOSEPT24!F16+HISTOOCT24!F16+HISTONOV24!F16+HISTODEC244!F16</f>
        <v>0</v>
      </c>
      <c r="G16" s="9">
        <f>HISTOJANV24!G16+HISTOFEV24!G16+HISTOMARS24!G16+HISTOAVRIL24!G16+HISTOMAI24!G16+HISTOJUIN24!G16+HISTOJUIL24!G16+HISTOAOUT24!G16+HISTOSEPT24!G16+HISTOOCT24!G16+HISTONOV24!G16+HISTODEC244!G16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HISTOJANV24!I16+HISTOFEV24!I16+HISTOMARS24!I16+HISTOAVRIL24!I16+HISTOMAI24!I16+HISTOJUIN24!I16+HISTOJUIL24!I16+HISTOAOUT24!I16+HISTOSEPT24!I16+HISTOOCT24!I16+HISTONOV24!I16+HISTODEC244!I16</f>
        <v>359000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HISTOJANV24!P16+HISTOFEV24!P16+HISTOMARS24!P16+HISTOAVRIL24!P16+HISTOMAI24!P16+HISTOJUIN24!P16+HISTOJUIL24!P16+HISTOAOUT24!P16+HISTOSEPT24!P16+HISTOOCT24!P16+HISTONOV24!P16+HISTODEC244!P16</f>
        <v>0</v>
      </c>
      <c r="Q16" s="9">
        <f>HISTOJANV24!Q16+HISTOFEV24!Q16+HISTOMARS24!Q16+HISTOAVRIL24!Q16+HISTOMAI24!Q16+HISTOJUIN24!Q16+HISTOJUIL24!Q16+HISTOAOUT24!Q16+HISTOSEPT24!Q16+HISTOOCT24!Q16+HISTONOV24!Q16+HISTODEC244!Q16</f>
        <v>404000</v>
      </c>
      <c r="R16" s="9">
        <f>HISTOJANV24!R16+HISTOFEV24!R16+HISTOMARS24!R16+HISTOAVRIL24!R16+HISTOMAI24!R16+HISTOJUIN24!R16+HISTOJUIL24!R16+HISTOAOUT24!R16+HISTOSEPT24!R16+HISTOOCT24!R16+HISTONOV24!R16+HISTODEC244!R16</f>
        <v>809500</v>
      </c>
      <c r="S16" s="9">
        <f>HISTOJANV24!S16+HISTOFEV24!S16+HISTOMARS24!S16+HISTOAVRIL24!S16+HISTOMAI24!S16+HISTOJUIN24!S16+HISTOJUIL24!S16+HISTOAOUT24!S16+HISTOSEPT24!S16+HISTOOCT24!S16+HISTONOV24!S16+HISTODEC244!S16</f>
        <v>1238500</v>
      </c>
      <c r="T16" s="12"/>
      <c r="U16" s="17">
        <f t="shared" si="5"/>
        <v>3036000</v>
      </c>
      <c r="V16" s="9">
        <f>HISTOJANV24!V16+HISTOFEV24!V16+HISTOMARS24!V16+HISTOAVRIL24!V16+HISTOMAI24!V16+HISTOJUIN24!V16+HISTOJUIL24!V16+HISTOAOUT24!V16+HISTOSEPT24!V16+HISTOOCT24!V16+HISTONOV24!V16+HISTODEC244!V16</f>
        <v>0</v>
      </c>
      <c r="W16" s="9">
        <f>HISTOJANV24!W16+HISTOFEV24!W16+HISTOMARS24!W16+HISTOAVRIL24!W16+HISTOMAI24!W16+HISTOJUIN24!W16+HISTOJUIL24!W16+HISTOAOUT24!W16+HISTOSEPT24!W16+HISTOOCT24!W16+HISTONOV24!W16+HISTODEC244!W16</f>
        <v>0</v>
      </c>
      <c r="X16" s="9">
        <f>HISTOJANV24!X16+HISTOFEV24!X16+HISTOMARS24!X16+HISTOAVRIL24!X16+HISTOMAI24!X16+HISTOJUIN24!X16+HISTOJUIL24!X16+HISTOAOUT24!X16+HISTOSEPT24!X16+HISTOOCT24!X16+HISTONOV24!X16+HISTODEC244!X16</f>
        <v>0</v>
      </c>
      <c r="Y16" s="9">
        <f>HISTOJANV24!Y16+HISTOFEV24!Y16+HISTOMARS24!Y16+HISTOAVRIL24!Y16+HISTOMAI24!Y16+HISTOJUIN24!Y16+HISTOJUIL24!Y16+HISTOAOUT24!Y16+HISTOSEPT24!Y16+HISTOOCT24!Y16+HISTONOV24!Y16+HISTODEC244!Y16</f>
        <v>0</v>
      </c>
      <c r="Z16" s="9">
        <f>HISTOJANV24!Z16+HISTOFEV24!Z16+HISTOMARS24!Z16+HISTOAVRIL24!Z16+HISTOMAI24!Z16+HISTOJUIN24!Z16+HISTOJUIL24!Z16+HISTOAOUT24!Z16+HISTOSEPT24!Z16+HISTOOCT24!Z16+HISTONOV24!Z16+HISTODEC244!Z16</f>
        <v>1000000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HISTOJANV24!AC16+HISTOFEV24!AC16+HISTOMARS24!AC16+HISTOAVRIL24!AC16+HISTOMAI24!AC16+HISTOJUIN24!AC16+HISTOJUIL24!AC16+HISTOAOUT24!AC16+HISTOSEPT24!AC16+HISTOOCT24!AC16+HISTONOV24!AC16+HISTODEC244!AC16</f>
        <v>12000</v>
      </c>
      <c r="AD16" s="9">
        <f>HISTOJANV24!AD16+HISTOFEV24!AD16+HISTOMARS24!AD16+HISTOAVRIL24!AD16+HISTOMAI24!AD16+HISTOJUIN24!AD16+HISTOJUIL24!AD16+HISTOAOUT24!AD16+HISTOSEPT24!AD16+HISTOOCT24!AD16+HISTONOV24!AD16+HISTODEC244!AD16</f>
        <v>7500</v>
      </c>
      <c r="AE16" s="9">
        <f>HISTOJANV24!AE16+HISTOFEV24!AE16+HISTOMARS24!AE16+HISTOAVRIL24!AE16+HISTOMAI24!AE16+HISTOJUIN24!AE16+HISTOJUIL24!AE16+HISTOAOUT24!AE16+HISTOSEPT24!AE16+HISTOOCT24!AE16+HISTONOV24!AE16+HISTODEC244!AE16</f>
        <v>15000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HISTOJANV24!AH16+HISTOFEV24!AH16+HISTOMARS24!AH16+HISTOAVRIL24!AH16+HISTOMAI24!AH16+HISTOJUIN24!AH16+HISTOJUIL24!AH16+HISTOAOUT24!AH16+HISTOSEPT24!AH16+HISTOOCT24!AH16+HISTONOV24!AH16+HISTODEC244!AH16</f>
        <v>0</v>
      </c>
      <c r="AI16" s="9">
        <f>HISTOJANV24!AI16+HISTOFEV24!AI16+HISTOMARS24!AI16+HISTOAVRIL24!AI16+HISTOMAI24!AI16+HISTOJUIN24!AI16+HISTOJUIL24!AI16+HISTOAOUT24!AI16+HISTOSEPT24!AI16+HISTOOCT24!AI16+HISTONOV24!AI16+HISTODEC244!AI16</f>
        <v>0</v>
      </c>
      <c r="AJ16" s="9">
        <f>HISTOJANV24!AJ16+HISTOFEV24!AJ16+HISTOMARS24!AJ16+HISTOAVRIL24!AJ16+HISTOMAI24!AJ16+HISTOJUIN24!AJ16+HISTOJUIL24!AJ16+HISTOAOUT24!AJ16+HISTOSEPT24!AJ16+HISTOOCT24!AJ16+HISTONOV24!AJ16+HISTODEC244!AJ16</f>
        <v>400000</v>
      </c>
      <c r="AK16" s="9">
        <f>HISTOJANV24!AK16+HISTOFEV24!AK16+HISTOMARS24!AK16+HISTOAVRIL24!AK16+HISTOMAI24!AK16+HISTOJUIN24!AK16+HISTOJUIL24!AK16+HISTOAOUT24!AK16+HISTOSEPT24!AK16+HISTOOCT24!AK16+HISTONOV24!AK16+HISTODEC244!AK16</f>
        <v>800000</v>
      </c>
      <c r="AL16" s="9">
        <f>HISTOJANV24!AL16+HISTOFEV24!AL16+HISTOMARS24!AL16+HISTOAVRIL24!AL16+HISTOMAI24!AL16+HISTOJUIN24!AL16+HISTOJUIL24!AL16+HISTOAOUT24!AL16+HISTOSEPT24!AL16+HISTOOCT24!AL16+HISTONOV24!AL16+HISTODEC244!AL16</f>
        <v>0</v>
      </c>
      <c r="AM16" s="9">
        <f>HISTOJANV24!AM16+HISTOFEV24!AM16+HISTOMARS24!AM16+HISTOAVRIL24!AM16+HISTOMAI24!AM16+HISTOJUIN24!AM16+HISTOJUIL24!AM16+HISTOAOUT24!AM16+HISTOSEPT24!AM16+HISTOOCT24!AM16+HISTONOV24!AM16+HISTODEC244!AM16</f>
        <v>4000</v>
      </c>
      <c r="AN16" s="9">
        <f>HISTOJANV24!AN16+HISTOFEV24!AN16+HISTOMARS24!AN16+HISTOAVRIL24!AN16+HISTOMAI24!AN16+HISTOJUIN24!AN16+HISTOJUIL24!AN16+HISTOAOUT24!AN16+HISTOSEPT24!AN16+HISTOOCT24!AN16+HISTONOV24!AN16+HISTODEC244!AN16</f>
        <v>9500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384000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HISTOJANV24!AW16+HISTOFEV24!AW16+HISTOMARS24!AW16+HISTOAVRIL24!AW16+HISTOMAI24!AW16+HISTOJUIN24!AW16+HISTOJUIL24!AW16+HISTOAOUT24!AW16+HISTOSEPT24!AW16+HISTOOCT24!AW16+HISTONOV24!AW16+HISTODEC244!AW16</f>
        <v>288000</v>
      </c>
      <c r="AX16" s="9">
        <f>HISTOJANV24!AX16+HISTOFEV24!AX16+HISTOMARS24!AX16+HISTOAVRIL24!AX16+HISTOMAI24!AX16+HISTOJUIN24!AX16+HISTOJUIL24!AX16+HISTOAOUT24!AX16+HISTOSEPT24!AX16+HISTOOCT24!AX16+HISTONOV24!AX16+HISTODEC244!AX16</f>
        <v>1292500</v>
      </c>
      <c r="AY16" s="9">
        <f>HISTOJANV24!AY16+HISTOFEV24!AY16+HISTOMARS24!AY16+HISTOAVRIL24!AY16+HISTOMAI24!AY16+HISTOJUIN24!AY16+HISTOJUIL24!AY16+HISTOAOUT24!AY16+HISTOSEPT24!AY16+HISTOOCT24!AY16+HISTONOV24!AY16+HISTODEC244!AY16</f>
        <v>1985000</v>
      </c>
      <c r="AZ16" s="9">
        <f>HISTOJANV24!AZ16+HISTOFEV24!AZ16+HISTOMARS24!AZ16+HISTOAVRIL24!AZ16+HISTOMAI24!AZ16+HISTOJUIN24!AZ16+HISTOJUIL24!AZ16+HISTOAOUT24!AZ16+HISTOSEPT24!AZ16+HISTOOCT24!AZ16+HISTONOV24!AZ16+HISTODEC244!AZ16</f>
        <v>4545500</v>
      </c>
      <c r="BA16" s="9">
        <f>HISTOJANV24!BA16+HISTOFEV24!BA16+HISTOMARS24!BA16+HISTOAVRIL24!BA16+HISTOMAI24!BA16+HISTOJUIN24!BA16+HISTOJUIL24!BA16+HISTOAOUT24!BA16+HISTOSEPT24!BA16+HISTOOCT24!BA16+HISTONOV24!BA16+HISTODEC244!BA16</f>
        <v>0</v>
      </c>
      <c r="BB16" s="9">
        <f>HISTOJANV24!BB16+HISTOFEV24!BB16+HISTOMARS24!BB16+HISTOAVRIL24!BB16+HISTOMAI24!BB16+HISTOJUIN24!BB16+HISTOJUIL24!BB16+HISTOAOUT24!BB16+HISTOSEPT24!BB16+HISTOOCT24!BB16+HISTONOV24!BB16+HISTODEC244!BB16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HISTOJANV24!BD16+HISTOFEV24!BD16+HISTOMARS24!BD16+HISTOAVRIL24!BD16+HISTOMAI24!BD16+HISTOJUIN24!BD16+HISTOJUIL24!BD16+HISTOAOUT24!BD16+HISTOSEPT24!BD16+HISTOOCT24!BD16+HISTONOV24!BD16+HISTODEC244!BD16</f>
        <v>4545500</v>
      </c>
      <c r="BE16" s="82"/>
      <c r="BF16" s="9">
        <f>HISTOJANV24!BF16+HISTOFEV24!BF16+HISTOMARS24!BF16+HISTOAVRIL24!BF16+HISTOMAI24!BF16+HISTOJUIN24!BF16+HISTOJUIL24!BF16+HISTOAOUT24!BF16+HISTOSEPT24!BF16+HISTOOCT24!BF16+HISTONOV24!BF16+HISTODEC244!BF16</f>
        <v>20000</v>
      </c>
      <c r="BG16" s="29"/>
      <c r="BH16" s="15"/>
      <c r="BI16" s="15"/>
      <c r="BJ16" s="15"/>
      <c r="BK16" s="15"/>
      <c r="BL16" s="61"/>
      <c r="BO16" s="62" t="s">
        <v>142</v>
      </c>
      <c r="BQ16" s="62">
        <f>SUM(BQ6:BQ15)</f>
        <v>4251000</v>
      </c>
    </row>
    <row r="17" spans="1:69" ht="18.5" x14ac:dyDescent="0.45">
      <c r="A17" s="1" t="s">
        <v>22</v>
      </c>
      <c r="B17" s="1">
        <v>150000</v>
      </c>
      <c r="C17" s="5"/>
      <c r="D17" s="9">
        <f>HISTOJANV24!D17+HISTOFEV24!D17+HISTOMARS24!D17+HISTOAVRIL24!D17+HISTOMAI24!D17+HISTOJUIN24!D17+HISTOJUIL24!D17+HISTOAOUT24!D17+HISTOSEPT24!D17+HISTOOCT24!D17+HISTONOV24!D17+HISTODEC244!D17</f>
        <v>2385000</v>
      </c>
      <c r="E17" s="9">
        <f>HISTOJANV24!E17+HISTOFEV24!E17+HISTOMARS24!E17+HISTOAVRIL24!E17+HISTOMAI24!E17+HISTOJUIN24!E17+HISTOJUIL24!E17+HISTOAOUT24!E17+HISTOSEPT24!E17+HISTOOCT24!E17+HISTONOV24!E17+HISTODEC244!E17</f>
        <v>310000</v>
      </c>
      <c r="F17" s="9">
        <f>HISTOJANV24!F17+HISTOFEV24!F17+HISTOMARS24!F17+HISTOAVRIL24!F17+HISTOMAI24!F17+HISTOJUIN24!F17+HISTOJUIL24!F17+HISTOAOUT24!F17+HISTOSEPT24!F17+HISTOOCT24!F17+HISTONOV24!F17+HISTODEC244!F17</f>
        <v>500000</v>
      </c>
      <c r="G17" s="9">
        <f>HISTOJANV24!G17+HISTOFEV24!G17+HISTOMARS24!G17+HISTOAVRIL24!G17+HISTOMAI24!G17+HISTOJUIN24!G17+HISTOJUIL24!G17+HISTOAOUT24!G17+HISTOSEPT24!G17+HISTOOCT24!G17+HISTONOV24!G17+HISTODEC244!G17</f>
        <v>6000</v>
      </c>
      <c r="H17" s="10"/>
      <c r="I17" s="9">
        <f>HISTOJANV24!I17+HISTOFEV24!I17+HISTOMARS24!I17+HISTOAVRIL24!I17+HISTOMAI24!I17+HISTOJUIN24!I17+HISTOJUIL24!I17+HISTOAOUT24!I17+HISTOSEPT24!I17+HISTOOCT24!I17+HISTONOV24!I17+HISTODEC244!I17</f>
        <v>-4000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HISTOJANV24!P17+HISTOFEV24!P17+HISTOMARS24!P17+HISTOAVRIL24!P17+HISTOMAI24!P17+HISTOJUIN24!P17+HISTOJUIL24!P17+HISTOAOUT24!P17+HISTOSEPT24!P17+HISTOOCT24!P17+HISTONOV24!P17+HISTODEC244!P17</f>
        <v>81000</v>
      </c>
      <c r="Q17" s="9">
        <f>HISTOJANV24!Q17+HISTOFEV24!Q17+HISTOMARS24!Q17+HISTOAVRIL24!Q17+HISTOMAI24!Q17+HISTOJUIN24!Q17+HISTOJUIL24!Q17+HISTOAOUT24!Q17+HISTOSEPT24!Q17+HISTOOCT24!Q17+HISTONOV24!Q17+HISTODEC244!Q17</f>
        <v>0</v>
      </c>
      <c r="R17" s="9">
        <f>HISTOJANV24!R17+HISTOFEV24!R17+HISTOMARS24!R17+HISTOAVRIL24!R17+HISTOMAI24!R17+HISTOJUIN24!R17+HISTOJUIL24!R17+HISTOAOUT24!R17+HISTOSEPT24!R17+HISTOOCT24!R17+HISTONOV24!R17+HISTODEC244!R17</f>
        <v>917500</v>
      </c>
      <c r="S17" s="9">
        <f>HISTOJANV24!S17+HISTOFEV24!S17+HISTOMARS24!S17+HISTOAVRIL24!S17+HISTOMAI24!S17+HISTOJUIN24!S17+HISTOJUIL24!S17+HISTOAOUT24!S17+HISTOSEPT24!S17+HISTOOCT24!S17+HISTONOV24!S17+HISTODEC244!S17</f>
        <v>670000</v>
      </c>
      <c r="T17" s="12"/>
      <c r="U17" s="17">
        <f t="shared" si="5"/>
        <v>1820500</v>
      </c>
      <c r="V17" s="9">
        <f>HISTOJANV24!V17+HISTOFEV24!V17+HISTOMARS24!V17+HISTOAVRIL24!V17+HISTOMAI24!V17+HISTOJUIN24!V17+HISTOJUIL24!V17+HISTOAOUT24!V17+HISTOSEPT24!V17+HISTOOCT24!V17+HISTONOV24!V17+HISTODEC244!V17</f>
        <v>0</v>
      </c>
      <c r="W17" s="9">
        <f>HISTOJANV24!W17+HISTOFEV24!W17+HISTOMARS24!W17+HISTOAVRIL24!W17+HISTOMAI24!W17+HISTOJUIN24!W17+HISTOJUIL24!W17+HISTOAOUT24!W17+HISTOSEPT24!W17+HISTOOCT24!W17+HISTONOV24!W17+HISTODEC244!W17</f>
        <v>0</v>
      </c>
      <c r="X17" s="9">
        <f>HISTOJANV24!X17+HISTOFEV24!X17+HISTOMARS24!X17+HISTOAVRIL24!X17+HISTOMAI24!X17+HISTOJUIN24!X17+HISTOJUIL24!X17+HISTOAOUT24!X17+HISTOSEPT24!X17+HISTOOCT24!X17+HISTONOV24!X17+HISTODEC244!X17</f>
        <v>0</v>
      </c>
      <c r="Y17" s="9">
        <f>HISTOJANV24!Y17+HISTOFEV24!Y17+HISTOMARS24!Y17+HISTOAVRIL24!Y17+HISTOMAI24!Y17+HISTOJUIN24!Y17+HISTOJUIL24!Y17+HISTOAOUT24!Y17+HISTOSEPT24!Y17+HISTOOCT24!Y17+HISTONOV24!Y17+HISTODEC244!Y17</f>
        <v>0</v>
      </c>
      <c r="Z17" s="9">
        <f>HISTOJANV24!Z17+HISTOFEV24!Z17+HISTOMARS24!Z17+HISTOAVRIL24!Z17+HISTOMAI24!Z17+HISTOJUIN24!Z17+HISTOJUIL24!Z17+HISTOAOUT24!Z17+HISTOSEPT24!Z17+HISTOOCT24!Z17+HISTONOV24!Z17+HISTODEC244!Z17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HISTOJANV24!AC17+HISTOFEV24!AC17+HISTOMARS24!AC17+HISTOAVRIL24!AC17+HISTOMAI24!AC17+HISTOJUIN24!AC17+HISTOJUIL24!AC17+HISTOAOUT24!AC17+HISTOSEPT24!AC17+HISTOOCT24!AC17+HISTONOV24!AC17+HISTODEC244!AC17</f>
        <v>17000</v>
      </c>
      <c r="AD17" s="9">
        <f>HISTOJANV24!AD17+HISTOFEV24!AD17+HISTOMARS24!AD17+HISTOAVRIL24!AD17+HISTOMAI24!AD17+HISTOJUIN24!AD17+HISTOJUIL24!AD17+HISTOAOUT24!AD17+HISTOSEPT24!AD17+HISTOOCT24!AD17+HISTONOV24!AD17+HISTODEC244!AD17</f>
        <v>0</v>
      </c>
      <c r="AE17" s="9">
        <f>HISTOJANV24!AE17+HISTOFEV24!AE17+HISTOMARS24!AE17+HISTOAVRIL24!AE17+HISTOMAI24!AE17+HISTOJUIN24!AE17+HISTOJUIL24!AE17+HISTOAOUT24!AE17+HISTOSEPT24!AE17+HISTOOCT24!AE17+HISTONOV24!AE17+HISTODEC244!AE17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HISTOJANV24!AH17+HISTOFEV24!AH17+HISTOMARS24!AH17+HISTOAVRIL24!AH17+HISTOMAI24!AH17+HISTOJUIN24!AH17+HISTOJUIL24!AH17+HISTOAOUT24!AH17+HISTOSEPT24!AH17+HISTOOCT24!AH17+HISTONOV24!AH17+HISTODEC244!AH17</f>
        <v>0</v>
      </c>
      <c r="AI17" s="9">
        <f>HISTOJANV24!AI17+HISTOFEV24!AI17+HISTOMARS24!AI17+HISTOAVRIL24!AI17+HISTOMAI24!AI17+HISTOJUIN24!AI17+HISTOJUIL24!AI17+HISTOAOUT24!AI17+HISTOSEPT24!AI17+HISTOOCT24!AI17+HISTONOV24!AI17+HISTODEC244!AI17</f>
        <v>80000</v>
      </c>
      <c r="AJ17" s="9">
        <f>HISTOJANV24!AJ17+HISTOFEV24!AJ17+HISTOMARS24!AJ17+HISTOAVRIL24!AJ17+HISTOMAI24!AJ17+HISTOJUIN24!AJ17+HISTOJUIL24!AJ17+HISTOAOUT24!AJ17+HISTOSEPT24!AJ17+HISTOOCT24!AJ17+HISTONOV24!AJ17+HISTODEC244!AJ17</f>
        <v>0</v>
      </c>
      <c r="AK17" s="9">
        <f>HISTOJANV24!AK17+HISTOFEV24!AK17+HISTOMARS24!AK17+HISTOAVRIL24!AK17+HISTOMAI24!AK17+HISTOJUIN24!AK17+HISTOJUIL24!AK17+HISTOAOUT24!AK17+HISTOSEPT24!AK17+HISTOOCT24!AK17+HISTONOV24!AK17+HISTODEC244!AK17</f>
        <v>905500</v>
      </c>
      <c r="AL17" s="9">
        <f>HISTOJANV24!AL17+HISTOFEV24!AL17+HISTOMARS24!AL17+HISTOAVRIL24!AL17+HISTOMAI24!AL17+HISTOJUIN24!AL17+HISTOJUIL24!AL17+HISTOAOUT24!AL17+HISTOSEPT24!AL17+HISTOOCT24!AL17+HISTONOV24!AL17+HISTODEC244!AL17</f>
        <v>1000</v>
      </c>
      <c r="AM17" s="9">
        <f>HISTOJANV24!AM17+HISTOFEV24!AM17+HISTOMARS24!AM17+HISTOAVRIL24!AM17+HISTOMAI24!AM17+HISTOJUIN24!AM17+HISTOJUIL24!AM17+HISTOAOUT24!AM17+HISTOSEPT24!AM17+HISTOOCT24!AM17+HISTONOV24!AM17+HISTODEC244!AM17</f>
        <v>0</v>
      </c>
      <c r="AN17" s="9">
        <f>HISTOJANV24!AN17+HISTOFEV24!AN17+HISTOMARS24!AN17+HISTOAVRIL24!AN17+HISTOMAI24!AN17+HISTOJUIN24!AN17+HISTOJUIL24!AN17+HISTOAOUT24!AN17+HISTOSEPT24!AN17+HISTOOCT24!AN17+HISTONOV24!AN17+HISTODEC244!AN17</f>
        <v>12000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21000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HISTOJANV24!AW17+HISTOFEV24!AW17+HISTOMARS24!AW17+HISTOAVRIL24!AW17+HISTOMAI24!AW17+HISTOJUIN24!AW17+HISTOJUIL24!AW17+HISTOAOUT24!AW17+HISTOSEPT24!AW17+HISTOOCT24!AW17+HISTONOV24!AW17+HISTODEC244!AW17</f>
        <v>363000</v>
      </c>
      <c r="AX17" s="9">
        <f>HISTOJANV24!AX17+HISTOFEV24!AX17+HISTOMARS24!AX17+HISTOAVRIL24!AX17+HISTOMAI24!AX17+HISTOJUIN24!AX17+HISTOJUIL24!AX17+HISTOAOUT24!AX17+HISTOSEPT24!AX17+HISTOOCT24!AX17+HISTONOV24!AX17+HISTODEC244!AX17</f>
        <v>0</v>
      </c>
      <c r="AY17" s="9">
        <f>HISTOJANV24!AY17+HISTOFEV24!AY17+HISTOMARS24!AY17+HISTOAVRIL24!AY17+HISTOMAI24!AY17+HISTOJUIN24!AY17+HISTOJUIL24!AY17+HISTOAOUT24!AY17+HISTOSEPT24!AY17+HISTOOCT24!AY17+HISTONOV24!AY17+HISTODEC244!AY17</f>
        <v>2035500</v>
      </c>
      <c r="AZ17" s="9">
        <f>HISTOJANV24!AZ17+HISTOFEV24!AZ17+HISTOMARS24!AZ17+HISTOAVRIL24!AZ17+HISTOMAI24!AZ17+HISTOJUIN24!AZ17+HISTOJUIL24!AZ17+HISTOAOUT24!AZ17+HISTOSEPT24!AZ17+HISTOOCT24!AZ17+HISTONOV24!AZ17+HISTODEC244!AZ17</f>
        <v>2948500</v>
      </c>
      <c r="BA17" s="9">
        <f>HISTOJANV24!BA17+HISTOFEV24!BA17+HISTOMARS24!BA17+HISTOAVRIL24!BA17+HISTOMAI24!BA17+HISTOJUIN24!BA17+HISTOJUIL24!BA17+HISTOAOUT24!BA17+HISTOSEPT24!BA17+HISTOOCT24!BA17+HISTONOV24!BA17+HISTODEC244!BA17</f>
        <v>450000</v>
      </c>
      <c r="BB17" s="9">
        <f>HISTOJANV24!BB17+HISTOFEV24!BB17+HISTOMARS24!BB17+HISTOAVRIL24!BB17+HISTOMAI24!BB17+HISTOJUIN24!BB17+HISTOJUIL24!BB17+HISTOAOUT24!BB17+HISTOSEPT24!BB17+HISTOOCT24!BB17+HISTONOV24!BB17+HISTODEC244!BB17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HISTOJANV24!BD17+HISTOFEV24!BD17+HISTOMARS24!BD17+HISTOAVRIL24!BD17+HISTOMAI24!BD17+HISTOJUIN24!BD17+HISTOJUIL24!BD17+HISTOAOUT24!BD17+HISTOSEPT24!BD17+HISTOOCT24!BD17+HISTONOV24!BD17+HISTODEC244!BD17</f>
        <v>2343000</v>
      </c>
      <c r="BE17" s="82"/>
      <c r="BF17" s="9">
        <f>HISTOJANV24!BF17+HISTOFEV24!BF17+HISTOMARS24!BF17+HISTOAVRIL24!BF17+HISTOMAI24!BF17+HISTOJUIN24!BF17+HISTOJUIL24!BF17+HISTOAOUT24!BF17+HISTOSEPT24!BF17+HISTOOCT24!BF17+HISTONOV24!BF17+HISTODEC244!BF17</f>
        <v>110000</v>
      </c>
      <c r="BG17" s="29"/>
      <c r="BH17" s="15"/>
      <c r="BI17" s="15"/>
      <c r="BJ17" s="15"/>
      <c r="BK17" s="15"/>
      <c r="BL17" s="61"/>
      <c r="BO17" s="62"/>
      <c r="BQ17" s="6"/>
    </row>
    <row r="18" spans="1:69" ht="18.5" x14ac:dyDescent="0.45">
      <c r="A18" s="1" t="s">
        <v>23</v>
      </c>
      <c r="B18" s="1">
        <v>150000</v>
      </c>
      <c r="C18" s="5"/>
      <c r="D18" s="9">
        <f>HISTOJANV24!D18+HISTOFEV24!D18+HISTOMARS24!D18+HISTOAVRIL24!D18+HISTOMAI24!D18+HISTOJUIN24!D18+HISTOJUIL24!D18+HISTOAOUT24!D18+HISTOSEPT24!D18+HISTOOCT24!D18+HISTONOV24!D18+HISTODEC244!D18</f>
        <v>3091000</v>
      </c>
      <c r="E18" s="9">
        <f>HISTOJANV24!E18+HISTOFEV24!E18+HISTOMARS24!E18+HISTOAVRIL24!E18+HISTOMAI24!E18+HISTOJUIN24!E18+HISTOJUIL24!E18+HISTOAOUT24!E18+HISTOSEPT24!E18+HISTOOCT24!E18+HISTONOV24!E18+HISTODEC244!E18</f>
        <v>1163000</v>
      </c>
      <c r="F18" s="9">
        <f>HISTOJANV24!F18+HISTOFEV24!F18+HISTOMARS24!F18+HISTOAVRIL24!F18+HISTOMAI24!F18+HISTOJUIN24!F18+HISTOJUIL24!F18+HISTOAOUT24!F18+HISTOSEPT24!F18+HISTOOCT24!F18+HISTONOV24!F18+HISTODEC244!F18</f>
        <v>0</v>
      </c>
      <c r="G18" s="9">
        <f>HISTOJANV24!G18+HISTOFEV24!G18+HISTOMARS24!G18+HISTOAVRIL24!G18+HISTOMAI24!G18+HISTOJUIN24!G18+HISTOJUIL24!G18+HISTOAOUT24!G18+HISTOSEPT24!G18+HISTOOCT24!G18+HISTONOV24!G18+HISTODEC244!G18</f>
        <v>6000</v>
      </c>
      <c r="H18" s="10"/>
      <c r="I18" s="9">
        <f>HISTOJANV24!I18+HISTOFEV24!I18+HISTOMARS24!I18+HISTOAVRIL24!I18+HISTOMAI24!I18+HISTOJUIN24!I18+HISTOJUIL24!I18+HISTOAOUT24!I18+HISTOSEPT24!I18+HISTOOCT24!I18+HISTONOV24!I18+HISTODEC244!I18</f>
        <v>92000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HISTOJANV24!P18+HISTOFEV24!P18+HISTOMARS24!P18+HISTOAVRIL24!P18+HISTOMAI24!P18+HISTOJUIN24!P18+HISTOJUIL24!P18+HISTOAOUT24!P18+HISTOSEPT24!P18+HISTOOCT24!P18+HISTONOV24!P18+HISTODEC244!P18</f>
        <v>0</v>
      </c>
      <c r="Q18" s="9">
        <f>HISTOJANV24!Q18+HISTOFEV24!Q18+HISTOMARS24!Q18+HISTOAVRIL24!Q18+HISTOMAI24!Q18+HISTOJUIN24!Q18+HISTOJUIL24!Q18+HISTOAOUT24!Q18+HISTOSEPT24!Q18+HISTOOCT24!Q18+HISTONOV24!Q18+HISTODEC244!Q18</f>
        <v>0</v>
      </c>
      <c r="R18" s="9">
        <f>HISTOJANV24!R18+HISTOFEV24!R18+HISTOMARS24!R18+HISTOAVRIL24!R18+HISTOMAI24!R18+HISTOJUIN24!R18+HISTOJUIL24!R18+HISTOAOUT24!R18+HISTOSEPT24!R18+HISTOOCT24!R18+HISTONOV24!R18+HISTODEC244!R18</f>
        <v>1013000</v>
      </c>
      <c r="S18" s="9">
        <f>HISTOJANV24!S18+HISTOFEV24!S18+HISTOMARS24!S18+HISTOAVRIL24!S18+HISTOMAI24!S18+HISTOJUIN24!S18+HISTOJUIL24!S18+HISTOAOUT24!S18+HISTOSEPT24!S18+HISTOOCT24!S18+HISTONOV24!S18+HISTODEC244!S18</f>
        <v>1350000</v>
      </c>
      <c r="T18" s="12"/>
      <c r="U18" s="17">
        <f t="shared" si="5"/>
        <v>2611000</v>
      </c>
      <c r="V18" s="9">
        <f>HISTOJANV24!V18+HISTOFEV24!V18+HISTOMARS24!V18+HISTOAVRIL24!V18+HISTOMAI24!V18+HISTOJUIN24!V18+HISTOJUIL24!V18+HISTOAOUT24!V18+HISTOSEPT24!V18+HISTOOCT24!V18+HISTONOV24!V18+HISTODEC244!V18</f>
        <v>0</v>
      </c>
      <c r="W18" s="9">
        <f>HISTOJANV24!W18+HISTOFEV24!W18+HISTOMARS24!W18+HISTOAVRIL24!W18+HISTOMAI24!W18+HISTOJUIN24!W18+HISTOJUIL24!W18+HISTOAOUT24!W18+HISTOSEPT24!W18+HISTOOCT24!W18+HISTONOV24!W18+HISTODEC244!W18</f>
        <v>0</v>
      </c>
      <c r="X18" s="9">
        <f>HISTOJANV24!X18+HISTOFEV24!X18+HISTOMARS24!X18+HISTOAVRIL24!X18+HISTOMAI24!X18+HISTOJUIN24!X18+HISTOJUIL24!X18+HISTOAOUT24!X18+HISTOSEPT24!X18+HISTOOCT24!X18+HISTONOV24!X18+HISTODEC244!X18</f>
        <v>0</v>
      </c>
      <c r="Y18" s="9">
        <f>HISTOJANV24!Y18+HISTOFEV24!Y18+HISTOMARS24!Y18+HISTOAVRIL24!Y18+HISTOMAI24!Y18+HISTOJUIN24!Y18+HISTOJUIL24!Y18+HISTOAOUT24!Y18+HISTOSEPT24!Y18+HISTOOCT24!Y18+HISTONOV24!Y18+HISTODEC244!Y18</f>
        <v>0</v>
      </c>
      <c r="Z18" s="9">
        <f>HISTOJANV24!Z18+HISTOFEV24!Z18+HISTOMARS24!Z18+HISTOAVRIL24!Z18+HISTOMAI24!Z18+HISTOJUIN24!Z18+HISTOJUIL24!Z18+HISTOAOUT24!Z18+HISTOSEPT24!Z18+HISTOOCT24!Z18+HISTONOV24!Z18+HISTODEC244!Z18</f>
        <v>1350000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HISTOJANV24!AC18+HISTOFEV24!AC18+HISTOMARS24!AC18+HISTOAVRIL24!AC18+HISTOMAI24!AC18+HISTOJUIN24!AC18+HISTOJUIL24!AC18+HISTOAOUT24!AC18+HISTOSEPT24!AC18+HISTOOCT24!AC18+HISTONOV24!AC18+HISTODEC244!AC18</f>
        <v>13000</v>
      </c>
      <c r="AD18" s="9">
        <f>HISTOJANV24!AD18+HISTOFEV24!AD18+HISTOMARS24!AD18+HISTOAVRIL24!AD18+HISTOMAI24!AD18+HISTOJUIN24!AD18+HISTOJUIL24!AD18+HISTOAOUT24!AD18+HISTOSEPT24!AD18+HISTOOCT24!AD18+HISTONOV24!AD18+HISTODEC244!AD18</f>
        <v>0</v>
      </c>
      <c r="AE18" s="9">
        <f>HISTOJANV24!AE18+HISTOFEV24!AE18+HISTOMARS24!AE18+HISTOAVRIL24!AE18+HISTOMAI24!AE18+HISTOJUIN24!AE18+HISTOJUIL24!AE18+HISTOAOUT24!AE18+HISTOSEPT24!AE18+HISTOOCT24!AE18+HISTONOV24!AE18+HISTODEC244!AE18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HISTOJANV24!AH18+HISTOFEV24!AH18+HISTOMARS24!AH18+HISTOAVRIL24!AH18+HISTOMAI24!AH18+HISTOJUIN24!AH18+HISTOJUIL24!AH18+HISTOAOUT24!AH18+HISTOSEPT24!AH18+HISTOOCT24!AH18+HISTONOV24!AH18+HISTODEC244!AH18</f>
        <v>0</v>
      </c>
      <c r="AI18" s="9">
        <f>HISTOJANV24!AI18+HISTOFEV24!AI18+HISTOMARS24!AI18+HISTOAVRIL24!AI18+HISTOMAI24!AI18+HISTOJUIN24!AI18+HISTOJUIL24!AI18+HISTOAOUT24!AI18+HISTOSEPT24!AI18+HISTOOCT24!AI18+HISTONOV24!AI18+HISTODEC244!AI18</f>
        <v>0</v>
      </c>
      <c r="AJ18" s="9">
        <f>HISTOJANV24!AJ18+HISTOFEV24!AJ18+HISTOMARS24!AJ18+HISTOAVRIL24!AJ18+HISTOMAI24!AJ18+HISTOJUIN24!AJ18+HISTOJUIL24!AJ18+HISTOAOUT24!AJ18+HISTOSEPT24!AJ18+HISTOOCT24!AJ18+HISTONOV24!AJ18+HISTODEC244!AJ18</f>
        <v>0</v>
      </c>
      <c r="AK18" s="9">
        <f>HISTOJANV24!AK18+HISTOFEV24!AK18+HISTOMARS24!AK18+HISTOAVRIL24!AK18+HISTOMAI24!AK18+HISTOJUIN24!AK18+HISTOJUIL24!AK18+HISTOAOUT24!AK18+HISTOSEPT24!AK18+HISTOOCT24!AK18+HISTONOV24!AK18+HISTODEC244!AK18</f>
        <v>1000000</v>
      </c>
      <c r="AL18" s="9">
        <f>HISTOJANV24!AL18+HISTOFEV24!AL18+HISTOMARS24!AL18+HISTOAVRIL24!AL18+HISTOMAI24!AL18+HISTOJUIN24!AL18+HISTOJUIL24!AL18+HISTOAOUT24!AL18+HISTOSEPT24!AL18+HISTOOCT24!AL18+HISTONOV24!AL18+HISTODEC244!AL18</f>
        <v>0</v>
      </c>
      <c r="AM18" s="9">
        <f>HISTOJANV24!AM18+HISTOFEV24!AM18+HISTOMARS24!AM18+HISTOAVRIL24!AM18+HISTOMAI24!AM18+HISTOJUIN24!AM18+HISTOJUIL24!AM18+HISTOAOUT24!AM18+HISTOSEPT24!AM18+HISTOOCT24!AM18+HISTONOV24!AM18+HISTODEC244!AM18</f>
        <v>0</v>
      </c>
      <c r="AN18" s="9">
        <f>HISTOJANV24!AN18+HISTOFEV24!AN18+HISTOMARS24!AN18+HISTOAVRIL24!AN18+HISTOMAI24!AN18+HISTOJUIN24!AN18+HISTOJUIL24!AN18+HISTOAOUT24!AN18+HISTOSEPT24!AN18+HISTOOCT24!AN18+HISTONOV24!AN18+HISTODEC244!AN18</f>
        <v>13000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117000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HISTOJANV24!AW18+HISTOFEV24!AW18+HISTOMARS24!AW18+HISTOAVRIL24!AW18+HISTOMAI24!AW18+HISTOJUIN24!AW18+HISTOJUIL24!AW18+HISTOAOUT24!AW18+HISTOSEPT24!AW18+HISTOOCT24!AW18+HISTONOV24!AW18+HISTODEC244!AW18</f>
        <v>287000</v>
      </c>
      <c r="AX18" s="9">
        <f>HISTOJANV24!AX18+HISTOFEV24!AX18+HISTOMARS24!AX18+HISTOAVRIL24!AX18+HISTOMAI24!AX18+HISTOJUIN24!AX18+HISTOJUIL24!AX18+HISTOAOUT24!AX18+HISTOSEPT24!AX18+HISTOOCT24!AX18+HISTONOV24!AX18+HISTODEC244!AX18</f>
        <v>0</v>
      </c>
      <c r="AY18" s="9">
        <f>HISTOJANV24!AY18+HISTOFEV24!AY18+HISTOMARS24!AY18+HISTOAVRIL24!AY18+HISTOMAI24!AY18+HISTOJUIN24!AY18+HISTOJUIL24!AY18+HISTOAOUT24!AY18+HISTOSEPT24!AY18+HISTOOCT24!AY18+HISTONOV24!AY18+HISTODEC244!AY18</f>
        <v>2160000</v>
      </c>
      <c r="AZ18" s="9">
        <f>HISTOJANV24!AZ18+HISTOFEV24!AZ18+HISTOMARS24!AZ18+HISTOAVRIL24!AZ18+HISTOMAI24!AZ18+HISTOJUIN24!AZ18+HISTOJUIL24!AZ18+HISTOAOUT24!AZ18+HISTOSEPT24!AZ18+HISTOOCT24!AZ18+HISTONOV24!AZ18+HISTODEC244!AZ18</f>
        <v>3663000</v>
      </c>
      <c r="BA18" s="9">
        <f>HISTOJANV24!BA18+HISTOFEV24!BA18+HISTOMARS24!BA18+HISTOAVRIL24!BA18+HISTOMAI24!BA18+HISTOJUIN24!BA18+HISTOJUIL24!BA18+HISTOAOUT24!BA18+HISTOSEPT24!BA18+HISTOOCT24!BA18+HISTONOV24!BA18+HISTODEC244!BA18</f>
        <v>536000</v>
      </c>
      <c r="BB18" s="9">
        <f>HISTOJANV24!BB18+HISTOFEV24!BB18+HISTOMARS24!BB18+HISTOAVRIL24!BB18+HISTOMAI24!BB18+HISTOJUIN24!BB18+HISTOJUIL24!BB18+HISTOAOUT24!BB18+HISTOSEPT24!BB18+HISTOOCT24!BB18+HISTONOV24!BB18+HISTODEC244!BB18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HISTOJANV24!BD18+HISTOFEV24!BD18+HISTOMARS24!BD18+HISTOAVRIL24!BD18+HISTOMAI24!BD18+HISTOJUIN24!BD18+HISTOJUIL24!BD18+HISTOAOUT24!BD18+HISTOSEPT24!BD18+HISTOOCT24!BD18+HISTONOV24!BD18+HISTODEC244!BD18</f>
        <v>3127000</v>
      </c>
      <c r="BE18" s="82"/>
      <c r="BF18" s="9">
        <f>HISTOJANV24!BF18+HISTOFEV24!BF18+HISTOMARS24!BF18+HISTOAVRIL24!BF18+HISTOMAI24!BF18+HISTOJUIN24!BF18+HISTOJUIL24!BF18+HISTOAOUT24!BF18+HISTOSEPT24!BF18+HISTOOCT24!BF18+HISTONOV24!BF18+HISTODEC244!BF18</f>
        <v>134000</v>
      </c>
      <c r="BG18" s="29"/>
      <c r="BH18" s="15"/>
      <c r="BI18" s="15"/>
      <c r="BJ18" s="15"/>
      <c r="BK18" s="15"/>
      <c r="BL18" s="61"/>
      <c r="BO18" t="s">
        <v>212</v>
      </c>
      <c r="BP18" t="s">
        <v>211</v>
      </c>
      <c r="BQ18" s="9">
        <f>HISTOJANV24!BQ18+HISTOFEV24!BQ18+HISTOMARS24!BQ18+HISTOAVRIL24!BQ18+HISTOMAI24!BQ18+HISTOJUIN24!BQ18+HISTOJUIL24!BQ18+HISTOAOUT24!BQ18+HISTOSEPT24!BQ18+HISTOOCT24!BQ18+HISTONOV24!BQ18+HISTODEC244!BQ18</f>
        <v>5326618</v>
      </c>
    </row>
    <row r="19" spans="1:69" ht="18.5" x14ac:dyDescent="0.45">
      <c r="A19" s="1" t="s">
        <v>195</v>
      </c>
      <c r="B19" s="1">
        <v>50000</v>
      </c>
      <c r="C19" s="5"/>
      <c r="D19" s="9">
        <f>HISTOJANV24!D19+HISTOFEV24!D19+HISTOMARS24!D19+HISTOAVRIL24!D19+HISTOMAI24!D19+HISTOJUIN24!D19+HISTOJUIL24!D19+HISTOAOUT24!D19+HISTOSEPT24!D19+HISTOOCT24!D19+HISTONOV24!D19+HISTODEC244!D19</f>
        <v>600000</v>
      </c>
      <c r="E19" s="9">
        <f>HISTOJANV24!E19+HISTOFEV24!E19+HISTOMARS24!E19+HISTOAVRIL24!E19+HISTOMAI24!E19+HISTOJUIN24!E19+HISTOJUIL24!E19+HISTOAOUT24!E19+HISTOSEPT24!E19+HISTOOCT24!E19+HISTONOV24!E19+HISTODEC244!E19</f>
        <v>25000</v>
      </c>
      <c r="F19" s="9">
        <f>HISTOJANV24!F19+HISTOFEV24!F19+HISTOMARS24!F19+HISTOAVRIL24!F19+HISTOMAI24!F19+HISTOJUIN24!F19+HISTOJUIL24!F19+HISTOAOUT24!F19+HISTOSEPT24!F19+HISTOOCT24!F19+HISTONOV24!F19+HISTODEC244!F19</f>
        <v>0</v>
      </c>
      <c r="G19" s="9">
        <f>HISTOJANV24!G19+HISTOFEV24!G19+HISTOMARS24!G19+HISTOAVRIL24!G19+HISTOMAI24!G19+HISTOJUIN24!G19+HISTOJUIL24!G19+HISTOAOUT24!G19+HISTOSEPT24!G19+HISTOOCT24!G19+HISTONOV24!G19+HISTODEC244!G19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HISTOJANV24!I19+HISTOFEV24!I19+HISTOMARS24!I19+HISTOAVRIL24!I19+HISTOMAI24!I19+HISTOJUIN24!I19+HISTOJUIL24!I19+HISTOAOUT24!I19+HISTOSEPT24!I19+HISTOOCT24!I19+HISTONOV24!I19+HISTODEC244!I19</f>
        <v>297500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HISTOJANV24!P19+HISTOFEV24!P19+HISTOMARS24!P19+HISTOAVRIL24!P19+HISTOMAI24!P19+HISTOJUIN24!P19+HISTOJUIL24!P19+HISTOAOUT24!P19+HISTOSEPT24!P19+HISTOOCT24!P19+HISTONOV24!P19+HISTODEC244!P19</f>
        <v>0</v>
      </c>
      <c r="Q19" s="9">
        <f>HISTOJANV24!Q19+HISTOFEV24!Q19+HISTOMARS24!Q19+HISTOAVRIL24!Q19+HISTOMAI24!Q19+HISTOJUIN24!Q19+HISTOJUIL24!Q19+HISTOAOUT24!Q19+HISTOSEPT24!Q19+HISTOOCT24!Q19+HISTONOV24!Q19+HISTODEC244!Q19</f>
        <v>0</v>
      </c>
      <c r="R19" s="9">
        <f>HISTOJANV24!R19+HISTOFEV24!R19+HISTOMARS24!R19+HISTOAVRIL24!R19+HISTOMAI24!R19+HISTOJUIN24!R19+HISTOJUIL24!R19+HISTOAOUT24!R19+HISTOSEPT24!R19+HISTOOCT24!R19+HISTONOV24!R19+HISTODEC244!R19</f>
        <v>0</v>
      </c>
      <c r="S19" s="9">
        <f>HISTOJANV24!S19+HISTOFEV24!S19+HISTOMARS24!S19+HISTOAVRIL24!S19+HISTOMAI24!S19+HISTOJUIN24!S19+HISTOJUIL24!S19+HISTOAOUT24!S19+HISTOSEPT24!S19+HISTOOCT24!S19+HISTONOV24!S19+HISTODEC244!S19</f>
        <v>0</v>
      </c>
      <c r="T19" s="12"/>
      <c r="U19" s="17">
        <f>G19+S19++R19+P19+O19+M19+I19+K19+Q19+V19+W19</f>
        <v>372500</v>
      </c>
      <c r="V19" s="9">
        <f>HISTOJANV24!V19+HISTOFEV24!V19+HISTOMARS24!V19+HISTOAVRIL24!V19+HISTOMAI24!V19+HISTOJUIN24!V19+HISTOJUIL24!V19+HISTOAOUT24!V19+HISTOSEPT24!V19+HISTOOCT24!V19+HISTONOV24!V19+HISTODEC244!V19</f>
        <v>0</v>
      </c>
      <c r="W19" s="9">
        <f>HISTOJANV24!W19+HISTOFEV24!W19+HISTOMARS24!W19+HISTOAVRIL24!W19+HISTOMAI24!W19+HISTOJUIN24!W19+HISTOJUIL24!W19+HISTOAOUT24!W19+HISTOSEPT24!W19+HISTOOCT24!W19+HISTONOV24!W19+HISTODEC244!W19</f>
        <v>25000</v>
      </c>
      <c r="X19" s="9">
        <f>HISTOJANV24!X19+HISTOFEV24!X19+HISTOMARS24!X19+HISTOAVRIL24!X19+HISTOMAI24!X19+HISTOJUIN24!X19+HISTOJUIL24!X19+HISTOAOUT24!X19+HISTOSEPT24!X19+HISTOOCT24!X19+HISTONOV24!X19+HISTODEC244!X19</f>
        <v>0</v>
      </c>
      <c r="Y19" s="9">
        <f>HISTOJANV24!Y19+HISTOFEV24!Y19+HISTOMARS24!Y19+HISTOAVRIL24!Y19+HISTOMAI24!Y19+HISTOJUIN24!Y19+HISTOJUIL24!Y19+HISTOAOUT24!Y19+HISTOSEPT24!Y19+HISTOOCT24!Y19+HISTONOV24!Y19+HISTODEC244!Y19</f>
        <v>0</v>
      </c>
      <c r="Z19" s="9">
        <f>HISTOJANV24!Z19+HISTOFEV24!Z19+HISTOMARS24!Z19+HISTOAVRIL24!Z19+HISTOMAI24!Z19+HISTOJUIN24!Z19+HISTOJUIL24!Z19+HISTOAOUT24!Z19+HISTOSEPT24!Z19+HISTOOCT24!Z19+HISTONOV24!Z19+HISTODEC244!Z19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HISTOJANV24!AC19+HISTOFEV24!AC19+HISTOMARS24!AC19+HISTOAVRIL24!AC19+HISTOMAI24!AC19+HISTOJUIN24!AC19+HISTOJUIL24!AC19+HISTOAOUT24!AC19+HISTOSEPT24!AC19+HISTOOCT24!AC19+HISTONOV24!AC19+HISTODEC244!AC19</f>
        <v>2500</v>
      </c>
      <c r="AD19" s="9">
        <f>HISTOJANV24!AD19+HISTOFEV24!AD19+HISTOMARS24!AD19+HISTOAVRIL24!AD19+HISTOMAI24!AD19+HISTOJUIN24!AD19+HISTOJUIL24!AD19+HISTOAOUT24!AD19+HISTOSEPT24!AD19+HISTOOCT24!AD19+HISTONOV24!AD19+HISTODEC244!AD19</f>
        <v>0</v>
      </c>
      <c r="AE19" s="9">
        <f>HISTOJANV24!AE19+HISTOFEV24!AE19+HISTOMARS24!AE19+HISTOAVRIL24!AE19+HISTOMAI24!AE19+HISTOJUIN24!AE19+HISTOJUIL24!AE19+HISTOAOUT24!AE19+HISTOSEPT24!AE19+HISTOOCT24!AE19+HISTONOV24!AE19+HISTODEC244!AE19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HISTOJANV24!AH19+HISTOFEV24!AH19+HISTOMARS24!AH19+HISTOAVRIL24!AH19+HISTOMAI24!AH19+HISTOJUIN24!AH19+HISTOJUIL24!AH19+HISTOAOUT24!AH19+HISTOSEPT24!AH19+HISTOOCT24!AH19+HISTONOV24!AH19+HISTODEC244!AH19</f>
        <v>0</v>
      </c>
      <c r="AI19" s="9">
        <f>HISTOJANV24!AI19+HISTOFEV24!AI19+HISTOMARS24!AI19+HISTOAVRIL24!AI19+HISTOMAI24!AI19+HISTOJUIN24!AI19+HISTOJUIL24!AI19+HISTOAOUT24!AI19+HISTOSEPT24!AI19+HISTOOCT24!AI19+HISTONOV24!AI19+HISTODEC244!AI19</f>
        <v>0</v>
      </c>
      <c r="AJ19" s="9">
        <f>HISTOJANV24!AJ19+HISTOFEV24!AJ19+HISTOMARS24!AJ19+HISTOAVRIL24!AJ19+HISTOMAI24!AJ19+HISTOJUIN24!AJ19+HISTOJUIL24!AJ19+HISTOAOUT24!AJ19+HISTOSEPT24!AJ19+HISTOOCT24!AJ19+HISTONOV24!AJ19+HISTODEC244!AJ19</f>
        <v>0</v>
      </c>
      <c r="AK19" s="9">
        <f>HISTOJANV24!AK19+HISTOFEV24!AK19+HISTOMARS24!AK19+HISTOAVRIL24!AK19+HISTOMAI24!AK19+HISTOJUIN24!AK19+HISTOJUIL24!AK19+HISTOAOUT24!AK19+HISTOSEPT24!AK19+HISTOOCT24!AK19+HISTONOV24!AK19+HISTODEC244!AK19</f>
        <v>0</v>
      </c>
      <c r="AL19" s="9">
        <f>HISTOJANV24!AL19+HISTOFEV24!AL19+HISTOMARS24!AL19+HISTOAVRIL24!AL19+HISTOMAI24!AL19+HISTOJUIN24!AL19+HISTOJUIL24!AL19+HISTOAOUT24!AL19+HISTOSEPT24!AL19+HISTOOCT24!AL19+HISTONOV24!AL19+HISTODEC244!AL19</f>
        <v>0</v>
      </c>
      <c r="AM19" s="9">
        <f>HISTOJANV24!AM19+HISTOFEV24!AM19+HISTOMARS24!AM19+HISTOAVRIL24!AM19+HISTOMAI24!AM19+HISTOJUIN24!AM19+HISTOJUIL24!AM19+HISTOAOUT24!AM19+HISTOSEPT24!AM19+HISTOOCT24!AM19+HISTONOV24!AM19+HISTODEC244!AM19</f>
        <v>0</v>
      </c>
      <c r="AN19" s="9">
        <f>HISTOJANV24!AN19+HISTOFEV24!AN19+HISTOMARS24!AN19+HISTOAVRIL24!AN19+HISTOMAI24!AN19+HISTOJUIN24!AN19+HISTOJUIL24!AN19+HISTOAOUT24!AN19+HISTOSEPT24!AN19+HISTOOCT24!AN19+HISTONOV24!AN19+HISTODEC244!AN19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322500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HISTOJANV24!AW19+HISTOFEV24!AW19+HISTOMARS24!AW19+HISTOAVRIL24!AW19+HISTOMAI24!AW19+HISTOJUIN24!AW19+HISTOJUIL24!AW19+HISTOAOUT24!AW19+HISTOSEPT24!AW19+HISTOOCT24!AW19+HISTONOV24!AW19+HISTODEC244!AW19</f>
        <v>297500</v>
      </c>
      <c r="AX19" s="9">
        <f>HISTOJANV24!AX19+HISTOFEV24!AX19+HISTOMARS24!AX19+HISTOAVRIL24!AX19+HISTOMAI24!AX19+HISTOJUIN24!AX19+HISTOJUIL24!AX19+HISTOAOUT24!AX19+HISTOSEPT24!AX19+HISTOOCT24!AX19+HISTONOV24!AX19+HISTODEC244!AX19</f>
        <v>0</v>
      </c>
      <c r="AY19" s="9">
        <f>HISTOJANV24!AY19+HISTOFEV24!AY19+HISTOMARS24!AY19+HISTOAVRIL24!AY19+HISTOMAI24!AY19+HISTOJUIN24!AY19+HISTOJUIL24!AY19+HISTOAOUT24!AY19+HISTOSEPT24!AY19+HISTOOCT24!AY19+HISTONOV24!AY19+HISTODEC244!AY19</f>
        <v>0</v>
      </c>
      <c r="AZ19" s="9">
        <f>HISTOJANV24!AZ19+HISTOFEV24!AZ19+HISTOMARS24!AZ19+HISTOAVRIL24!AZ19+HISTOMAI24!AZ19+HISTOJUIN24!AZ19+HISTOJUIL24!AZ19+HISTOAOUT24!AZ19+HISTOSEPT24!AZ19+HISTOOCT24!AZ19+HISTONOV24!AZ19+HISTODEC244!AZ19</f>
        <v>297500</v>
      </c>
      <c r="BA19" s="9">
        <f>HISTOJANV24!BA19+HISTOFEV24!BA19+HISTOMARS24!BA19+HISTOAVRIL24!BA19+HISTOMAI24!BA19+HISTOJUIN24!BA19+HISTOJUIL24!BA19+HISTOAOUT24!BA19+HISTOSEPT24!BA19+HISTOOCT24!BA19+HISTONOV24!BA19+HISTODEC244!BA19</f>
        <v>297500</v>
      </c>
      <c r="BB19" s="9">
        <f>HISTOJANV24!BB19+HISTOFEV24!BB19+HISTOMARS24!BB19+HISTOAVRIL24!BB19+HISTOMAI24!BB19+HISTOJUIN24!BB19+HISTOJUIL24!BB19+HISTOAOUT24!BB19+HISTOSEPT24!BB19+HISTOOCT24!BB19+HISTONOV24!BB19+HISTODEC244!BB19</f>
        <v>190000</v>
      </c>
      <c r="BC19" s="15"/>
      <c r="BD19" s="9">
        <f>HISTOJANV24!BD19+HISTOFEV24!BD19+HISTOMARS24!BD19+HISTOAVRIL24!BD19+HISTOMAI24!BD19+HISTOJUIN24!BD19+HISTOJUIL24!BD19+HISTOAOUT24!BD19+HISTOSEPT24!BD19+HISTOOCT24!BD19+HISTONOV24!BD19+HISTODEC244!BD19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HISTOJANV24!BF19+HISTOFEV24!BF19+HISTOMARS24!BF19+HISTOAVRIL24!BF19+HISTOMAI24!BF19+HISTOJUIN24!BF19+HISTOJUIL24!BF19+HISTOAOUT24!BF19+HISTOSEPT24!BF19+HISTOOCT24!BF19+HISTONOV24!BF19+HISTODEC244!BF19</f>
        <v>0</v>
      </c>
      <c r="BG19" s="29"/>
      <c r="BH19" s="15"/>
      <c r="BI19" s="15"/>
      <c r="BJ19" s="15"/>
      <c r="BK19" s="15"/>
      <c r="BL19" s="61"/>
      <c r="BQ19" s="6"/>
    </row>
    <row r="20" spans="1:69" ht="18.5" x14ac:dyDescent="0.45">
      <c r="A20" s="1" t="s">
        <v>25</v>
      </c>
      <c r="B20" s="1">
        <v>225000</v>
      </c>
      <c r="C20" s="5"/>
      <c r="D20" s="9">
        <f>HISTOJANV24!D20+HISTOFEV24!D20+HISTOMARS24!D20+HISTOAVRIL24!D20+HISTOMAI24!D20+HISTOJUIN24!D20+HISTOJUIL24!D20+HISTOAOUT24!D20+HISTOSEPT24!D20+HISTOOCT24!D20+HISTONOV24!D20+HISTODEC244!D20</f>
        <v>5183000</v>
      </c>
      <c r="E20" s="9">
        <f>HISTOJANV24!E20+HISTOFEV24!E20+HISTOMARS24!E20+HISTOAVRIL24!E20+HISTOMAI24!E20+HISTOJUIN24!E20+HISTOJUIL24!E20+HISTOAOUT24!E20+HISTOSEPT24!E20+HISTOOCT24!E20+HISTONOV24!E20+HISTODEC244!E20</f>
        <v>1688000</v>
      </c>
      <c r="F20" s="9">
        <f>HISTOJANV24!F20+HISTOFEV24!F20+HISTOMARS24!F20+HISTOAVRIL24!F20+HISTOMAI24!F20+HISTOJUIN24!F20+HISTOJUIL24!F20+HISTOAOUT24!F20+HISTOSEPT24!F20+HISTOOCT24!F20+HISTONOV24!F20+HISTODEC244!F20</f>
        <v>0</v>
      </c>
      <c r="G20" s="9">
        <f>HISTOJANV24!G20+HISTOFEV24!G20+HISTOMARS24!G20+HISTOAVRIL24!G20+HISTOMAI24!G20+HISTOJUIN24!G20+HISTOJUIL24!G20+HISTOAOUT24!G20+HISTOSEPT24!G20+HISTOOCT24!G20+HISTONOV24!G20+HISTODEC244!G20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HISTOJANV24!I20+HISTOFEV24!I20+HISTOMARS24!I20+HISTOAVRIL24!I20+HISTOMAI24!I20+HISTOJUIN24!I20+HISTOJUIL24!I20+HISTOAOUT24!I20+HISTOSEPT24!I20+HISTOOCT24!I20+HISTONOV24!I20+HISTODEC244!I20</f>
        <v>-1500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HISTOJANV24!P20+HISTOFEV24!P20+HISTOMARS24!P20+HISTOAVRIL24!P20+HISTOMAI24!P20+HISTOJUIN24!P20+HISTOJUIL24!P20+HISTOAOUT24!P20+HISTOSEPT24!P20+HISTOOCT24!P20+HISTONOV24!P20+HISTODEC244!P20</f>
        <v>223500</v>
      </c>
      <c r="Q20" s="9">
        <f>HISTOJANV24!Q20+HISTOFEV24!Q20+HISTOMARS24!Q20+HISTOAVRIL24!Q20+HISTOMAI24!Q20+HISTOJUIN24!Q20+HISTOJUIL24!Q20+HISTOAOUT24!Q20+HISTOSEPT24!Q20+HISTOOCT24!Q20+HISTONOV24!Q20+HISTODEC244!Q20</f>
        <v>1205000</v>
      </c>
      <c r="R20" s="9">
        <f>HISTOJANV24!R20+HISTOFEV24!R20+HISTOMARS24!R20+HISTOAVRIL24!R20+HISTOMAI24!R20+HISTOJUIN24!R20+HISTOJUIL24!R20+HISTOAOUT24!R20+HISTOSEPT24!R20+HISTOOCT24!R20+HISTONOV24!R20+HISTODEC244!R20</f>
        <v>1789000</v>
      </c>
      <c r="S20" s="9">
        <f>HISTOJANV24!S20+HISTOFEV24!S20+HISTOMARS24!S20+HISTOAVRIL24!S20+HISTOMAI24!S20+HISTOJUIN24!S20+HISTOJUIL24!S20+HISTOAOUT24!S20+HISTOSEPT24!S20+HISTOOCT24!S20+HISTONOV24!S20+HISTODEC244!S20</f>
        <v>1000000</v>
      </c>
      <c r="T20" s="12"/>
      <c r="U20" s="17">
        <f t="shared" si="5"/>
        <v>4441000</v>
      </c>
      <c r="V20" s="9">
        <f>HISTOJANV24!V20+HISTOFEV24!V20+HISTOMARS24!V20+HISTOAVRIL24!V20+HISTOMAI24!V20+HISTOJUIN24!V20+HISTOJUIL24!V20+HISTOAOUT24!V20+HISTOSEPT24!V20+HISTOOCT24!V20+HISTONOV24!V20+HISTODEC244!V20</f>
        <v>0</v>
      </c>
      <c r="W20" s="9">
        <f>HISTOJANV24!W20+HISTOFEV24!W20+HISTOMARS24!W20+HISTOAVRIL24!W20+HISTOMAI24!W20+HISTOJUIN24!W20+HISTOJUIL24!W20+HISTOAOUT24!W20+HISTOSEPT24!W20+HISTOOCT24!W20+HISTONOV24!W20+HISTODEC244!W20</f>
        <v>0</v>
      </c>
      <c r="X20" s="9">
        <f>HISTOJANV24!X20+HISTOFEV24!X20+HISTOMARS24!X20+HISTOAVRIL24!X20+HISTOMAI24!X20+HISTOJUIN24!X20+HISTOJUIL24!X20+HISTOAOUT24!X20+HISTOSEPT24!X20+HISTOOCT24!X20+HISTONOV24!X20+HISTODEC244!X20</f>
        <v>0</v>
      </c>
      <c r="Y20" s="9">
        <f>HISTOJANV24!Y20+HISTOFEV24!Y20+HISTOMARS24!Y20+HISTOAVRIL24!Y20+HISTOMAI24!Y20+HISTOJUIN24!Y20+HISTOJUIL24!Y20+HISTOAOUT24!Y20+HISTOSEPT24!Y20+HISTOOCT24!Y20+HISTONOV24!Y20+HISTODEC244!Y20</f>
        <v>0</v>
      </c>
      <c r="Z20" s="9">
        <f>HISTOJANV24!Z20+HISTOFEV24!Z20+HISTOMARS24!Z20+HISTOAVRIL24!Z20+HISTOMAI24!Z20+HISTOJUIN24!Z20+HISTOJUIL24!Z20+HISTOAOUT24!Z20+HISTOSEPT24!Z20+HISTOOCT24!Z20+HISTONOV24!Z20+HISTODEC244!Z20</f>
        <v>1000000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HISTOJANV24!AC20+HISTOFEV24!AC20+HISTOMARS24!AC20+HISTOAVRIL24!AC20+HISTOMAI24!AC20+HISTOJUIN24!AC20+HISTOJUIL24!AC20+HISTOAOUT24!AC20+HISTOSEPT24!AC20+HISTOOCT24!AC20+HISTONOV24!AC20+HISTODEC244!AC20</f>
        <v>2500</v>
      </c>
      <c r="AD20" s="9">
        <f>HISTOJANV24!AD20+HISTOFEV24!AD20+HISTOMARS24!AD20+HISTOAVRIL24!AD20+HISTOMAI24!AD20+HISTOJUIN24!AD20+HISTOJUIL24!AD20+HISTOAOUT24!AD20+HISTOSEPT24!AD20+HISTOOCT24!AD20+HISTONOV24!AD20+HISTODEC244!AD20</f>
        <v>16000</v>
      </c>
      <c r="AE20" s="9">
        <f>HISTOJANV24!AE20+HISTOFEV24!AE20+HISTOMARS24!AE20+HISTOAVRIL24!AE20+HISTOMAI24!AE20+HISTOJUIN24!AE20+HISTOJUIL24!AE20+HISTOAOUT24!AE20+HISTOSEPT24!AE20+HISTOOCT24!AE20+HISTONOV24!AE20+HISTODEC244!AE20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HISTOJANV24!AH20+HISTOFEV24!AH20+HISTOMARS24!AH20+HISTOAVRIL24!AH20+HISTOMAI24!AH20+HISTOJUIN24!AH20+HISTOJUIL24!AH20+HISTOAOUT24!AH20+HISTOSEPT24!AH20+HISTOOCT24!AH20+HISTONOV24!AH20+HISTODEC244!AH20</f>
        <v>0</v>
      </c>
      <c r="AI20" s="9">
        <f>HISTOJANV24!AI20+HISTOFEV24!AI20+HISTOMARS24!AI20+HISTOAVRIL24!AI20+HISTOMAI24!AI20+HISTOJUIN24!AI20+HISTOJUIL24!AI20+HISTOAOUT24!AI20+HISTOSEPT24!AI20+HISTOOCT24!AI20+HISTONOV24!AI20+HISTODEC244!AI20</f>
        <v>220000</v>
      </c>
      <c r="AJ20" s="9">
        <f>HISTOJANV24!AJ20+HISTOFEV24!AJ20+HISTOMARS24!AJ20+HISTOAVRIL24!AJ20+HISTOMAI24!AJ20+HISTOJUIN24!AJ20+HISTOJUIL24!AJ20+HISTOAOUT24!AJ20+HISTOSEPT24!AJ20+HISTOOCT24!AJ20+HISTONOV24!AJ20+HISTODEC244!AJ20</f>
        <v>1189000</v>
      </c>
      <c r="AK20" s="9">
        <f>HISTOJANV24!AK20+HISTOFEV24!AK20+HISTOMARS24!AK20+HISTOAVRIL24!AK20+HISTOMAI24!AK20+HISTOJUIN24!AK20+HISTOJUIL24!AK20+HISTOAOUT24!AK20+HISTOSEPT24!AK20+HISTOOCT24!AK20+HISTONOV24!AK20+HISTODEC244!AK20</f>
        <v>1770500</v>
      </c>
      <c r="AL20" s="9">
        <f>HISTOJANV24!AL20+HISTOFEV24!AL20+HISTOMARS24!AL20+HISTOAVRIL24!AL20+HISTOMAI24!AL20+HISTOJUIN24!AL20+HISTOJUIL24!AL20+HISTOAOUT24!AL20+HISTOSEPT24!AL20+HISTOOCT24!AL20+HISTONOV24!AL20+HISTODEC244!AL20</f>
        <v>3500</v>
      </c>
      <c r="AM20" s="9">
        <f>HISTOJANV24!AM20+HISTOFEV24!AM20+HISTOMARS24!AM20+HISTOAVRIL24!AM20+HISTOMAI24!AM20+HISTOJUIN24!AM20+HISTOJUIL24!AM20+HISTOAOUT24!AM20+HISTOSEPT24!AM20+HISTOOCT24!AM20+HISTONOV24!AM20+HISTODEC244!AM20</f>
        <v>16000</v>
      </c>
      <c r="AN20" s="9">
        <f>HISTOJANV24!AN20+HISTOFEV24!AN20+HISTOMARS24!AN20+HISTOAVRIL24!AN20+HISTOMAI24!AN20+HISTOJUIN24!AN20+HISTOJUIL24!AN20+HISTOAOUT24!AN20+HISTOSEPT24!AN20+HISTOOCT24!AN20+HISTONOV24!AN20+HISTODEC244!AN20</f>
        <v>18500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23500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HISTOJANV24!AW20+HISTOFEV24!AW20+HISTOMARS24!AW20+HISTOAVRIL24!AW20+HISTOMAI24!AW20+HISTOJUIN24!AW20+HISTOJUIL24!AW20+HISTOAOUT24!AW20+HISTOSEPT24!AW20+HISTOOCT24!AW20+HISTONOV24!AW20+HISTODEC244!AW20</f>
        <v>517500</v>
      </c>
      <c r="AX20" s="9">
        <f>HISTOJANV24!AX20+HISTOFEV24!AX20+HISTOMARS24!AX20+HISTOAVRIL24!AX20+HISTOMAI24!AX20+HISTOJUIN24!AX20+HISTOJUIL24!AX20+HISTOAOUT24!AX20+HISTOSEPT24!AX20+HISTOOCT24!AX20+HISTONOV24!AX20+HISTODEC244!AX20</f>
        <v>2073000</v>
      </c>
      <c r="AY20" s="9">
        <f>HISTOJANV24!AY20+HISTOFEV24!AY20+HISTOMARS24!AY20+HISTOAVRIL24!AY20+HISTOMAI24!AY20+HISTOJUIN24!AY20+HISTOJUIL24!AY20+HISTOAOUT24!AY20+HISTOSEPT24!AY20+HISTOOCT24!AY20+HISTONOV24!AY20+HISTODEC244!AY20</f>
        <v>2855500</v>
      </c>
      <c r="AZ20" s="9">
        <f>HISTOJANV24!AZ20+HISTOFEV24!AZ20+HISTOMARS24!AZ20+HISTOAVRIL24!AZ20+HISTOMAI24!AZ20+HISTOJUIN24!AZ20+HISTOJUIL24!AZ20+HISTOAOUT24!AZ20+HISTOSEPT24!AZ20+HISTOOCT24!AZ20+HISTONOV24!AZ20+HISTODEC244!AZ20</f>
        <v>6419500</v>
      </c>
      <c r="BA20" s="9">
        <f>HISTOJANV24!BA20+HISTOFEV24!BA20+HISTOMARS24!BA20+HISTOAVRIL24!BA20+HISTOMAI24!BA20+HISTOJUIN24!BA20+HISTOJUIL24!BA20+HISTOAOUT24!BA20+HISTOSEPT24!BA20+HISTOOCT24!BA20+HISTONOV24!BA20+HISTODEC244!BA20</f>
        <v>2018500</v>
      </c>
      <c r="BB20" s="9">
        <f>HISTOJANV24!BB20+HISTOFEV24!BB20+HISTOMARS24!BB20+HISTOAVRIL24!BB20+HISTOMAI24!BB20+HISTOJUIN24!BB20+HISTOJUIL24!BB20+HISTOAOUT24!BB20+HISTOSEPT24!BB20+HISTOOCT24!BB20+HISTONOV24!BB20+HISTODEC244!BB20</f>
        <v>66700</v>
      </c>
      <c r="BC20" s="15"/>
      <c r="BD20" s="9">
        <f>HISTOJANV24!BD20+HISTOFEV24!BD20+HISTOMARS24!BD20+HISTOAVRIL24!BD20+HISTOMAI24!BD20+HISTOJUIN24!BD20+HISTOJUIL24!BD20+HISTOAOUT24!BD20+HISTOSEPT24!BD20+HISTOOCT24!BD20+HISTONOV24!BD20+HISTODEC244!BD20</f>
        <v>4371000</v>
      </c>
      <c r="BE20" s="82"/>
      <c r="BF20" s="9">
        <f>HISTOJANV24!BF20+HISTOFEV24!BF20+HISTOMARS24!BF20+HISTOAVRIL24!BF20+HISTOMAI24!BF20+HISTOJUIN24!BF20+HISTOJUIL24!BF20+HISTOAOUT24!BF20+HISTOSEPT24!BF20+HISTOOCT24!BF20+HISTONOV24!BF20+HISTODEC244!BF20</f>
        <v>90000</v>
      </c>
      <c r="BG20" s="29"/>
      <c r="BH20" s="15"/>
      <c r="BI20" s="15"/>
      <c r="BJ20" s="15"/>
      <c r="BK20" s="15"/>
      <c r="BL20" s="61"/>
      <c r="BQ20" s="6"/>
    </row>
    <row r="21" spans="1:69" ht="18.5" x14ac:dyDescent="0.45">
      <c r="A21" s="1" t="s">
        <v>26</v>
      </c>
      <c r="B21" s="1">
        <v>50000</v>
      </c>
      <c r="C21" s="5"/>
      <c r="D21" s="9">
        <f>HISTOJANV24!D21+HISTOFEV24!D21+HISTOMARS24!D21+HISTOAVRIL24!D21+HISTOMAI24!D21+HISTOJUIN24!D21+HISTOJUIL24!D21+HISTOAOUT24!D21+HISTOSEPT24!D21+HISTOOCT24!D21+HISTONOV24!D21+HISTODEC244!D21</f>
        <v>550000</v>
      </c>
      <c r="E21" s="9">
        <f>HISTOJANV24!E21+HISTOFEV24!E21+HISTOMARS24!E21+HISTOAVRIL24!E21+HISTOMAI24!E21+HISTOJUIN24!E21+HISTOJUIL24!E21+HISTOAOUT24!E21+HISTOSEPT24!E21+HISTOOCT24!E21+HISTONOV24!E21+HISTODEC244!E21</f>
        <v>66500</v>
      </c>
      <c r="F21" s="9">
        <f>HISTOJANV24!F21+HISTOFEV24!F21+HISTOMARS24!F21+HISTOAVRIL24!F21+HISTOMAI24!F21+HISTOJUIN24!F21+HISTOJUIL24!F21+HISTOAOUT24!F21+HISTOSEPT24!F21+HISTOOCT24!F21+HISTONOV24!F21+HISTODEC244!F21</f>
        <v>0</v>
      </c>
      <c r="G21" s="9">
        <f>HISTOJANV24!G21+HISTOFEV24!G21+HISTOMARS24!G21+HISTOAVRIL24!G21+HISTOMAI24!G21+HISTOJUIN24!G21+HISTOJUIL24!G21+HISTOAOUT24!G21+HISTOSEPT24!G21+HISTOOCT24!G21+HISTONOV24!G21+HISTODEC244!G21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HISTOJANV24!P21+HISTOFEV24!P21+HISTOMARS24!P21+HISTOAVRIL24!P21+HISTOMAI24!P21+HISTOJUIN24!P21+HISTOJUIL24!P21+HISTOAOUT24!P21+HISTOSEPT24!P21+HISTOOCT24!P21+HISTONOV24!P21+HISTODEC244!P21</f>
        <v>0</v>
      </c>
      <c r="Q21" s="9">
        <f>HISTOJANV24!Q21+HISTOFEV24!Q21+HISTOMARS24!Q21+HISTOAVRIL24!Q21+HISTOMAI24!Q21+HISTOJUIN24!Q21+HISTOJUIL24!Q21+HISTOAOUT24!Q21+HISTOSEPT24!Q21+HISTOOCT24!Q21+HISTONOV24!Q21+HISTODEC244!Q21</f>
        <v>0</v>
      </c>
      <c r="R21" s="9">
        <f>HISTOJANV24!R21+HISTOFEV24!R21+HISTOMARS24!R21+HISTOAVRIL24!R21+HISTOMAI24!R21+HISTOJUIN24!R21+HISTOJUIL24!R21+HISTOAOUT24!R21+HISTOSEPT24!R21+HISTOOCT24!R21+HISTONOV24!R21+HISTODEC244!R21</f>
        <v>0</v>
      </c>
      <c r="S21" s="9">
        <f>HISTOJANV24!S21+HISTOFEV24!S21+HISTOMARS24!S21+HISTOAVRIL24!S21+HISTOMAI24!S21+HISTOJUIN24!S21+HISTOJUIL24!S21+HISTOAOUT24!S21+HISTOSEPT24!S21+HISTOOCT24!S21+HISTONOV24!S21+HISTODEC244!S21</f>
        <v>300000</v>
      </c>
      <c r="T21" s="12"/>
      <c r="U21" s="17">
        <f t="shared" si="5"/>
        <v>350000</v>
      </c>
      <c r="V21" s="9">
        <f>HISTOJANV24!V21+HISTOFEV24!V21+HISTOMARS24!V21+HISTOAVRIL24!V21+HISTOMAI24!V21+HISTOJUIN24!V21+HISTOJUIL24!V21+HISTOAOUT24!V21+HISTOSEPT24!V21+HISTOOCT24!V21+HISTONOV24!V21+HISTODEC244!V21</f>
        <v>0</v>
      </c>
      <c r="W21" s="9">
        <f>HISTOJANV24!W21+HISTOFEV24!W21+HISTOMARS24!W21+HISTOAVRIL24!W21+HISTOMAI24!W21+HISTOJUIN24!W21+HISTOJUIL24!W21+HISTOAOUT24!W21+HISTOSEPT24!W21+HISTOOCT24!W21+HISTONOV24!W21+HISTODEC244!W21</f>
        <v>0</v>
      </c>
      <c r="X21" s="9">
        <f>HISTOJANV24!X21+HISTOFEV24!X21+HISTOMARS24!X21+HISTOAVRIL24!X21+HISTOMAI24!X21+HISTOJUIN24!X21+HISTOJUIL24!X21+HISTOAOUT24!X21+HISTOSEPT24!X21+HISTOOCT24!X21+HISTONOV24!X21+HISTODEC244!X21</f>
        <v>0</v>
      </c>
      <c r="Y21" s="9">
        <f>HISTOJANV24!Y21+HISTOFEV24!Y21+HISTOMARS24!Y21+HISTOAVRIL24!Y21+HISTOMAI24!Y21+HISTOJUIN24!Y21+HISTOJUIL24!Y21+HISTOAOUT24!Y21+HISTOSEPT24!Y21+HISTOOCT24!Y21+HISTONOV24!Y21+HISTODEC244!Y21</f>
        <v>0</v>
      </c>
      <c r="Z21" s="9">
        <f>HISTOJANV24!Z21+HISTOFEV24!Z21+HISTOMARS24!Z21+HISTOAVRIL24!Z21+HISTOMAI24!Z21+HISTOJUIN24!Z21+HISTOJUIL24!Z21+HISTOAOUT24!Z21+HISTOSEPT24!Z21+HISTOOCT24!Z21+HISTONOV24!Z21+HISTODEC244!Z21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HISTOJANV24!AC21+HISTOFEV24!AC21+HISTOMARS24!AC21+HISTOAVRIL24!AC21+HISTOMAI24!AC21+HISTOJUIN24!AC21+HISTOJUIL24!AC21+HISTOAOUT24!AC21+HISTOSEPT24!AC21+HISTOOCT24!AC21+HISTONOV24!AC21+HISTODEC244!AC21</f>
        <v>3000</v>
      </c>
      <c r="AD21" s="9">
        <f>HISTOJANV24!AD21+HISTOFEV24!AD21+HISTOMARS24!AD21+HISTOAVRIL24!AD21+HISTOMAI24!AD21+HISTOJUIN24!AD21+HISTOJUIL24!AD21+HISTOAOUT24!AD21+HISTOSEPT24!AD21+HISTOOCT24!AD21+HISTONOV24!AD21+HISTODEC244!AD21</f>
        <v>0</v>
      </c>
      <c r="AE21" s="9">
        <f>HISTOJANV24!AE21+HISTOFEV24!AE21+HISTOMARS24!AE21+HISTOAVRIL24!AE21+HISTOMAI24!AE21+HISTOJUIN24!AE21+HISTOJUIL24!AE21+HISTOAOUT24!AE21+HISTOSEPT24!AE21+HISTOOCT24!AE21+HISTONOV24!AE21+HISTODEC244!AE21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HISTOJANV24!AH21+HISTOFEV24!AH21+HISTOMARS24!AH21+HISTOAVRIL24!AH21+HISTOMAI24!AH21+HISTOJUIN24!AH21+HISTOJUIL24!AH21+HISTOAOUT24!AH21+HISTOSEPT24!AH21+HISTOOCT24!AH21+HISTONOV24!AH21+HISTODEC244!AH21</f>
        <v>0</v>
      </c>
      <c r="AI21" s="9">
        <f>HISTOJANV24!AI21+HISTOFEV24!AI21+HISTOMARS24!AI21+HISTOAVRIL24!AI21+HISTOMAI24!AI21+HISTOJUIN24!AI21+HISTOJUIL24!AI21+HISTOAOUT24!AI21+HISTOSEPT24!AI21+HISTOOCT24!AI21+HISTONOV24!AI21+HISTODEC244!AI21</f>
        <v>0</v>
      </c>
      <c r="AJ21" s="9">
        <f>HISTOJANV24!AJ21+HISTOFEV24!AJ21+HISTOMARS24!AJ21+HISTOAVRIL24!AJ21+HISTOMAI24!AJ21+HISTOJUIN24!AJ21+HISTOJUIL24!AJ21+HISTOAOUT24!AJ21+HISTOSEPT24!AJ21+HISTOOCT24!AJ21+HISTONOV24!AJ21+HISTODEC244!AJ21</f>
        <v>0</v>
      </c>
      <c r="AK21" s="9">
        <f>HISTOJANV24!AK21+HISTOFEV24!AK21+HISTOMARS24!AK21+HISTOAVRIL24!AK21+HISTOMAI24!AK21+HISTOJUIN24!AK21+HISTOJUIL24!AK21+HISTOAOUT24!AK21+HISTOSEPT24!AK21+HISTOOCT24!AK21+HISTONOV24!AK21+HISTODEC244!AK21</f>
        <v>0</v>
      </c>
      <c r="AL21" s="9">
        <f>HISTOJANV24!AL21+HISTOFEV24!AL21+HISTOMARS24!AL21+HISTOAVRIL24!AL21+HISTOMAI24!AL21+HISTOJUIN24!AL21+HISTOJUIL24!AL21+HISTOAOUT24!AL21+HISTOSEPT24!AL21+HISTOOCT24!AL21+HISTONOV24!AL21+HISTODEC244!AL21</f>
        <v>0</v>
      </c>
      <c r="AM21" s="9">
        <f>HISTOJANV24!AM21+HISTOFEV24!AM21+HISTOMARS24!AM21+HISTOAVRIL24!AM21+HISTOMAI24!AM21+HISTOJUIN24!AM21+HISTOJUIL24!AM21+HISTOAOUT24!AM21+HISTOSEPT24!AM21+HISTOOCT24!AM21+HISTONOV24!AM21+HISTODEC244!AM21</f>
        <v>0</v>
      </c>
      <c r="AN21" s="9">
        <f>HISTOJANV24!AN21+HISTOFEV24!AN21+HISTOMARS24!AN21+HISTOAVRIL24!AN21+HISTOMAI24!AN21+HISTOJUIN24!AN21+HISTOJUIL24!AN21+HISTOAOUT24!AN21+HISTOSEPT24!AN21+HISTOOCT24!AN21+HISTONOV24!AN21+HISTODEC244!AN21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HISTOJANV24!AW21+HISTOFEV24!AW21+HISTOMARS24!AW21+HISTOAVRIL24!AW21+HISTOMAI24!AW21+HISTOJUIN24!AW21+HISTOJUIL24!AW21+HISTOAOUT24!AW21+HISTOSEPT24!AW21+HISTOOCT24!AW21+HISTONOV24!AW21+HISTODEC244!AW21</f>
        <v>297000</v>
      </c>
      <c r="AX21" s="9">
        <f>HISTOJANV24!AX21+HISTOFEV24!AX21+HISTOMARS24!AX21+HISTOAVRIL24!AX21+HISTOMAI24!AX21+HISTOJUIN24!AX21+HISTOJUIL24!AX21+HISTOAOUT24!AX21+HISTOSEPT24!AX21+HISTOOCT24!AX21+HISTONOV24!AX21+HISTODEC244!AX21</f>
        <v>0</v>
      </c>
      <c r="AY21" s="9">
        <f>HISTOJANV24!AY21+HISTOFEV24!AY21+HISTOMARS24!AY21+HISTOAVRIL24!AY21+HISTOMAI24!AY21+HISTOJUIN24!AY21+HISTOJUIL24!AY21+HISTOAOUT24!AY21+HISTOSEPT24!AY21+HISTOOCT24!AY21+HISTONOV24!AY21+HISTODEC244!AY21</f>
        <v>0</v>
      </c>
      <c r="AZ21" s="9">
        <f>HISTOJANV24!AZ21+HISTOFEV24!AZ21+HISTOMARS24!AZ21+HISTOAVRIL24!AZ21+HISTOMAI24!AZ21+HISTOJUIN24!AZ21+HISTOJUIL24!AZ21+HISTOAOUT24!AZ21+HISTOSEPT24!AZ21+HISTOOCT24!AZ21+HISTONOV24!AZ21+HISTODEC244!AZ21</f>
        <v>297000</v>
      </c>
      <c r="BA21" s="9">
        <f>HISTOJANV24!BA21+HISTOFEV24!BA21+HISTOMARS24!BA21+HISTOAVRIL24!BA21+HISTOMAI24!BA21+HISTOJUIN24!BA21+HISTOJUIL24!BA21+HISTOAOUT24!BA21+HISTOSEPT24!BA21+HISTOOCT24!BA21+HISTONOV24!BA21+HISTODEC244!BA21</f>
        <v>297000</v>
      </c>
      <c r="BB21" s="9">
        <f>HISTOJANV24!BB21+HISTOFEV24!BB21+HISTOMARS24!BB21+HISTOAVRIL24!BB21+HISTOMAI24!BB21+HISTOJUIN24!BB21+HISTOJUIL24!BB21+HISTOAOUT24!BB21+HISTOSEPT24!BB21+HISTOOCT24!BB21+HISTONOV24!BB21+HISTODEC244!BB21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HISTOJANV24!BF21+HISTOFEV24!BF21+HISTOMARS24!BF21+HISTOAVRIL24!BF21+HISTOMAI24!BF21+HISTOJUIN24!BF21+HISTOJUIL24!BF21+HISTOAOUT24!BF21+HISTOSEPT24!BF21+HISTOOCT24!BF21+HISTONOV24!BF21+HISTODEC244!BF21</f>
        <v>46500</v>
      </c>
      <c r="BG21" s="29"/>
      <c r="BH21" s="15"/>
      <c r="BI21" s="15"/>
      <c r="BJ21" s="15"/>
      <c r="BK21" s="15"/>
      <c r="BL21" s="61"/>
      <c r="BQ21" s="6"/>
    </row>
    <row r="22" spans="1:69" ht="18.5" x14ac:dyDescent="0.45">
      <c r="A22" s="1" t="s">
        <v>27</v>
      </c>
      <c r="B22" s="1">
        <v>125000</v>
      </c>
      <c r="C22" s="5"/>
      <c r="D22" s="9">
        <f>HISTOJANV24!D22+HISTOFEV24!D22+HISTOMARS24!D22+HISTOAVRIL24!D22+HISTOMAI24!D22+HISTOJUIN24!D22+HISTOJUIL24!D22+HISTOAOUT24!D22+HISTOSEPT24!D22+HISTOOCT24!D22+HISTONOV24!D22+HISTODEC244!D22</f>
        <v>1375000</v>
      </c>
      <c r="E22" s="9">
        <f>HISTOJANV24!E22+HISTOFEV24!E22+HISTOMARS24!E22+HISTOAVRIL24!E22+HISTOMAI24!E22+HISTOJUIN24!E22+HISTOJUIL24!E22+HISTOAOUT24!E22+HISTOSEPT24!E22+HISTOOCT24!E22+HISTONOV24!E22+HISTODEC244!E22</f>
        <v>128000</v>
      </c>
      <c r="F22" s="9">
        <f>HISTOJANV24!F22+HISTOFEV24!F22+HISTOMARS24!F22+HISTOAVRIL24!F22+HISTOMAI24!F22+HISTOJUIN24!F22+HISTOJUIL24!F22+HISTOAOUT24!F22+HISTOSEPT24!F22+HISTOOCT24!F22+HISTONOV24!F22+HISTODEC244!F22</f>
        <v>892500</v>
      </c>
      <c r="G22" s="9">
        <f>HISTOJANV24!G22+HISTOFEV24!G22+HISTOMARS24!G22+HISTOAVRIL24!G22+HISTOMAI24!G22+HISTOJUIN24!G22+HISTOJUIL24!G22+HISTOAOUT24!G22+HISTOSEPT24!G22+HISTOOCT24!G22+HISTONOV24!G22+HISTODEC244!G22</f>
        <v>3000</v>
      </c>
      <c r="H22" s="10"/>
      <c r="I22" s="9">
        <f>HISTOJANV24!I22+HISTOFEV24!I22+HISTOMARS24!I22+HISTOAVRIL24!I22+HISTOMAI24!I22+HISTOJUIN24!I22+HISTOJUIL24!I22+HISTOAOUT24!I22+HISTOSEPT24!I22+HISTOOCT24!I22+HISTONOV24!I22+HISTODEC244!I22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HISTOJANV24!P22+HISTOFEV24!P22+HISTOMARS24!P22+HISTOAVRIL24!P22+HISTOMAI24!P22+HISTOJUIN24!P22+HISTOJUIL24!P22+HISTOAOUT24!P22+HISTOSEPT24!P22+HISTOOCT24!P22+HISTONOV24!P22+HISTODEC244!P22</f>
        <v>0</v>
      </c>
      <c r="Q22" s="9">
        <f>HISTOJANV24!Q22+HISTOFEV24!Q22+HISTOMARS24!Q22+HISTOAVRIL24!Q22+HISTOMAI24!Q22+HISTOJUIN24!Q22+HISTOJUIL24!Q22+HISTOAOUT24!Q22+HISTOSEPT24!Q22+HISTOOCT24!Q22+HISTONOV24!Q22+HISTODEC244!Q22</f>
        <v>0</v>
      </c>
      <c r="R22" s="9">
        <f>HISTOJANV24!R22+HISTOFEV24!R22+HISTOMARS24!R22+HISTOAVRIL24!R22+HISTOMAI24!R22+HISTOJUIN24!R22+HISTOJUIL24!R22+HISTOAOUT24!R22+HISTOSEPT24!R22+HISTOOCT24!R22+HISTONOV24!R22+HISTODEC244!R22</f>
        <v>0</v>
      </c>
      <c r="S22" s="9">
        <f>HISTOJANV24!S22+HISTOFEV24!S22+HISTOMARS24!S22+HISTOAVRIL24!S22+HISTOMAI24!S22+HISTOJUIN24!S22+HISTOJUIL24!S22+HISTOAOUT24!S22+HISTOSEPT24!S22+HISTOOCT24!S22+HISTONOV24!S22+HISTODEC244!S22</f>
        <v>1000000</v>
      </c>
      <c r="T22" s="12"/>
      <c r="U22" s="17">
        <f t="shared" si="5"/>
        <v>1128000</v>
      </c>
      <c r="V22" s="9">
        <f>HISTOJANV24!V22+HISTOFEV24!V22+HISTOMARS24!V22+HISTOAVRIL24!V22+HISTOMAI24!V22+HISTOJUIN24!V22+HISTOJUIL24!V22+HISTOAOUT24!V22+HISTOSEPT24!V22+HISTOOCT24!V22+HISTONOV24!V22+HISTODEC244!V22</f>
        <v>0</v>
      </c>
      <c r="W22" s="9">
        <f>HISTOJANV24!W22+HISTOFEV24!W22+HISTOMARS24!W22+HISTOAVRIL24!W22+HISTOMAI24!W22+HISTOJUIN24!W22+HISTOJUIL24!W22+HISTOAOUT24!W22+HISTOSEPT24!W22+HISTOOCT24!W22+HISTONOV24!W22+HISTODEC244!W22</f>
        <v>0</v>
      </c>
      <c r="X22" s="9">
        <f>HISTOJANV24!X22+HISTOFEV24!X22+HISTOMARS24!X22+HISTOAVRIL24!X22+HISTOMAI24!X22+HISTOJUIN24!X22+HISTOJUIL24!X22+HISTOAOUT24!X22+HISTOSEPT24!X22+HISTOOCT24!X22+HISTONOV24!X22+HISTODEC244!X22</f>
        <v>0</v>
      </c>
      <c r="Y22" s="9">
        <f>HISTOJANV24!Y22+HISTOFEV24!Y22+HISTOMARS24!Y22+HISTOAVRIL24!Y22+HISTOMAI24!Y22+HISTOJUIN24!Y22+HISTOJUIL24!Y22+HISTOAOUT24!Y22+HISTOSEPT24!Y22+HISTOOCT24!Y22+HISTONOV24!Y22+HISTODEC244!Y22</f>
        <v>0</v>
      </c>
      <c r="Z22" s="9">
        <f>HISTOJANV24!Z22+HISTOFEV24!Z22+HISTOMARS24!Z22+HISTOAVRIL24!Z22+HISTOMAI24!Z22+HISTOJUIN24!Z22+HISTOJUIL24!Z22+HISTOAOUT24!Z22+HISTOSEPT24!Z22+HISTOOCT24!Z22+HISTONOV24!Z22+HISTODEC244!Z22</f>
        <v>900000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HISTOJANV24!AC22+HISTOFEV24!AC22+HISTOMARS24!AC22+HISTOAVRIL24!AC22+HISTOMAI24!AC22+HISTOJUIN24!AC22+HISTOJUIL24!AC22+HISTOAOUT24!AC22+HISTOSEPT24!AC22+HISTOOCT24!AC22+HISTONOV24!AC22+HISTODEC244!AC22</f>
        <v>17000</v>
      </c>
      <c r="AD22" s="9">
        <f>HISTOJANV24!AD22+HISTOFEV24!AD22+HISTOMARS24!AD22+HISTOAVRIL24!AD22+HISTOMAI24!AD22+HISTOJUIN24!AD22+HISTOJUIL24!AD22+HISTOAOUT24!AD22+HISTOSEPT24!AD22+HISTOOCT24!AD22+HISTONOV24!AD22+HISTODEC244!AD22</f>
        <v>7500</v>
      </c>
      <c r="AE22" s="9">
        <f>HISTOJANV24!AE22+HISTOFEV24!AE22+HISTOMARS24!AE22+HISTOAVRIL24!AE22+HISTOMAI24!AE22+HISTOJUIN24!AE22+HISTOJUIL24!AE22+HISTOAOUT24!AE22+HISTOSEPT24!AE22+HISTOOCT24!AE22+HISTONOV24!AE22+HISTODEC244!AE22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HISTOJANV24!AH22+HISTOFEV24!AH22+HISTOMARS24!AH22+HISTOAVRIL24!AH22+HISTOMAI24!AH22+HISTOJUIN24!AH22+HISTOJUIL24!AH22+HISTOAOUT24!AH22+HISTOSEPT24!AH22+HISTOOCT24!AH22+HISTONOV24!AH22+HISTODEC244!AH22</f>
        <v>0</v>
      </c>
      <c r="AI22" s="9">
        <f>HISTOJANV24!AI22+HISTOFEV24!AI22+HISTOMARS24!AI22+HISTOAVRIL24!AI22+HISTOMAI24!AI22+HISTOJUIN24!AI22+HISTOJUIL24!AI22+HISTOAOUT24!AI22+HISTOSEPT24!AI22+HISTOOCT24!AI22+HISTONOV24!AI22+HISTODEC244!AI22</f>
        <v>0</v>
      </c>
      <c r="AJ22" s="9">
        <f>HISTOJANV24!AJ22+HISTOFEV24!AJ22+HISTOMARS24!AJ22+HISTOAVRIL24!AJ22+HISTOMAI24!AJ22+HISTOJUIN24!AJ22+HISTOJUIL24!AJ22+HISTOAOUT24!AJ22+HISTOSEPT24!AJ22+HISTOOCT24!AJ22+HISTONOV24!AJ22+HISTODEC244!AJ22</f>
        <v>0</v>
      </c>
      <c r="AK22" s="9">
        <f>HISTOJANV24!AK22+HISTOFEV24!AK22+HISTOMARS24!AK22+HISTOAVRIL24!AK22+HISTOMAI24!AK22+HISTOJUIN24!AK22+HISTOJUIL24!AK22+HISTOAOUT24!AK22+HISTOSEPT24!AK22+HISTOOCT24!AK22+HISTONOV24!AK22+HISTODEC244!AK22</f>
        <v>0</v>
      </c>
      <c r="AL22" s="9">
        <f>HISTOJANV24!AL22+HISTOFEV24!AL22+HISTOMARS24!AL22+HISTOAVRIL24!AL22+HISTOMAI24!AL22+HISTOJUIN24!AL22+HISTOJUIL24!AL22+HISTOAOUT24!AL22+HISTOSEPT24!AL22+HISTOOCT24!AL22+HISTONOV24!AL22+HISTODEC244!AL22</f>
        <v>0</v>
      </c>
      <c r="AM22" s="9">
        <f>HISTOJANV24!AM22+HISTOFEV24!AM22+HISTOMARS24!AM22+HISTOAVRIL24!AM22+HISTOMAI24!AM22+HISTOJUIN24!AM22+HISTOJUIL24!AM22+HISTOAOUT24!AM22+HISTOSEPT24!AM22+HISTOOCT24!AM22+HISTONOV24!AM22+HISTODEC244!AM22</f>
        <v>0</v>
      </c>
      <c r="AN22" s="9">
        <f>HISTOJANV24!AN22+HISTOFEV24!AN22+HISTOMARS24!AN22+HISTOAVRIL24!AN22+HISTOMAI24!AN22+HISTOJUIN24!AN22+HISTOJUIL24!AN22+HISTOAOUT24!AN22+HISTOSEPT24!AN22+HISTOOCT24!AN22+HISTONOV24!AN22+HISTODEC244!AN22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HISTOJANV24!AW22+HISTOFEV24!AW22+HISTOMARS24!AW22+HISTOAVRIL24!AW22+HISTOMAI24!AW22+HISTOJUIN24!AW22+HISTOJUIL24!AW22+HISTOAOUT24!AW22+HISTOSEPT24!AW22+HISTOOCT24!AW22+HISTONOV24!AW22+HISTODEC244!AW22</f>
        <v>283000</v>
      </c>
      <c r="AX22" s="9">
        <f>HISTOJANV24!AX22+HISTOFEV24!AX22+HISTOMARS24!AX22+HISTOAVRIL24!AX22+HISTOMAI24!AX22+HISTOJUIN24!AX22+HISTOJUIL24!AX22+HISTOAOUT24!AX22+HISTOSEPT24!AX22+HISTOOCT24!AX22+HISTONOV24!AX22+HISTODEC244!AX22</f>
        <v>892500</v>
      </c>
      <c r="AY22" s="9">
        <f>HISTOJANV24!AY22+HISTOFEV24!AY22+HISTOMARS24!AY22+HISTOAVRIL24!AY22+HISTOMAI24!AY22+HISTOJUIN24!AY22+HISTOJUIL24!AY22+HISTOAOUT24!AY22+HISTOSEPT24!AY22+HISTOOCT24!AY22+HISTONOV24!AY22+HISTODEC244!AY22</f>
        <v>0</v>
      </c>
      <c r="AZ22" s="9">
        <f>HISTOJANV24!AZ22+HISTOFEV24!AZ22+HISTOMARS24!AZ22+HISTOAVRIL24!AZ22+HISTOMAI24!AZ22+HISTOJUIN24!AZ22+HISTOJUIL24!AZ22+HISTOAOUT24!AZ22+HISTOSEPT24!AZ22+HISTOOCT24!AZ22+HISTONOV24!AZ22+HISTODEC244!AZ22</f>
        <v>1075000</v>
      </c>
      <c r="BA22" s="9">
        <f>HISTOJANV24!BA22+HISTOFEV24!BA22+HISTOMARS24!BA22+HISTOAVRIL24!BA22+HISTOMAI24!BA22+HISTOJUIN24!BA22+HISTOJUIL24!BA22+HISTOAOUT24!BA22+HISTOSEPT24!BA22+HISTOOCT24!BA22+HISTONOV24!BA22+HISTODEC244!BA22</f>
        <v>0</v>
      </c>
      <c r="BB22" s="9">
        <f>HISTOJANV24!BB22+HISTOFEV24!BB22+HISTOMARS24!BB22+HISTOAVRIL24!BB22+HISTOMAI24!BB22+HISTOJUIN24!BB22+HISTOJUIL24!BB22+HISTOAOUT24!BB22+HISTOSEPT24!BB22+HISTOOCT24!BB22+HISTONOV24!BB22+HISTODEC244!BB22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HISTOJANV24!BD22+HISTOFEV24!BD22+HISTOMARS24!BD22+HISTOAVRIL24!BD22+HISTOMAI24!BD22+HISTOJUIN24!BD22+HISTOJUIL24!BD22+HISTOAOUT24!BD22+HISTOSEPT24!BD22+HISTOOCT24!BD22+HISTONOV24!BD22+HISTODEC244!BD22</f>
        <v>1075000</v>
      </c>
      <c r="BE22" s="82"/>
      <c r="BF22" s="9">
        <f>HISTOJANV24!BF22+HISTOFEV24!BF22+HISTOMARS24!BF22+HISTOAVRIL24!BF22+HISTOMAI24!BF22+HISTOJUIN24!BF22+HISTOJUIL24!BF22+HISTOAOUT24!BF22+HISTOSEPT24!BF22+HISTOOCT24!BF22+HISTONOV24!BF22+HISTODEC244!BF22</f>
        <v>108000</v>
      </c>
      <c r="BG22" s="29"/>
      <c r="BH22" s="15"/>
      <c r="BI22" s="15"/>
      <c r="BJ22" s="15"/>
      <c r="BK22" s="15"/>
      <c r="BL22" s="61"/>
      <c r="BO22" s="62" t="s">
        <v>142</v>
      </c>
      <c r="BQ22" s="62">
        <f>SUM(BQ18:BQ21)</f>
        <v>5326618</v>
      </c>
    </row>
    <row r="23" spans="1:69" ht="18.5" x14ac:dyDescent="0.45">
      <c r="A23" s="1" t="s">
        <v>28</v>
      </c>
      <c r="B23" s="1">
        <v>250000</v>
      </c>
      <c r="C23" s="5"/>
      <c r="D23" s="9">
        <f>HISTOJANV24!D23+HISTOFEV24!D23+HISTOMARS24!D23+HISTOAVRIL24!D23+HISTOMAI24!D23+HISTOJUIN24!D23+HISTOJUIL24!D23+HISTOAOUT24!D23+HISTOSEPT24!D23+HISTOOCT24!D23+HISTONOV24!D23+HISTODEC244!D23</f>
        <v>5286000</v>
      </c>
      <c r="E23" s="9">
        <f>HISTOJANV24!E23+HISTOFEV24!E23+HISTOMARS24!E23+HISTOAVRIL24!E23+HISTOMAI24!E23+HISTOJUIN24!E23+HISTOJUIL24!E23+HISTOAOUT24!E23+HISTOSEPT24!E23+HISTOOCT24!E23+HISTONOV24!E23+HISTODEC244!E23</f>
        <v>0</v>
      </c>
      <c r="F23" s="9">
        <f>HISTOJANV24!F23+HISTOFEV24!F23+HISTOMARS24!F23+HISTOAVRIL24!F23+HISTOMAI24!F23+HISTOJUIN24!F23+HISTOJUIL24!F23+HISTOAOUT24!F23+HISTOSEPT24!F23+HISTOOCT24!F23+HISTONOV24!F23+HISTODEC244!F23</f>
        <v>0</v>
      </c>
      <c r="G23" s="9">
        <f>HISTOJANV24!G23+HISTOFEV24!G23+HISTOMARS24!G23+HISTOAVRIL24!G23+HISTOMAI24!G23+HISTOJUIN24!G23+HISTOJUIL24!G23+HISTOAOUT24!G23+HISTOSEPT24!G23+HISTOOCT24!G23+HISTONOV24!G23+HISTODEC244!G23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HISTOJANV24!I23+HISTOFEV24!I23+HISTOMARS24!I23+HISTOAVRIL24!I23+HISTOMAI24!I23+HISTOJUIN24!I23+HISTOJUIL24!I23+HISTOAOUT24!I23+HISTOSEPT24!I23+HISTOOCT24!I23+HISTONOV24!I23+HISTODEC244!I23</f>
        <v>140000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HISTOJANV24!P23+HISTOFEV24!P23+HISTOMARS24!P23+HISTOAVRIL24!P23+HISTOMAI24!P23+HISTOJUIN24!P23+HISTOJUIL24!P23+HISTOAOUT24!P23+HISTOSEPT24!P23+HISTOOCT24!P23+HISTONOV24!P23+HISTODEC244!P23</f>
        <v>0</v>
      </c>
      <c r="Q23" s="9">
        <f>HISTOJANV24!Q23+HISTOFEV24!Q23+HISTOMARS24!Q23+HISTOAVRIL24!Q23+HISTOMAI24!Q23+HISTOJUIN24!Q23+HISTOJUIL24!Q23+HISTOAOUT24!Q23+HISTOSEPT24!Q23+HISTOOCT24!Q23+HISTONOV24!Q23+HISTODEC244!Q23</f>
        <v>0</v>
      </c>
      <c r="R23" s="9">
        <f>HISTOJANV24!R23+HISTOFEV24!R23+HISTOMARS24!R23+HISTOAVRIL24!R23+HISTOMAI24!R23+HISTOJUIN24!R23+HISTOJUIL24!R23+HISTOAOUT24!R23+HISTOSEPT24!R23+HISTOOCT24!R23+HISTONOV24!R23+HISTODEC244!R23</f>
        <v>1616500</v>
      </c>
      <c r="S23" s="9">
        <f>HISTOJANV24!S23+HISTOFEV24!S23+HISTOMARS24!S23+HISTOAVRIL24!S23+HISTOMAI24!S23+HISTOJUIN24!S23+HISTOJUIL24!S23+HISTOAOUT24!S23+HISTOSEPT24!S23+HISTOOCT24!S23+HISTONOV24!S23+HISTODEC244!S23</f>
        <v>500000</v>
      </c>
      <c r="T23" s="12"/>
      <c r="U23" s="17">
        <f t="shared" si="5"/>
        <v>2506500</v>
      </c>
      <c r="V23" s="9">
        <f>HISTOJANV24!V23+HISTOFEV24!V23+HISTOMARS24!V23+HISTOAVRIL24!V23+HISTOMAI24!V23+HISTOJUIN24!V23+HISTOJUIL24!V23+HISTOAOUT24!V23+HISTOSEPT24!V23+HISTOOCT24!V23+HISTONOV24!V23+HISTODEC244!V23</f>
        <v>0</v>
      </c>
      <c r="W23" s="9">
        <f>HISTOJANV24!W23+HISTOFEV24!W23+HISTOMARS24!W23+HISTOAVRIL24!W23+HISTOMAI24!W23+HISTOJUIN24!W23+HISTOJUIL24!W23+HISTOAOUT24!W23+HISTOSEPT24!W23+HISTOOCT24!W23+HISTONOV24!W23+HISTODEC244!W23</f>
        <v>0</v>
      </c>
      <c r="X23" s="9">
        <f>HISTOJANV24!X23+HISTOFEV24!X23+HISTOMARS24!X23+HISTOAVRIL24!X23+HISTOMAI24!X23+HISTOJUIN24!X23+HISTOJUIL24!X23+HISTOAOUT24!X23+HISTOSEPT24!X23+HISTOOCT24!X23+HISTONOV24!X23+HISTODEC244!X23</f>
        <v>0</v>
      </c>
      <c r="Y23" s="9">
        <f>HISTOJANV24!Y23+HISTOFEV24!Y23+HISTOMARS24!Y23+HISTOAVRIL24!Y23+HISTOMAI24!Y23+HISTOJUIN24!Y23+HISTOJUIL24!Y23+HISTOAOUT24!Y23+HISTOSEPT24!Y23+HISTOOCT24!Y23+HISTONOV24!Y23+HISTODEC244!Y23</f>
        <v>0</v>
      </c>
      <c r="Z23" s="9">
        <f>HISTOJANV24!Z23+HISTOFEV24!Z23+HISTOMARS24!Z23+HISTOAVRIL24!Z23+HISTOMAI24!Z23+HISTOJUIN24!Z23+HISTOJUIL24!Z23+HISTOAOUT24!Z23+HISTOSEPT24!Z23+HISTOOCT24!Z23+HISTONOV24!Z23+HISTODEC244!Z23</f>
        <v>500000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HISTOJANV24!AC23+HISTOFEV24!AC23+HISTOMARS24!AC23+HISTOAVRIL24!AC23+HISTOMAI24!AC23+HISTOJUIN24!AC23+HISTOJUIL24!AC23+HISTOAOUT24!AC23+HISTOSEPT24!AC23+HISTOOCT24!AC23+HISTONOV24!AC23+HISTODEC244!AC23</f>
        <v>3000</v>
      </c>
      <c r="AD23" s="9">
        <f>HISTOJANV24!AD23+HISTOFEV24!AD23+HISTOMARS24!AD23+HISTOAVRIL24!AD23+HISTOMAI24!AD23+HISTOJUIN24!AD23+HISTOJUIL24!AD23+HISTOAOUT24!AD23+HISTOSEPT24!AD23+HISTOOCT24!AD23+HISTONOV24!AD23+HISTODEC244!AD23</f>
        <v>0</v>
      </c>
      <c r="AE23" s="9">
        <f>HISTOJANV24!AE23+HISTOFEV24!AE23+HISTOMARS24!AE23+HISTOAVRIL24!AE23+HISTOMAI24!AE23+HISTOJUIN24!AE23+HISTOJUIL24!AE23+HISTOAOUT24!AE23+HISTOSEPT24!AE23+HISTOOCT24!AE23+HISTONOV24!AE23+HISTODEC244!AE23</f>
        <v>20000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HISTOJANV24!AH23+HISTOFEV24!AH23+HISTOMARS24!AH23+HISTOAVRIL24!AH23+HISTOMAI24!AH23+HISTOJUIN24!AH23+HISTOJUIL24!AH23+HISTOAOUT24!AH23+HISTOSEPT24!AH23+HISTOOCT24!AH23+HISTONOV24!AH23+HISTODEC244!AH23</f>
        <v>0</v>
      </c>
      <c r="AI23" s="9">
        <f>HISTOJANV24!AI23+HISTOFEV24!AI23+HISTOMARS24!AI23+HISTOAVRIL24!AI23+HISTOMAI24!AI23+HISTOJUIN24!AI23+HISTOJUIL24!AI23+HISTOAOUT24!AI23+HISTOSEPT24!AI23+HISTOOCT24!AI23+HISTONOV24!AI23+HISTODEC244!AI23</f>
        <v>0</v>
      </c>
      <c r="AJ23" s="9">
        <f>HISTOJANV24!AJ23+HISTOFEV24!AJ23+HISTOMARS24!AJ23+HISTOAVRIL24!AJ23+HISTOMAI24!AJ23+HISTOJUIN24!AJ23+HISTOJUIL24!AJ23+HISTOAOUT24!AJ23+HISTOSEPT24!AJ23+HISTOOCT24!AJ23+HISTONOV24!AJ23+HISTODEC244!AJ23</f>
        <v>0</v>
      </c>
      <c r="AK23" s="9">
        <f>HISTOJANV24!AK23+HISTOFEV24!AK23+HISTOMARS24!AK23+HISTOAVRIL24!AK23+HISTOMAI24!AK23+HISTOJUIN24!AK23+HISTOJUIL24!AK23+HISTOAOUT24!AK23+HISTOSEPT24!AK23+HISTOOCT24!AK23+HISTONOV24!AK23+HISTODEC244!AK23</f>
        <v>1600000</v>
      </c>
      <c r="AL23" s="9">
        <f>HISTOJANV24!AL23+HISTOFEV24!AL23+HISTOMARS24!AL23+HISTOAVRIL24!AL23+HISTOMAI24!AL23+HISTOJUIN24!AL23+HISTOJUIL24!AL23+HISTOAOUT24!AL23+HISTOSEPT24!AL23+HISTOOCT24!AL23+HISTONOV24!AL23+HISTODEC244!AL23</f>
        <v>0</v>
      </c>
      <c r="AM23" s="9">
        <f>HISTOJANV24!AM23+HISTOFEV24!AM23+HISTOMARS24!AM23+HISTOAVRIL24!AM23+HISTOMAI24!AM23+HISTOJUIN24!AM23+HISTOJUIL24!AM23+HISTOAOUT24!AM23+HISTOSEPT24!AM23+HISTOOCT24!AM23+HISTONOV24!AM23+HISTODEC244!AM23</f>
        <v>0</v>
      </c>
      <c r="AN23" s="9">
        <f>HISTOJANV24!AN23+HISTOFEV24!AN23+HISTOMARS24!AN23+HISTOAVRIL24!AN23+HISTOMAI24!AN23+HISTOJUIN24!AN23+HISTOJUIL24!AN23+HISTOAOUT24!AN23+HISTOSEPT24!AN23+HISTOOCT24!AN23+HISTONOV24!AN23+HISTODEC244!AN23</f>
        <v>16500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165000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HISTOJANV24!AW23+HISTOFEV24!AW23+HISTOMARS24!AW23+HISTOAVRIL24!AW23+HISTOMAI24!AW23+HISTOJUIN24!AW23+HISTOJUIL24!AW23+HISTOAOUT24!AW23+HISTOSEPT24!AW23+HISTOOCT24!AW23+HISTONOV24!AW23+HISTODEC244!AW23</f>
        <v>297000</v>
      </c>
      <c r="AX23" s="9">
        <f>HISTOJANV24!AX23+HISTOFEV24!AX23+HISTOMARS24!AX23+HISTOAVRIL24!AX23+HISTOMAI24!AX23+HISTOJUIN24!AX23+HISTOJUIL24!AX23+HISTOAOUT24!AX23+HISTOSEPT24!AX23+HISTOOCT24!AX23+HISTONOV24!AX23+HISTODEC244!AX23</f>
        <v>0</v>
      </c>
      <c r="AY23" s="9">
        <f>HISTOJANV24!AY23+HISTOFEV24!AY23+HISTOMARS24!AY23+HISTOAVRIL24!AY23+HISTOMAI24!AY23+HISTOJUIN24!AY23+HISTOJUIL24!AY23+HISTOAOUT24!AY23+HISTOSEPT24!AY23+HISTOOCT24!AY23+HISTONOV24!AY23+HISTODEC244!AY23</f>
        <v>3980000</v>
      </c>
      <c r="AZ23" s="9">
        <f>HISTOJANV24!AZ23+HISTOFEV24!AZ23+HISTOMARS24!AZ23+HISTOAVRIL24!AZ23+HISTOMAI24!AZ23+HISTOJUIN24!AZ23+HISTOJUIL24!AZ23+HISTOAOUT24!AZ23+HISTOSEPT24!AZ23+HISTOOCT24!AZ23+HISTONOV24!AZ23+HISTODEC244!AZ23</f>
        <v>4717000</v>
      </c>
      <c r="BA23" s="9">
        <f>HISTOJANV24!BA23+HISTOFEV24!BA23+HISTOMARS24!BA23+HISTOAVRIL24!BA23+HISTOMAI24!BA23+HISTOJUIN24!BA23+HISTOJUIL24!BA23+HISTOAOUT24!BA23+HISTOSEPT24!BA23+HISTOOCT24!BA23+HISTONOV24!BA23+HISTODEC244!BA23</f>
        <v>256000</v>
      </c>
      <c r="BB23" s="9">
        <f>HISTOJANV24!BB23+HISTOFEV24!BB23+HISTOMARS24!BB23+HISTOAVRIL24!BB23+HISTOMAI24!BB23+HISTOJUIN24!BB23+HISTOJUIL24!BB23+HISTOAOUT24!BB23+HISTOSEPT24!BB23+HISTOOCT24!BB23+HISTONOV24!BB23+HISTODEC244!BB23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HISTOJANV24!BD23+HISTOFEV24!BD23+HISTOMARS24!BD23+HISTOAVRIL24!BD23+HISTOMAI24!BD23+HISTOJUIN24!BD23+HISTOJUIL24!BD23+HISTOAOUT24!BD23+HISTOSEPT24!BD23+HISTOOCT24!BD23+HISTONOV24!BD23+HISTODEC244!BD23</f>
        <v>4517000</v>
      </c>
      <c r="BE23" s="82"/>
      <c r="BF23" s="9">
        <f>HISTOJANV24!BF23+HISTOFEV24!BF23+HISTOMARS24!BF23+HISTOAVRIL24!BF23+HISTOMAI24!BF23+HISTOJUIN24!BF23+HISTOJUIL24!BF23+HISTOAOUT24!BF23+HISTOSEPT24!BF23+HISTOOCT24!BF23+HISTONOV24!BF23+HISTODEC244!BF23</f>
        <v>60000</v>
      </c>
      <c r="BG23" s="29"/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>
        <v>225000</v>
      </c>
      <c r="C24" s="5"/>
      <c r="D24" s="9">
        <f>HISTOJANV24!D24+HISTOFEV24!D24+HISTOMARS24!D24+HISTOAVRIL24!D24+HISTOMAI24!D24+HISTOJUIN24!D24+HISTOJUIL24!D24+HISTOAOUT24!D24+HISTOSEPT24!D24+HISTOOCT24!D24+HISTONOV24!D24+HISTODEC244!D24</f>
        <v>2902000</v>
      </c>
      <c r="E24" s="9">
        <f>HISTOJANV24!E24+HISTOFEV24!E24+HISTOMARS24!E24+HISTOAVRIL24!E24+HISTOMAI24!E24+HISTOJUIN24!E24+HISTOJUIL24!E24+HISTOAOUT24!E24+HISTOSEPT24!E24+HISTOOCT24!E24+HISTONOV24!E24+HISTODEC244!E24</f>
        <v>1594000</v>
      </c>
      <c r="F24" s="9">
        <f>HISTOJANV24!F24+HISTOFEV24!F24+HISTOMARS24!F24+HISTOAVRIL24!F24+HISTOMAI24!F24+HISTOJUIN24!F24+HISTOJUIL24!F24+HISTOAOUT24!F24+HISTOSEPT24!F24+HISTOOCT24!F24+HISTONOV24!F24+HISTODEC244!F24</f>
        <v>500000</v>
      </c>
      <c r="G24" s="9">
        <f>HISTOJANV24!G24+HISTOFEV24!G24+HISTOMARS24!G24+HISTOAVRIL24!G24+HISTOMAI24!G24+HISTOJUIN24!G24+HISTOJUIL24!G24+HISTOAOUT24!G24+HISTOSEPT24!G24+HISTOOCT24!G24+HISTONOV24!G24+HISTODEC244!G24</f>
        <v>12000</v>
      </c>
      <c r="H24" s="10"/>
      <c r="I24" s="9">
        <f>HISTOJANV24!I24+HISTOFEV24!I24+HISTOMARS24!I24+HISTOAVRIL24!I24+HISTOMAI24!I24+HISTOJUIN24!I24+HISTOJUIL24!I24+HISTOAOUT24!I24+HISTOSEPT24!I24+HISTOOCT24!I24+HISTONOV24!I24+HISTODEC244!I24</f>
        <v>165000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HISTOJANV24!P24+HISTOFEV24!P24+HISTOMARS24!P24+HISTOAVRIL24!P24+HISTOMAI24!P24+HISTOJUIN24!P24+HISTOJUIL24!P24+HISTOAOUT24!P24+HISTOSEPT24!P24+HISTOOCT24!P24+HISTONOV24!P24+HISTODEC244!P24</f>
        <v>0</v>
      </c>
      <c r="Q24" s="9">
        <f>HISTOJANV24!Q24+HISTOFEV24!Q24+HISTOMARS24!Q24+HISTOAVRIL24!Q24+HISTOMAI24!Q24+HISTOJUIN24!Q24+HISTOJUIL24!Q24+HISTOAOUT24!Q24+HISTOSEPT24!Q24+HISTOOCT24!Q24+HISTONOV24!Q24+HISTODEC244!Q24</f>
        <v>0</v>
      </c>
      <c r="R24" s="9">
        <f>HISTOJANV24!R24+HISTOFEV24!R24+HISTOMARS24!R24+HISTOAVRIL24!R24+HISTOMAI24!R24+HISTOJUIN24!R24+HISTOJUIL24!R24+HISTOAOUT24!R24+HISTOSEPT24!R24+HISTOOCT24!R24+HISTONOV24!R24+HISTODEC244!R24</f>
        <v>1322500</v>
      </c>
      <c r="S24" s="9">
        <f>HISTOJANV24!S24+HISTOFEV24!S24+HISTOMARS24!S24+HISTOAVRIL24!S24+HISTOMAI24!S24+HISTOJUIN24!S24+HISTOJUIL24!S24+HISTOAOUT24!S24+HISTOSEPT24!S24+HISTOOCT24!S24+HISTONOV24!S24+HISTODEC244!S24</f>
        <v>1000000</v>
      </c>
      <c r="T24" s="12"/>
      <c r="U24" s="17">
        <f t="shared" si="5"/>
        <v>2724500</v>
      </c>
      <c r="V24" s="9">
        <f>HISTOJANV24!V24+HISTOFEV24!V24+HISTOMARS24!V24+HISTOAVRIL24!V24+HISTOMAI24!V24+HISTOJUIN24!V24+HISTOJUIL24!V24+HISTOAOUT24!V24+HISTOSEPT24!V24+HISTOOCT24!V24+HISTONOV24!V24+HISTODEC244!V24</f>
        <v>0</v>
      </c>
      <c r="W24" s="9">
        <f>HISTOJANV24!W24+HISTOFEV24!W24+HISTOMARS24!W24+HISTOAVRIL24!W24+HISTOMAI24!W24+HISTOJUIN24!W24+HISTOJUIL24!W24+HISTOAOUT24!W24+HISTOSEPT24!W24+HISTOOCT24!W24+HISTONOV24!W24+HISTODEC244!W24</f>
        <v>0</v>
      </c>
      <c r="X24" s="9">
        <f>HISTOJANV24!X24+HISTOFEV24!X24+HISTOMARS24!X24+HISTOAVRIL24!X24+HISTOMAI24!X24+HISTOJUIN24!X24+HISTOJUIL24!X24+HISTOAOUT24!X24+HISTOSEPT24!X24+HISTOOCT24!X24+HISTONOV24!X24+HISTODEC244!X24</f>
        <v>0</v>
      </c>
      <c r="Y24" s="9">
        <f>HISTOJANV24!Y24+HISTOFEV24!Y24+HISTOMARS24!Y24+HISTOAVRIL24!Y24+HISTOMAI24!Y24+HISTOJUIN24!Y24+HISTOJUIL24!Y24+HISTOAOUT24!Y24+HISTOSEPT24!Y24+HISTOOCT24!Y24+HISTONOV24!Y24+HISTODEC244!Y24</f>
        <v>0</v>
      </c>
      <c r="Z24" s="9">
        <f>HISTOJANV24!Z24+HISTOFEV24!Z24+HISTOMARS24!Z24+HISTOAVRIL24!Z24+HISTOMAI24!Z24+HISTOJUIN24!Z24+HISTOJUIL24!Z24+HISTOAOUT24!Z24+HISTOSEPT24!Z24+HISTOOCT24!Z24+HISTONOV24!Z24+HISTODEC244!Z24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HISTOJANV24!AC24+HISTOFEV24!AC24+HISTOMARS24!AC24+HISTOAVRIL24!AC24+HISTOMAI24!AC24+HISTOJUIN24!AC24+HISTOJUIL24!AC24+HISTOAOUT24!AC24+HISTOSEPT24!AC24+HISTOOCT24!AC24+HISTONOV24!AC24+HISTODEC244!AC24</f>
        <v>3000</v>
      </c>
      <c r="AD24" s="9">
        <f>HISTOJANV24!AD24+HISTOFEV24!AD24+HISTOMARS24!AD24+HISTOAVRIL24!AD24+HISTOMAI24!AD24+HISTOJUIN24!AD24+HISTOJUIL24!AD24+HISTOAOUT24!AD24+HISTOSEPT24!AD24+HISTOOCT24!AD24+HISTONOV24!AD24+HISTODEC244!AD24</f>
        <v>7500</v>
      </c>
      <c r="AE24" s="9">
        <f>HISTOJANV24!AE24+HISTOFEV24!AE24+HISTOMARS24!AE24+HISTOAVRIL24!AE24+HISTOMAI24!AE24+HISTOJUIN24!AE24+HISTOJUIL24!AE24+HISTOAOUT24!AE24+HISTOSEPT24!AE24+HISTOOCT24!AE24+HISTONOV24!AE24+HISTODEC244!AE24</f>
        <v>15000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HISTOJANV24!AH24+HISTOFEV24!AH24+HISTOMARS24!AH24+HISTOAVRIL24!AH24+HISTOMAI24!AH24+HISTOJUIN24!AH24+HISTOJUIL24!AH24+HISTOAOUT24!AH24+HISTOSEPT24!AH24+HISTOOCT24!AH24+HISTONOV24!AH24+HISTODEC244!AH24</f>
        <v>0</v>
      </c>
      <c r="AI24" s="9">
        <f>HISTOJANV24!AI24+HISTOFEV24!AI24+HISTOMARS24!AI24+HISTOAVRIL24!AI24+HISTOMAI24!AI24+HISTOJUIN24!AI24+HISTOJUIL24!AI24+HISTOAOUT24!AI24+HISTOSEPT24!AI24+HISTOOCT24!AI24+HISTONOV24!AI24+HISTODEC244!AI24</f>
        <v>0</v>
      </c>
      <c r="AJ24" s="9">
        <f>HISTOJANV24!AJ24+HISTOFEV24!AJ24+HISTOMARS24!AJ24+HISTOAVRIL24!AJ24+HISTOMAI24!AJ24+HISTOJUIN24!AJ24+HISTOJUIL24!AJ24+HISTOAOUT24!AJ24+HISTOSEPT24!AJ24+HISTOOCT24!AJ24+HISTONOV24!AJ24+HISTODEC244!AJ24</f>
        <v>0</v>
      </c>
      <c r="AK24" s="9">
        <f>HISTOJANV24!AK24+HISTOFEV24!AK24+HISTOMARS24!AK24+HISTOAVRIL24!AK24+HISTOMAI24!AK24+HISTOJUIN24!AK24+HISTOJUIL24!AK24+HISTOAOUT24!AK24+HISTOSEPT24!AK24+HISTOOCT24!AK24+HISTONOV24!AK24+HISTODEC244!AK24</f>
        <v>1408500</v>
      </c>
      <c r="AL24" s="9">
        <f>HISTOJANV24!AL24+HISTOFEV24!AL24+HISTOMARS24!AL24+HISTOAVRIL24!AL24+HISTOMAI24!AL24+HISTOJUIN24!AL24+HISTOJUIL24!AL24+HISTOAOUT24!AL24+HISTOSEPT24!AL24+HISTOOCT24!AL24+HISTONOV24!AL24+HISTODEC244!AL24</f>
        <v>0</v>
      </c>
      <c r="AM24" s="9">
        <f>HISTOJANV24!AM24+HISTOFEV24!AM24+HISTOMARS24!AM24+HISTOAVRIL24!AM24+HISTOMAI24!AM24+HISTOJUIN24!AM24+HISTOJUIL24!AM24+HISTOAOUT24!AM24+HISTOSEPT24!AM24+HISTOOCT24!AM24+HISTONOV24!AM24+HISTODEC244!AM24</f>
        <v>0</v>
      </c>
      <c r="AN24" s="9">
        <f>HISTOJANV24!AN24+HISTOFEV24!AN24+HISTOMARS24!AN24+HISTOAVRIL24!AN24+HISTOMAI24!AN24+HISTOJUIN24!AN24+HISTOJUIL24!AN24+HISTOAOUT24!AN24+HISTOSEPT24!AN24+HISTOOCT24!AN24+HISTONOV24!AN24+HISTODEC244!AN24</f>
        <v>17000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190000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HISTOJANV24!AW24+HISTOFEV24!AW24+HISTOMARS24!AW24+HISTOAVRIL24!AW24+HISTOMAI24!AW24+HISTOJUIN24!AW24+HISTOJUIL24!AW24+HISTOAOUT24!AW24+HISTOSEPT24!AW24+HISTOOCT24!AW24+HISTONOV24!AW24+HISTODEC244!AW24</f>
        <v>297000</v>
      </c>
      <c r="AX24" s="9">
        <f>HISTOJANV24!AX24+HISTOFEV24!AX24+HISTOMARS24!AX24+HISTOAVRIL24!AX24+HISTOMAI24!AX24+HISTOJUIN24!AX24+HISTOJUIL24!AX24+HISTOAOUT24!AX24+HISTOSEPT24!AX24+HISTOOCT24!AX24+HISTONOV24!AX24+HISTODEC244!AX24</f>
        <v>892500</v>
      </c>
      <c r="AY24" s="9">
        <f>HISTOJANV24!AY24+HISTOFEV24!AY24+HISTOMARS24!AY24+HISTOAVRIL24!AY24+HISTOMAI24!AY24+HISTOJUIN24!AY24+HISTOJUIL24!AY24+HISTOAOUT24!AY24+HISTOSEPT24!AY24+HISTOOCT24!AY24+HISTONOV24!AY24+HISTODEC244!AY24</f>
        <v>2593500</v>
      </c>
      <c r="AZ24" s="9">
        <f>HISTOJANV24!AZ24+HISTOFEV24!AZ24+HISTOMARS24!AZ24+HISTOAVRIL24!AZ24+HISTOMAI24!AZ24+HISTOJUIN24!AZ24+HISTOJUIL24!AZ24+HISTOAOUT24!AZ24+HISTOSEPT24!AZ24+HISTOOCT24!AZ24+HISTONOV24!AZ24+HISTODEC244!AZ24</f>
        <v>3181000</v>
      </c>
      <c r="BA24" s="9">
        <f>HISTOJANV24!BA24+HISTOFEV24!BA24+HISTOMARS24!BA24+HISTOAVRIL24!BA24+HISTOMAI24!BA24+HISTOJUIN24!BA24+HISTOJUIL24!BA24+HISTOAOUT24!BA24+HISTOSEPT24!BA24+HISTOOCT24!BA24+HISTONOV24!BA24+HISTODEC244!BA24</f>
        <v>202000</v>
      </c>
      <c r="BB24" s="9">
        <f>HISTOJANV24!BB24+HISTOFEV24!BB24+HISTOMARS24!BB24+HISTOAVRIL24!BB24+HISTOMAI24!BB24+HISTOJUIN24!BB24+HISTOJUIL24!BB24+HISTOAOUT24!BB24+HISTOSEPT24!BB24+HISTOOCT24!BB24+HISTONOV24!BB24+HISTODEC244!BB24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HISTOJANV24!BD24+HISTOFEV24!BD24+HISTOMARS24!BD24+HISTOAVRIL24!BD24+HISTOMAI24!BD24+HISTOJUIN24!BD24+HISTOJUIL24!BD24+HISTOAOUT24!BD24+HISTOSEPT24!BD24+HISTOOCT24!BD24+HISTONOV24!BD24+HISTODEC244!BD24</f>
        <v>2693500</v>
      </c>
      <c r="BE24" s="82"/>
      <c r="BF24" s="9">
        <f>HISTOJANV24!BF24+HISTOFEV24!BF24+HISTOMARS24!BF24+HISTOAVRIL24!BF24+HISTOMAI24!BF24+HISTOJUIN24!BF24+HISTOJUIL24!BF24+HISTOAOUT24!BF24+HISTOSEPT24!BF24+HISTOOCT24!BF24+HISTONOV24!BF24+HISTODEC244!BF24</f>
        <v>0</v>
      </c>
      <c r="BG24" s="29"/>
      <c r="BH24" s="15"/>
      <c r="BI24" s="15"/>
      <c r="BJ24" s="15"/>
      <c r="BK24" s="15"/>
      <c r="BL24" s="61"/>
      <c r="BO24" t="s">
        <v>148</v>
      </c>
      <c r="BP24" t="s">
        <v>143</v>
      </c>
      <c r="BQ24" s="9">
        <f>HISTOJANV24!BQ24+HISTOFEV24!BQ24+HISTOMARS24!BQ24+HISTOAVRIL24!BQ24+HISTOMAI24!BQ24+HISTOJUIN24!BQ24+HISTOJUIL24!BQ24+HISTOAOUT24!BQ24+HISTOSEPT24!BQ24+HISTOOCT24!BQ24+HISTONOV24!BQ24+HISTODEC244!BQ24</f>
        <v>200000</v>
      </c>
    </row>
    <row r="25" spans="1:69" ht="18.5" x14ac:dyDescent="0.45">
      <c r="A25" s="1" t="s">
        <v>30</v>
      </c>
      <c r="B25" s="1">
        <v>250000</v>
      </c>
      <c r="C25" s="5"/>
      <c r="D25" s="9">
        <f>HISTOJANV24!D25+HISTOFEV24!D25+HISTOMARS24!D25+HISTOAVRIL24!D25+HISTOMAI24!D25+HISTOJUIN24!D25+HISTOJUIL24!D25+HISTOAOUT24!D25+HISTOSEPT24!D25+HISTOOCT24!D25+HISTONOV24!D25+HISTODEC244!D25</f>
        <v>5667000</v>
      </c>
      <c r="E25" s="9">
        <f>HISTOJANV24!E25+HISTOFEV24!E25+HISTOMARS24!E25+HISTOAVRIL24!E25+HISTOMAI24!E25+HISTOJUIN24!E25+HISTOJUIL24!E25+HISTOAOUT24!E25+HISTOSEPT24!E25+HISTOOCT24!E25+HISTONOV24!E25+HISTODEC244!E25</f>
        <v>104500</v>
      </c>
      <c r="F25" s="9">
        <f>HISTOJANV24!F25+HISTOFEV24!F25+HISTOMARS24!F25+HISTOAVRIL24!F25+HISTOMAI24!F25+HISTOJUIN24!F25+HISTOJUIL24!F25+HISTOAOUT24!F25+HISTOSEPT24!F25+HISTOOCT24!F25+HISTONOV24!F25+HISTODEC244!F25</f>
        <v>0</v>
      </c>
      <c r="G25" s="9">
        <f>HISTOJANV24!G25+HISTOFEV24!G25+HISTOMARS24!G25+HISTOAVRIL24!G25+HISTOMAI24!G25+HISTOJUIN24!G25+HISTOJUIL24!G25+HISTOAOUT24!G25+HISTOSEPT24!G25+HISTOOCT24!G25+HISTONOV24!G25+HISTODEC244!G25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HISTOJANV24!I25+HISTOFEV24!I25+HISTOMARS24!I25+HISTOAVRIL24!I25+HISTOMAI24!I25+HISTOJUIN24!I25+HISTOJUIL24!I25+HISTOAOUT24!I25+HISTOSEPT24!I25+HISTOOCT24!I25+HISTONOV24!I25+HISTODEC244!I25</f>
        <v>-7500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HISTOJANV24!P25+HISTOFEV24!P25+HISTOMARS24!P25+HISTOAVRIL24!P25+HISTOMAI24!P25+HISTOJUIN24!P25+HISTOJUIL24!P25+HISTOAOUT24!P25+HISTOSEPT24!P25+HISTOOCT24!P25+HISTONOV24!P25+HISTODEC244!P25</f>
        <v>92000</v>
      </c>
      <c r="Q25" s="9">
        <f>HISTOJANV24!Q25+HISTOFEV24!Q25+HISTOMARS24!Q25+HISTOAVRIL24!Q25+HISTOMAI24!Q25+HISTOJUIN24!Q25+HISTOJUIL24!Q25+HISTOAOUT24!Q25+HISTOSEPT24!Q25+HISTOOCT24!Q25+HISTONOV24!Q25+HISTODEC244!Q25</f>
        <v>270000</v>
      </c>
      <c r="R25" s="9">
        <f>HISTOJANV24!R25+HISTOFEV24!R25+HISTOMARS24!R25+HISTOAVRIL24!R25+HISTOMAI24!R25+HISTOJUIN24!R25+HISTOJUIL24!R25+HISTOAOUT24!R25+HISTOSEPT24!R25+HISTOOCT24!R25+HISTONOV24!R25+HISTODEC244!R25</f>
        <v>914000</v>
      </c>
      <c r="S25" s="9">
        <f>HISTOJANV24!S25+HISTOFEV24!S25+HISTOMARS24!S25+HISTOAVRIL24!S25+HISTOMAI24!S25+HISTOJUIN24!S25+HISTOJUIL24!S25+HISTOAOUT24!S25+HISTOSEPT24!S25+HISTOOCT24!S25+HISTONOV24!S25+HISTODEC244!S25</f>
        <v>1000000</v>
      </c>
      <c r="T25" s="12"/>
      <c r="U25" s="17">
        <f t="shared" si="5"/>
        <v>2646500</v>
      </c>
      <c r="V25" s="9">
        <f>HISTOJANV24!V25+HISTOFEV24!V25+HISTOMARS24!V25+HISTOAVRIL24!V25+HISTOMAI24!V25+HISTOJUIN24!V25+HISTOJUIL24!V25+HISTOAOUT24!V25+HISTOSEPT24!V25+HISTOOCT24!V25+HISTONOV24!V25+HISTODEC244!V25</f>
        <v>0</v>
      </c>
      <c r="W25" s="9">
        <f>HISTOJANV24!W25+HISTOFEV24!W25+HISTOMARS24!W25+HISTOAVRIL24!W25+HISTOMAI24!W25+HISTOJUIN24!W25+HISTOJUIL24!W25+HISTOAOUT24!W25+HISTOSEPT24!W25+HISTOOCT24!W25+HISTONOV24!W25+HISTODEC244!W25</f>
        <v>0</v>
      </c>
      <c r="X25" s="9">
        <f>HISTOJANV24!X25+HISTOFEV24!X25+HISTOMARS24!X25+HISTOAVRIL24!X25+HISTOMAI24!X25+HISTOJUIN24!X25+HISTOJUIL24!X25+HISTOAOUT24!X25+HISTOSEPT24!X25+HISTOOCT24!X25+HISTONOV24!X25+HISTODEC244!X25</f>
        <v>0</v>
      </c>
      <c r="Y25" s="9">
        <f>HISTOJANV24!Y25+HISTOFEV24!Y25+HISTOMARS24!Y25+HISTOAVRIL24!Y25+HISTOMAI24!Y25+HISTOJUIN24!Y25+HISTOJUIL24!Y25+HISTOAOUT24!Y25+HISTOSEPT24!Y25+HISTOOCT24!Y25+HISTONOV24!Y25+HISTODEC244!Y25</f>
        <v>0</v>
      </c>
      <c r="Z25" s="9">
        <f>HISTOJANV24!Z25+HISTOFEV24!Z25+HISTOMARS24!Z25+HISTOAVRIL24!Z25+HISTOMAI24!Z25+HISTOJUIN24!Z25+HISTOJUIL24!Z25+HISTOAOUT24!Z25+HISTOSEPT24!Z25+HISTOOCT24!Z25+HISTONOV24!Z25+HISTODEC244!Z25</f>
        <v>1000000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HISTOJANV24!AC25+HISTOFEV24!AC25+HISTOMARS24!AC25+HISTOAVRIL24!AC25+HISTOMAI24!AC25+HISTOJUIN24!AC25+HISTOJUIL24!AC25+HISTOAOUT24!AC25+HISTOSEPT24!AC25+HISTOOCT24!AC25+HISTONOV24!AC25+HISTODEC244!AC25</f>
        <v>11000</v>
      </c>
      <c r="AD25" s="9">
        <f>HISTOJANV24!AD25+HISTOFEV24!AD25+HISTOMARS24!AD25+HISTOAVRIL24!AD25+HISTOMAI24!AD25+HISTOJUIN24!AD25+HISTOJUIL24!AD25+HISTOAOUT24!AD25+HISTOSEPT24!AD25+HISTOOCT24!AD25+HISTONOV24!AD25+HISTODEC244!AD25</f>
        <v>97500</v>
      </c>
      <c r="AE25" s="9">
        <f>HISTOJANV24!AE25+HISTOFEV24!AE25+HISTOMARS24!AE25+HISTOAVRIL24!AE25+HISTOMAI24!AE25+HISTOJUIN24!AE25+HISTOJUIL24!AE25+HISTOAOUT24!AE25+HISTOSEPT24!AE25+HISTOOCT24!AE25+HISTONOV24!AE25+HISTODEC244!AE25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HISTOJANV24!AH25+HISTOFEV24!AH25+HISTOMARS24!AH25+HISTOAVRIL24!AH25+HISTOMAI24!AH25+HISTOJUIN24!AH25+HISTOJUIL24!AH25+HISTOAOUT24!AH25+HISTOSEPT24!AH25+HISTOOCT24!AH25+HISTONOV24!AH25+HISTODEC244!AH25</f>
        <v>0</v>
      </c>
      <c r="AI25" s="9">
        <f>HISTOJANV24!AI25+HISTOFEV24!AI25+HISTOMARS24!AI25+HISTOAVRIL24!AI25+HISTOMAI24!AI25+HISTOJUIN24!AI25+HISTOJUIL24!AI25+HISTOAOUT24!AI25+HISTOSEPT24!AI25+HISTOOCT24!AI25+HISTONOV24!AI25+HISTODEC244!AI25</f>
        <v>90000</v>
      </c>
      <c r="AJ25" s="9">
        <f>HISTOJANV24!AJ25+HISTOFEV24!AJ25+HISTOMARS24!AJ25+HISTOAVRIL24!AJ25+HISTOMAI24!AJ25+HISTOJUIN24!AJ25+HISTOJUIL24!AJ25+HISTOAOUT24!AJ25+HISTOSEPT24!AJ25+HISTOOCT24!AJ25+HISTONOV24!AJ25+HISTODEC244!AJ25</f>
        <v>266000</v>
      </c>
      <c r="AK25" s="9">
        <f>HISTOJANV24!AK25+HISTOFEV24!AK25+HISTOMARS24!AK25+HISTOAVRIL24!AK25+HISTOMAI24!AK25+HISTOJUIN24!AK25+HISTOJUIL24!AK25+HISTOAOUT24!AK25+HISTOSEPT24!AK25+HISTOOCT24!AK25+HISTONOV24!AK25+HISTODEC244!AK25</f>
        <v>900000</v>
      </c>
      <c r="AL25" s="9">
        <f>HISTOJANV24!AL25+HISTOFEV24!AL25+HISTOMARS24!AL25+HISTOAVRIL24!AL25+HISTOMAI24!AL25+HISTOJUIN24!AL25+HISTOJUIL24!AL25+HISTOAOUT24!AL25+HISTOSEPT24!AL25+HISTOOCT24!AL25+HISTONOV24!AL25+HISTODEC244!AL25</f>
        <v>2000</v>
      </c>
      <c r="AM25" s="9">
        <f>HISTOJANV24!AM25+HISTOFEV24!AM25+HISTOMARS24!AM25+HISTOAVRIL24!AM25+HISTOMAI24!AM25+HISTOJUIN24!AM25+HISTOJUIL24!AM25+HISTOAOUT24!AM25+HISTOSEPT24!AM25+HISTOOCT24!AM25+HISTONOV24!AM25+HISTODEC244!AM25</f>
        <v>4000</v>
      </c>
      <c r="AN25" s="9">
        <f>HISTOJANV24!AN25+HISTOFEV24!AN25+HISTOMARS24!AN25+HISTOAVRIL24!AN25+HISTOMAI24!AN25+HISTOJUIN24!AN25+HISTOJUIL24!AN25+HISTOAOUT24!AN25+HISTOSEPT24!AN25+HISTOOCT24!AN25+HISTONOV24!AN25+HISTODEC244!AN25</f>
        <v>14000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17500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HISTOJANV24!AW25+HISTOFEV24!AW25+HISTOMARS24!AW25+HISTOAVRIL24!AW25+HISTOMAI24!AW25+HISTOJUIN24!AW25+HISTOJUIL24!AW25+HISTOAOUT24!AW25+HISTOSEPT24!AW25+HISTOOCT24!AW25+HISTONOV24!AW25+HISTODEC244!AW25</f>
        <v>379000</v>
      </c>
      <c r="AX25" s="9">
        <f>HISTOJANV24!AX25+HISTOFEV24!AX25+HISTOMARS24!AX25+HISTOAVRIL24!AX25+HISTOMAI24!AX25+HISTOJUIN24!AX25+HISTOJUIL24!AX25+HISTOAOUT24!AX25+HISTOSEPT24!AX25+HISTOOCT24!AX25+HISTONOV24!AX25+HISTODEC244!AX25</f>
        <v>2868500</v>
      </c>
      <c r="AY25" s="9">
        <f>HISTOJANV24!AY25+HISTOFEV24!AY25+HISTOMARS24!AY25+HISTOAVRIL24!AY25+HISTOMAI24!AY25+HISTOJUIN24!AY25+HISTOJUIL24!AY25+HISTOAOUT24!AY25+HISTOSEPT24!AY25+HISTOOCT24!AY25+HISTONOV24!AY25+HISTODEC244!AY25</f>
        <v>1975000</v>
      </c>
      <c r="AZ25" s="9">
        <f>HISTOJANV24!AZ25+HISTOFEV24!AZ25+HISTOMARS24!AZ25+HISTOAVRIL24!AZ25+HISTOMAI24!AZ25+HISTOJUIN24!AZ25+HISTOJUIL24!AZ25+HISTOAOUT24!AZ25+HISTOSEPT24!AZ25+HISTOOCT24!AZ25+HISTONOV24!AZ25+HISTODEC244!AZ25</f>
        <v>6102500</v>
      </c>
      <c r="BA25" s="9">
        <f>HISTOJANV24!BA25+HISTOFEV24!BA25+HISTOMARS24!BA25+HISTOAVRIL24!BA25+HISTOMAI24!BA25+HISTOJUIN24!BA25+HISTOJUIL24!BA25+HISTOAOUT24!BA25+HISTOSEPT24!BA25+HISTOOCT24!BA25+HISTONOV24!BA25+HISTODEC244!BA25</f>
        <v>288000</v>
      </c>
      <c r="BB25" s="9">
        <f>HISTOJANV24!BB25+HISTOFEV24!BB25+HISTOMARS24!BB25+HISTOAVRIL24!BB25+HISTOMAI24!BB25+HISTOJUIN24!BB25+HISTOJUIL24!BB25+HISTOAOUT24!BB25+HISTOSEPT24!BB25+HISTOOCT24!BB25+HISTONOV24!BB25+HISTODEC244!BB25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HISTOJANV24!BD25+HISTOFEV24!BD25+HISTOMARS24!BD25+HISTOAVRIL24!BD25+HISTOMAI24!BD25+HISTOJUIN24!BD25+HISTOJUIL24!BD25+HISTOAOUT24!BD25+HISTOSEPT24!BD25+HISTOOCT24!BD25+HISTONOV24!BD25+HISTODEC244!BD25</f>
        <v>7788500</v>
      </c>
      <c r="BE25" s="82"/>
      <c r="BF25" s="9">
        <f>HISTOJANV24!BF25+HISTOFEV24!BF25+HISTOMARS24!BF25+HISTOAVRIL24!BF25+HISTOMAI24!BF25+HISTOJUIN24!BF25+HISTOJUIL24!BF25+HISTOAOUT24!BF25+HISTOSEPT24!BF25+HISTOOCT24!BF25+HISTONOV24!BF25+HISTODEC244!BF25</f>
        <v>120000</v>
      </c>
      <c r="BG25" s="29"/>
      <c r="BH25" s="15"/>
      <c r="BI25" s="15"/>
      <c r="BJ25" s="15"/>
      <c r="BK25" s="15"/>
      <c r="BL25" s="61"/>
      <c r="BO25" t="s">
        <v>125</v>
      </c>
      <c r="BP25" t="s">
        <v>143</v>
      </c>
      <c r="BQ25" s="9">
        <f>HISTOJANV24!BQ25+HISTOFEV24!BQ25+HISTOMARS24!BQ25+HISTOAVRIL24!BQ25+HISTOMAI24!BQ25+HISTOJUIN24!BQ25+HISTOJUIL24!BQ25+HISTOAOUT24!BQ25+HISTOSEPT24!BQ25+HISTOOCT24!BQ25+HISTONOV24!BQ25+HISTODEC244!BQ25</f>
        <v>150000</v>
      </c>
    </row>
    <row r="26" spans="1:69" ht="18.5" x14ac:dyDescent="0.45">
      <c r="A26" s="1" t="s">
        <v>31</v>
      </c>
      <c r="B26" s="1">
        <v>50000</v>
      </c>
      <c r="C26" s="5"/>
      <c r="D26" s="9">
        <f>HISTOJANV24!D26+HISTOFEV24!D26+HISTOMARS24!D26+HISTOAVRIL24!D26+HISTOMAI24!D26+HISTOJUIN24!D26+HISTOJUIL24!D26+HISTOAOUT24!D26+HISTOSEPT24!D26+HISTOOCT24!D26+HISTONOV24!D26+HISTODEC244!D26</f>
        <v>748000</v>
      </c>
      <c r="E26" s="9">
        <f>HISTOJANV24!E26+HISTOFEV24!E26+HISTOMARS24!E26+HISTOAVRIL24!E26+HISTOMAI24!E26+HISTOJUIN24!E26+HISTOJUIL24!E26+HISTOAOUT24!E26+HISTOSEPT24!E26+HISTOOCT24!E26+HISTONOV24!E26+HISTODEC244!E26</f>
        <v>1100000</v>
      </c>
      <c r="F26" s="9">
        <f>HISTOJANV24!F26+HISTOFEV24!F26+HISTOMARS24!F26+HISTOAVRIL24!F26+HISTOMAI24!F26+HISTOJUIN24!F26+HISTOJUIL24!F26+HISTOAOUT24!F26+HISTOSEPT24!F26+HISTOOCT24!F26+HISTONOV24!F26+HISTODEC244!F26</f>
        <v>0</v>
      </c>
      <c r="G26" s="9">
        <f>HISTOJANV24!G26+HISTOFEV24!G26+HISTOMARS24!G26+HISTOAVRIL24!G26+HISTOMAI24!G26+HISTOJUIN24!G26+HISTOJUIL24!G26+HISTOAOUT24!G26+HISTOSEPT24!G26+HISTOOCT24!G26+HISTONOV24!G26+HISTODEC244!G26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HISTOJANV24!I26+HISTOFEV24!I26+HISTOMARS24!I26+HISTOAVRIL24!I26+HISTOMAI24!I26+HISTOJUIN24!I26+HISTOJUIL24!I26+HISTOAOUT24!I26+HISTOSEPT24!I26+HISTOOCT24!I26+HISTONOV24!I26+HISTODEC244!I26</f>
        <v>1500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HISTOJANV24!P26+HISTOFEV24!P26+HISTOMARS24!P26+HISTOAVRIL24!P26+HISTOMAI24!P26+HISTOJUIN24!P26+HISTOJUIL24!P26+HISTOAOUT24!P26+HISTOSEPT24!P26+HISTOOCT24!P26+HISTONOV24!P26+HISTODEC244!P26</f>
        <v>196500</v>
      </c>
      <c r="Q26" s="9">
        <f>HISTOJANV24!Q26+HISTOFEV24!Q26+HISTOMARS24!Q26+HISTOAVRIL24!Q26+HISTOMAI24!Q26+HISTOJUIN24!Q26+HISTOJUIL24!Q26+HISTOAOUT24!Q26+HISTOSEPT24!Q26+HISTOOCT24!Q26+HISTONOV24!Q26+HISTODEC244!Q26</f>
        <v>0</v>
      </c>
      <c r="R26" s="9">
        <f>HISTOJANV24!R26+HISTOFEV24!R26+HISTOMARS24!R26+HISTOAVRIL24!R26+HISTOMAI24!R26+HISTOJUIN24!R26+HISTOJUIL24!R26+HISTOAOUT24!R26+HISTOSEPT24!R26+HISTOOCT24!R26+HISTONOV24!R26+HISTODEC244!R26</f>
        <v>0</v>
      </c>
      <c r="S26" s="9">
        <f>HISTOJANV24!S26+HISTOFEV24!S26+HISTOMARS24!S26+HISTOAVRIL24!S26+HISTOMAI24!S26+HISTOJUIN24!S26+HISTOJUIL24!S26+HISTOAOUT24!S26+HISTOSEPT24!S26+HISTOOCT24!S26+HISTONOV24!S26+HISTODEC244!S26</f>
        <v>1000000</v>
      </c>
      <c r="T26" s="12"/>
      <c r="U26" s="17">
        <f t="shared" si="5"/>
        <v>1248000</v>
      </c>
      <c r="V26" s="9">
        <f>HISTOJANV24!V26+HISTOFEV24!V26+HISTOMARS24!V26+HISTOAVRIL24!V26+HISTOMAI24!V26+HISTOJUIN24!V26+HISTOJUIL24!V26+HISTOAOUT24!V26+HISTOSEPT24!V26+HISTOOCT24!V26+HISTONOV24!V26+HISTODEC244!V26</f>
        <v>0</v>
      </c>
      <c r="W26" s="9">
        <f>HISTOJANV24!W26+HISTOFEV24!W26+HISTOMARS24!W26+HISTOAVRIL24!W26+HISTOMAI24!W26+HISTOJUIN24!W26+HISTOJUIL24!W26+HISTOAOUT24!W26+HISTOSEPT24!W26+HISTOOCT24!W26+HISTONOV24!W26+HISTODEC244!W26</f>
        <v>0</v>
      </c>
      <c r="X26" s="9">
        <f>HISTOJANV24!X26+HISTOFEV24!X26+HISTOMARS24!X26+HISTOAVRIL24!X26+HISTOMAI24!X26+HISTOJUIN24!X26+HISTOJUIL24!X26+HISTOAOUT24!X26+HISTOSEPT24!X26+HISTOOCT24!X26+HISTONOV24!X26+HISTODEC244!X26</f>
        <v>0</v>
      </c>
      <c r="Y26" s="9">
        <f>HISTOJANV24!Y26+HISTOFEV24!Y26+HISTOMARS24!Y26+HISTOAVRIL24!Y26+HISTOMAI24!Y26+HISTOJUIN24!Y26+HISTOJUIL24!Y26+HISTOAOUT24!Y26+HISTOSEPT24!Y26+HISTOOCT24!Y26+HISTONOV24!Y26+HISTODEC244!Y26</f>
        <v>0</v>
      </c>
      <c r="Z26" s="9">
        <f>HISTOJANV24!Z26+HISTOFEV24!Z26+HISTOMARS24!Z26+HISTOAVRIL24!Z26+HISTOMAI24!Z26+HISTOJUIN24!Z26+HISTOJUIL24!Z26+HISTOAOUT24!Z26+HISTOSEPT24!Z26+HISTOOCT24!Z26+HISTONOV24!Z26+HISTODEC244!Z26</f>
        <v>1000000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HISTOJANV24!AC26+HISTOFEV24!AC26+HISTOMARS24!AC26+HISTOAVRIL24!AC26+HISTOMAI24!AC26+HISTOJUIN24!AC26+HISTOJUIL24!AC26+HISTOAOUT24!AC26+HISTOSEPT24!AC26+HISTOOCT24!AC26+HISTONOV24!AC26+HISTODEC244!AC26</f>
        <v>13000</v>
      </c>
      <c r="AD26" s="9">
        <f>HISTOJANV24!AD26+HISTOFEV24!AD26+HISTOMARS24!AD26+HISTOAVRIL24!AD26+HISTOMAI24!AD26+HISTOJUIN24!AD26+HISTOJUIL24!AD26+HISTOAOUT24!AD26+HISTOSEPT24!AD26+HISTOOCT24!AD26+HISTONOV24!AD26+HISTODEC244!AD26</f>
        <v>0</v>
      </c>
      <c r="AE26" s="9">
        <f>HISTOJANV24!AE26+HISTOFEV24!AE26+HISTOMARS24!AE26+HISTOAVRIL24!AE26+HISTOMAI24!AE26+HISTOJUIN24!AE26+HISTOJUIL24!AE26+HISTOAOUT24!AE26+HISTOSEPT24!AE26+HISTOOCT24!AE26+HISTONOV24!AE26+HISTODEC244!AE26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HISTOJANV24!AH26+HISTOFEV24!AH26+HISTOMARS24!AH26+HISTOAVRIL24!AH26+HISTOMAI24!AH26+HISTOJUIN24!AH26+HISTOJUIL24!AH26+HISTOAOUT24!AH26+HISTOSEPT24!AH26+HISTOOCT24!AH26+HISTONOV24!AH26+HISTODEC244!AH26</f>
        <v>0</v>
      </c>
      <c r="AI26" s="9">
        <f>HISTOJANV24!AI26+HISTOFEV24!AI26+HISTOMARS24!AI26+HISTOAVRIL24!AI26+HISTOMAI24!AI26+HISTOJUIN24!AI26+HISTOJUIL24!AI26+HISTOAOUT24!AI26+HISTOSEPT24!AI26+HISTOOCT24!AI26+HISTONOV24!AI26+HISTODEC244!AI26</f>
        <v>193500</v>
      </c>
      <c r="AJ26" s="9">
        <f>HISTOJANV24!AJ26+HISTOFEV24!AJ26+HISTOMARS24!AJ26+HISTOAVRIL24!AJ26+HISTOMAI24!AJ26+HISTOJUIN24!AJ26+HISTOJUIL24!AJ26+HISTOAOUT24!AJ26+HISTOSEPT24!AJ26+HISTOOCT24!AJ26+HISTONOV24!AJ26+HISTODEC244!AJ26</f>
        <v>0</v>
      </c>
      <c r="AK26" s="9">
        <f>HISTOJANV24!AK26+HISTOFEV24!AK26+HISTOMARS24!AK26+HISTOAVRIL24!AK26+HISTOMAI24!AK26+HISTOJUIN24!AK26+HISTOJUIL24!AK26+HISTOAOUT24!AK26+HISTOSEPT24!AK26+HISTOOCT24!AK26+HISTONOV24!AK26+HISTODEC244!AK26</f>
        <v>0</v>
      </c>
      <c r="AL26" s="9">
        <f>HISTOJANV24!AL26+HISTOFEV24!AL26+HISTOMARS24!AL26+HISTOAVRIL24!AL26+HISTOMAI24!AL26+HISTOJUIN24!AL26+HISTOJUIL24!AL26+HISTOAOUT24!AL26+HISTOSEPT24!AL26+HISTOOCT24!AL26+HISTONOV24!AL26+HISTODEC244!AL26</f>
        <v>3000</v>
      </c>
      <c r="AM26" s="9">
        <f>HISTOJANV24!AM26+HISTOFEV24!AM26+HISTOMARS24!AM26+HISTOAVRIL24!AM26+HISTOMAI24!AM26+HISTOJUIN24!AM26+HISTOJUIL24!AM26+HISTOAOUT24!AM26+HISTOSEPT24!AM26+HISTOOCT24!AM26+HISTONOV24!AM26+HISTODEC244!AM26</f>
        <v>0</v>
      </c>
      <c r="AN26" s="9">
        <f>HISTOJANV24!AN26+HISTOFEV24!AN26+HISTOMARS24!AN26+HISTOAVRIL24!AN26+HISTOMAI24!AN26+HISTOJUIN24!AN26+HISTOJUIL24!AN26+HISTOAOUT24!AN26+HISTOSEPT24!AN26+HISTOOCT24!AN26+HISTONOV24!AN26+HISTODEC244!AN26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26500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HISTOJANV24!AW26+HISTOFEV24!AW26+HISTOMARS24!AW26+HISTOAVRIL24!AW26+HISTOMAI24!AW26+HISTOJUIN24!AW26+HISTOJUIL24!AW26+HISTOAOUT24!AW26+HISTOSEPT24!AW26+HISTOOCT24!AW26+HISTONOV24!AW26+HISTODEC244!AW26</f>
        <v>480500</v>
      </c>
      <c r="AX26" s="9">
        <f>HISTOJANV24!AX26+HISTOFEV24!AX26+HISTOMARS24!AX26+HISTOAVRIL24!AX26+HISTOMAI24!AX26+HISTOJUIN24!AX26+HISTOJUIL24!AX26+HISTOAOUT24!AX26+HISTOSEPT24!AX26+HISTOOCT24!AX26+HISTONOV24!AX26+HISTODEC244!AX26</f>
        <v>0</v>
      </c>
      <c r="AY26" s="9">
        <f>HISTOJANV24!AY26+HISTOFEV24!AY26+HISTOMARS24!AY26+HISTOAVRIL24!AY26+HISTOMAI24!AY26+HISTOJUIN24!AY26+HISTOJUIL24!AY26+HISTOAOUT24!AY26+HISTOSEPT24!AY26+HISTOOCT24!AY26+HISTONOV24!AY26+HISTODEC244!AY26</f>
        <v>0</v>
      </c>
      <c r="AZ26" s="9">
        <f>HISTOJANV24!AZ26+HISTOFEV24!AZ26+HISTOMARS24!AZ26+HISTOAVRIL24!AZ26+HISTOMAI24!AZ26+HISTOJUIN24!AZ26+HISTOJUIL24!AZ26+HISTOAOUT24!AZ26+HISTOSEPT24!AZ26+HISTOOCT24!AZ26+HISTONOV24!AZ26+HISTODEC244!AZ26</f>
        <v>1420500</v>
      </c>
      <c r="BA26" s="9">
        <f>HISTOJANV24!BA26+HISTOFEV24!BA26+HISTOMARS24!BA26+HISTOAVRIL24!BA26+HISTOMAI24!BA26+HISTOJUIN24!BA26+HISTOJUIL24!BA26+HISTOAOUT24!BA26+HISTOSEPT24!BA26+HISTOOCT24!BA26+HISTONOV24!BA26+HISTODEC244!BA26</f>
        <v>264000</v>
      </c>
      <c r="BB26" s="9">
        <f>HISTOJANV24!BB26+HISTOFEV24!BB26+HISTOMARS24!BB26+HISTOAVRIL24!BB26+HISTOMAI24!BB26+HISTOJUIN24!BB26+HISTOJUIL24!BB26+HISTOAOUT24!BB26+HISTOSEPT24!BB26+HISTOOCT24!BB26+HISTONOV24!BB26+HISTODEC244!BB26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HISTOJANV24!BD26+HISTOFEV24!BD26+HISTOMARS24!BD26+HISTOAVRIL24!BD26+HISTOMAI24!BD26+HISTOJUIN24!BD26+HISTOJUIL24!BD26+HISTOAOUT24!BD26+HISTOSEPT24!BD26+HISTOOCT24!BD26+HISTONOV24!BD26+HISTODEC244!BD26</f>
        <v>1186500</v>
      </c>
      <c r="BE26" s="82"/>
      <c r="BF26" s="9">
        <f>HISTOJANV24!BF26+HISTOFEV24!BF26+HISTOMARS24!BF26+HISTOAVRIL24!BF26+HISTOMAI24!BF26+HISTOJUIN24!BF26+HISTOJUIL24!BF26+HISTOAOUT24!BF26+HISTOSEPT24!BF26+HISTOOCT24!BF26+HISTONOV24!BF26+HISTODEC244!BF26</f>
        <v>90000</v>
      </c>
      <c r="BG26" s="29"/>
      <c r="BH26" s="15"/>
      <c r="BI26" s="15"/>
      <c r="BJ26" s="15"/>
      <c r="BK26" s="15"/>
      <c r="BL26" s="61"/>
      <c r="BO26" t="s">
        <v>144</v>
      </c>
      <c r="BP26" t="s">
        <v>143</v>
      </c>
      <c r="BQ26" s="9">
        <f>HISTOJANV24!BQ26+HISTOFEV24!BQ26+HISTOMARS24!BQ26+HISTOAVRIL24!BQ26+HISTOMAI24!BQ26+HISTOJUIN24!BQ26+HISTOJUIL24!BQ26+HISTOAOUT24!BQ26+HISTOSEPT24!BQ26+HISTOOCT24!BQ26+HISTONOV24!BQ26+HISTODEC244!BQ26</f>
        <v>321500</v>
      </c>
    </row>
    <row r="27" spans="1:69" ht="18.5" x14ac:dyDescent="0.45">
      <c r="A27" s="1" t="s">
        <v>158</v>
      </c>
      <c r="B27" s="1">
        <v>50000</v>
      </c>
      <c r="C27" s="5"/>
      <c r="D27" s="9">
        <f>HISTOJANV24!D27+HISTOFEV24!D27+HISTOMARS24!D27+HISTOAVRIL24!D27+HISTOMAI24!D27+HISTOJUIN24!D27+HISTOJUIL24!D27+HISTOAOUT24!D27+HISTOSEPT24!D27+HISTOOCT24!D27+HISTONOV24!D27+HISTODEC244!D27</f>
        <v>600000</v>
      </c>
      <c r="E27" s="9">
        <f>HISTOJANV24!E27+HISTOFEV24!E27+HISTOMARS24!E27+HISTOAVRIL24!E27+HISTOMAI24!E27+HISTOJUIN24!E27+HISTOJUIL24!E27+HISTOAOUT24!E27+HISTOSEPT24!E27+HISTOOCT24!E27+HISTONOV24!E27+HISTODEC244!E27</f>
        <v>0</v>
      </c>
      <c r="F27" s="9">
        <f>HISTOJANV24!F27+HISTOFEV24!F27+HISTOMARS24!F27+HISTOAVRIL24!F27+HISTOMAI24!F27+HISTOJUIN24!F27+HISTOJUIL24!F27+HISTOAOUT24!F27+HISTOSEPT24!F27+HISTOOCT24!F27+HISTONOV24!F27+HISTODEC244!F27</f>
        <v>0</v>
      </c>
      <c r="G27" s="9">
        <f>HISTOJANV24!G27+HISTOFEV24!G27+HISTOMARS24!G27+HISTOAVRIL24!G27+HISTOMAI24!G27+HISTOJUIN24!G27+HISTOJUIL24!G27+HISTOAOUT24!G27+HISTOSEPT24!G27+HISTOOCT24!G27+HISTONOV24!G27+HISTODEC244!G27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HISTOJANV24!P27+HISTOFEV24!P27+HISTOMARS24!P27+HISTOAVRIL24!P27+HISTOMAI24!P27+HISTOJUIN24!P27+HISTOJUIL24!P27+HISTOAOUT24!P27+HISTOSEPT24!P27+HISTOOCT24!P27+HISTONOV24!P27+HISTODEC244!P27</f>
        <v>0</v>
      </c>
      <c r="Q27" s="9">
        <f>HISTOJANV24!Q27+HISTOFEV24!Q27+HISTOMARS24!Q27+HISTOAVRIL24!Q27+HISTOMAI24!Q27+HISTOJUIN24!Q27+HISTOJUIL24!Q27+HISTOAOUT24!Q27+HISTOSEPT24!Q27+HISTOOCT24!Q27+HISTONOV24!Q27+HISTODEC244!Q27</f>
        <v>0</v>
      </c>
      <c r="R27" s="9">
        <f>HISTOJANV24!R27+HISTOFEV24!R27+HISTOMARS24!R27+HISTOAVRIL24!R27+HISTOMAI24!R27+HISTOJUIN24!R27+HISTOJUIL24!R27+HISTOAOUT24!R27+HISTOSEPT24!R27+HISTOOCT24!R27+HISTONOV24!R27+HISTODEC244!R27</f>
        <v>0</v>
      </c>
      <c r="S27" s="9">
        <f>HISTOJANV24!S27+HISTOFEV24!S27+HISTOMARS24!S27+HISTOAVRIL24!S27+HISTOMAI24!S27+HISTOJUIN24!S27+HISTOJUIL24!S27+HISTOAOUT24!S27+HISTOSEPT24!S27+HISTOOCT24!S27+HISTONOV24!S27+HISTODEC244!S27</f>
        <v>50000</v>
      </c>
      <c r="T27" s="12"/>
      <c r="U27" s="17">
        <f t="shared" si="5"/>
        <v>100000</v>
      </c>
      <c r="V27" s="9">
        <f>HISTOJANV24!V27+HISTOFEV24!V27+HISTOMARS24!V27+HISTOAVRIL24!V27+HISTOMAI24!V27+HISTOJUIN24!V27+HISTOJUIL24!V27+HISTOAOUT24!V27+HISTOSEPT24!V27+HISTOOCT24!V27+HISTONOV24!V27+HISTODEC244!V27</f>
        <v>0</v>
      </c>
      <c r="W27" s="9">
        <f>HISTOJANV24!W27+HISTOFEV24!W27+HISTOMARS24!W27+HISTOAVRIL24!W27+HISTOMAI24!W27+HISTOJUIN24!W27+HISTOJUIL24!W27+HISTOAOUT24!W27+HISTOSEPT24!W27+HISTOOCT24!W27+HISTONOV24!W27+HISTODEC244!W27</f>
        <v>0</v>
      </c>
      <c r="X27" s="9">
        <f>HISTOJANV24!X27+HISTOFEV24!X27+HISTOMARS24!X27+HISTOAVRIL24!X27+HISTOMAI24!X27+HISTOJUIN24!X27+HISTOJUIL24!X27+HISTOAOUT24!X27+HISTOSEPT24!X27+HISTOOCT24!X27+HISTONOV24!X27+HISTODEC244!X27</f>
        <v>0</v>
      </c>
      <c r="Y27" s="9">
        <f>HISTOJANV24!Y27+HISTOFEV24!Y27+HISTOMARS24!Y27+HISTOAVRIL24!Y27+HISTOMAI24!Y27+HISTOJUIN24!Y27+HISTOJUIL24!Y27+HISTOAOUT24!Y27+HISTOSEPT24!Y27+HISTOOCT24!Y27+HISTONOV24!Y27+HISTODEC244!Y27</f>
        <v>0</v>
      </c>
      <c r="Z27" s="9">
        <f>HISTOJANV24!Z27+HISTOFEV24!Z27+HISTOMARS24!Z27+HISTOAVRIL24!Z27+HISTOMAI24!Z27+HISTOJUIN24!Z27+HISTOJUIL24!Z27+HISTOAOUT24!Z27+HISTOSEPT24!Z27+HISTOOCT24!Z27+HISTONOV24!Z27+HISTODEC244!Z27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HISTOJANV24!AC27+HISTOFEV24!AC27+HISTOMARS24!AC27+HISTOAVRIL24!AC27+HISTOMAI24!AC27+HISTOJUIN24!AC27+HISTOJUIL24!AC27+HISTOAOUT24!AC27+HISTOSEPT24!AC27+HISTOOCT24!AC27+HISTONOV24!AC27+HISTODEC244!AC27</f>
        <v>2500</v>
      </c>
      <c r="AD27" s="9">
        <f>HISTOJANV24!AD27+HISTOFEV24!AD27+HISTOMARS24!AD27+HISTOAVRIL24!AD27+HISTOMAI24!AD27+HISTOJUIN24!AD27+HISTOJUIL24!AD27+HISTOAOUT24!AD27+HISTOSEPT24!AD27+HISTOOCT24!AD27+HISTONOV24!AD27+HISTODEC244!AD27</f>
        <v>0</v>
      </c>
      <c r="AE27" s="9">
        <f>HISTOJANV24!AE27+HISTOFEV24!AE27+HISTOMARS24!AE27+HISTOAVRIL24!AE27+HISTOMAI24!AE27+HISTOJUIN24!AE27+HISTOJUIL24!AE27+HISTOAOUT24!AE27+HISTOSEPT24!AE27+HISTOOCT24!AE27+HISTONOV24!AE27+HISTODEC244!AE27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HISTOJANV24!AH27+HISTOFEV24!AH27+HISTOMARS24!AH27+HISTOAVRIL24!AH27+HISTOMAI24!AH27+HISTOJUIN24!AH27+HISTOJUIL24!AH27+HISTOAOUT24!AH27+HISTOSEPT24!AH27+HISTOOCT24!AH27+HISTONOV24!AH27+HISTODEC244!AH27</f>
        <v>0</v>
      </c>
      <c r="AI27" s="9">
        <f>HISTOJANV24!AI27+HISTOFEV24!AI27+HISTOMARS24!AI27+HISTOAVRIL24!AI27+HISTOMAI24!AI27+HISTOJUIN24!AI27+HISTOJUIL24!AI27+HISTOAOUT24!AI27+HISTOSEPT24!AI27+HISTOOCT24!AI27+HISTONOV24!AI27+HISTODEC244!AI27</f>
        <v>0</v>
      </c>
      <c r="AJ27" s="9">
        <f>HISTOJANV24!AJ27+HISTOFEV24!AJ27+HISTOMARS24!AJ27+HISTOAVRIL24!AJ27+HISTOMAI24!AJ27+HISTOJUIN24!AJ27+HISTOJUIL24!AJ27+HISTOAOUT24!AJ27+HISTOSEPT24!AJ27+HISTOOCT24!AJ27+HISTONOV24!AJ27+HISTODEC244!AJ27</f>
        <v>0</v>
      </c>
      <c r="AK27" s="9">
        <f>HISTOJANV24!AK27+HISTOFEV24!AK27+HISTOMARS24!AK27+HISTOAVRIL24!AK27+HISTOMAI24!AK27+HISTOJUIN24!AK27+HISTOJUIL24!AK27+HISTOAOUT24!AK27+HISTOSEPT24!AK27+HISTOOCT24!AK27+HISTONOV24!AK27+HISTODEC244!AK27</f>
        <v>0</v>
      </c>
      <c r="AL27" s="9">
        <f>HISTOJANV24!AL27+HISTOFEV24!AL27+HISTOMARS24!AL27+HISTOAVRIL24!AL27+HISTOMAI24!AL27+HISTOJUIN24!AL27+HISTOJUIL24!AL27+HISTOAOUT24!AL27+HISTOSEPT24!AL27+HISTOOCT24!AL27+HISTONOV24!AL27+HISTODEC244!AL27</f>
        <v>0</v>
      </c>
      <c r="AM27" s="9">
        <f>HISTOJANV24!AM27+HISTOFEV24!AM27+HISTOMARS24!AM27+HISTOAVRIL24!AM27+HISTOMAI24!AM27+HISTOJUIN24!AM27+HISTOJUIL24!AM27+HISTOAOUT24!AM27+HISTOSEPT24!AM27+HISTOOCT24!AM27+HISTONOV24!AM27+HISTODEC244!AM27</f>
        <v>0</v>
      </c>
      <c r="AN27" s="9">
        <f>HISTOJANV24!AN27+HISTOFEV24!AN27+HISTOMARS24!AN27+HISTOAVRIL24!AN27+HISTOMAI24!AN27+HISTOJUIN24!AN27+HISTOJUIL24!AN27+HISTOAOUT24!AN27+HISTOSEPT24!AN27+HISTOOCT24!AN27+HISTONOV24!AN27+HISTODEC244!AN27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HISTOJANV24!AW27+HISTOFEV24!AW27+HISTOMARS24!AW27+HISTOAVRIL24!AW27+HISTOMAI24!AW27+HISTOJUIN24!AW27+HISTOJUIL24!AW27+HISTOAOUT24!AW27+HISTOSEPT24!AW27+HISTOOCT24!AW27+HISTONOV24!AW27+HISTODEC244!AW27</f>
        <v>297500</v>
      </c>
      <c r="AX27" s="9">
        <f>HISTOJANV24!AX27+HISTOFEV24!AX27+HISTOMARS24!AX27+HISTOAVRIL24!AX27+HISTOMAI24!AX27+HISTOJUIN24!AX27+HISTOJUIL24!AX27+HISTOAOUT24!AX27+HISTOSEPT24!AX27+HISTOOCT24!AX27+HISTONOV24!AX27+HISTODEC244!AX27</f>
        <v>0</v>
      </c>
      <c r="AY27" s="9">
        <f>HISTOJANV24!AY27+HISTOFEV24!AY27+HISTOMARS24!AY27+HISTOAVRIL24!AY27+HISTOMAI24!AY27+HISTOJUIN24!AY27+HISTOJUIL24!AY27+HISTOAOUT24!AY27+HISTOSEPT24!AY27+HISTOOCT24!AY27+HISTONOV24!AY27+HISTODEC244!AY27</f>
        <v>0</v>
      </c>
      <c r="AZ27" s="9">
        <f>HISTOJANV24!AZ27+HISTOFEV24!AZ27+HISTOMARS24!AZ27+HISTOAVRIL24!AZ27+HISTOMAI24!AZ27+HISTOJUIN24!AZ27+HISTOJUIL24!AZ27+HISTOAOUT24!AZ27+HISTOSEPT24!AZ27+HISTOOCT24!AZ27+HISTONOV24!AZ27+HISTODEC244!AZ27</f>
        <v>446000</v>
      </c>
      <c r="BA27" s="9">
        <f>HISTOJANV24!BA27+HISTOFEV24!BA27+HISTOMARS24!BA27+HISTOAVRIL24!BA27+HISTOMAI24!BA27+HISTOJUIN24!BA27+HISTOJUIL24!BA27+HISTOAOUT24!BA27+HISTOSEPT24!BA27+HISTOOCT24!BA27+HISTONOV24!BA27+HISTODEC244!BA27</f>
        <v>0</v>
      </c>
      <c r="BB27" s="9">
        <f>HISTOJANV24!BB27+HISTOFEV24!BB27+HISTOMARS24!BB27+HISTOAVRIL24!BB27+HISTOMAI24!BB27+HISTOJUIN24!BB27+HISTOJUIL24!BB27+HISTOAOUT24!BB27+HISTOSEPT24!BB27+HISTOOCT24!BB27+HISTONOV24!BB27+HISTODEC244!BB27</f>
        <v>20000</v>
      </c>
      <c r="BC27" s="15"/>
      <c r="BD27" s="9">
        <f>HISTOJANV24!BD27+HISTOFEV24!BD27+HISTOMARS24!BD27+HISTOAVRIL24!BD27+HISTOMAI24!BD27+HISTOJUIN24!BD27+HISTOJUIL24!BD27+HISTOAOUT24!BD27+HISTOSEPT24!BD27+HISTOOCT24!BD27+HISTONOV24!BD27+HISTODEC244!BD27</f>
        <v>426000</v>
      </c>
      <c r="BE27" s="82"/>
      <c r="BF27" s="9">
        <f>HISTOJANV24!BF27+HISTOFEV24!BF27+HISTOMARS24!BF27+HISTOAVRIL24!BF27+HISTOMAI24!BF27+HISTOJUIN24!BF27+HISTOJUIL24!BF27+HISTOAOUT24!BF27+HISTOSEPT24!BF27+HISTOOCT24!BF27+HISTONOV24!BF27+HISTODEC244!BF27</f>
        <v>9250</v>
      </c>
      <c r="BG27" s="29"/>
      <c r="BH27" s="15"/>
      <c r="BI27" s="15"/>
      <c r="BJ27" s="15"/>
      <c r="BK27" s="15"/>
      <c r="BL27" s="61"/>
      <c r="BQ27" s="6"/>
    </row>
    <row r="28" spans="1:69" ht="18.5" x14ac:dyDescent="0.45">
      <c r="A28" s="1" t="s">
        <v>34</v>
      </c>
      <c r="B28" s="1">
        <v>125000</v>
      </c>
      <c r="C28" s="5"/>
      <c r="D28" s="9">
        <f>HISTOJANV24!D28+HISTOFEV24!D28+HISTOMARS24!D28+HISTOAVRIL24!D28+HISTOMAI24!D28+HISTOJUIN24!D28+HISTOJUIL24!D28+HISTOAOUT24!D28+HISTOSEPT24!D28+HISTOOCT24!D28+HISTONOV24!D28+HISTODEC244!D28</f>
        <v>1500000</v>
      </c>
      <c r="E28" s="9">
        <f>HISTOJANV24!E28+HISTOFEV24!E28+HISTOMARS24!E28+HISTOAVRIL24!E28+HISTOMAI24!E28+HISTOJUIN24!E28+HISTOJUIL24!E28+HISTOAOUT24!E28+HISTOSEPT24!E28+HISTOOCT24!E28+HISTONOV24!E28+HISTODEC244!E28</f>
        <v>0</v>
      </c>
      <c r="F28" s="9">
        <f>HISTOJANV24!F28+HISTOFEV24!F28+HISTOMARS24!F28+HISTOAVRIL24!F28+HISTOMAI24!F28+HISTOJUIN24!F28+HISTOJUIL24!F28+HISTOAOUT24!F28+HISTOSEPT24!F28+HISTOOCT24!F28+HISTONOV24!F28+HISTODEC244!F28</f>
        <v>0</v>
      </c>
      <c r="G28" s="9">
        <f>HISTOJANV24!G28+HISTOFEV24!G28+HISTOMARS24!G28+HISTOAVRIL24!G28+HISTOMAI24!G28+HISTOJUIN24!G28+HISTOJUIL24!G28+HISTOAOUT24!G28+HISTOSEPT24!G28+HISTOOCT24!G28+HISTONOV24!G28+HISTODEC244!G28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HISTOJANV24!I28+HISTOFEV24!I28+HISTOMARS24!I28+HISTOAVRIL24!I28+HISTOMAI24!I28+HISTOJUIN24!I28+HISTOJUIL24!I28+HISTOAOUT24!I28+HISTOSEPT24!I28+HISTOOCT24!I28+HISTONOV24!I28+HISTODEC244!I28</f>
        <v>27000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HISTOJANV24!P28+HISTOFEV24!P28+HISTOMARS24!P28+HISTOAVRIL24!P28+HISTOMAI24!P28+HISTOJUIN24!P28+HISTOJUIL24!P28+HISTOAOUT24!P28+HISTOSEPT24!P28+HISTOOCT24!P28+HISTONOV24!P28+HISTODEC244!P28</f>
        <v>0</v>
      </c>
      <c r="Q28" s="9">
        <f>HISTOJANV24!Q28+HISTOFEV24!Q28+HISTOMARS24!Q28+HISTOAVRIL24!Q28+HISTOMAI24!Q28+HISTOJUIN24!Q28+HISTOJUIL24!Q28+HISTOAOUT24!Q28+HISTOSEPT24!Q28+HISTOOCT24!Q28+HISTONOV24!Q28+HISTODEC244!Q28</f>
        <v>0</v>
      </c>
      <c r="R28" s="9">
        <f>HISTOJANV24!R28+HISTOFEV24!R28+HISTOMARS24!R28+HISTOAVRIL24!R28+HISTOMAI24!R28+HISTOJUIN24!R28+HISTOJUIL24!R28+HISTOAOUT24!R28+HISTOSEPT24!R28+HISTOOCT24!R28+HISTONOV24!R28+HISTODEC244!R28</f>
        <v>0</v>
      </c>
      <c r="S28" s="9">
        <f>HISTOJANV24!S28+HISTOFEV24!S28+HISTOMARS24!S28+HISTOAVRIL24!S28+HISTOMAI24!S28+HISTOJUIN24!S28+HISTOJUIL24!S28+HISTOAOUT24!S28+HISTOSEPT24!S28+HISTOOCT24!S28+HISTONOV24!S28+HISTODEC244!S28</f>
        <v>0</v>
      </c>
      <c r="T28" s="12"/>
      <c r="U28" s="17">
        <f t="shared" si="5"/>
        <v>152000</v>
      </c>
      <c r="V28" s="9">
        <f>HISTOJANV24!V28+HISTOFEV24!V28+HISTOMARS24!V28+HISTOAVRIL24!V28+HISTOMAI24!V28+HISTOJUIN24!V28+HISTOJUIL24!V28+HISTOAOUT24!V28+HISTOSEPT24!V28+HISTOOCT24!V28+HISTONOV24!V28+HISTODEC244!V28</f>
        <v>0</v>
      </c>
      <c r="W28" s="9">
        <f>HISTOJANV24!W28+HISTOFEV24!W28+HISTOMARS24!W28+HISTOAVRIL24!W28+HISTOMAI24!W28+HISTOJUIN24!W28+HISTOJUIL24!W28+HISTOAOUT24!W28+HISTOSEPT24!W28+HISTOOCT24!W28+HISTONOV24!W28+HISTODEC244!W28</f>
        <v>0</v>
      </c>
      <c r="X28" s="9">
        <f>HISTOJANV24!X28+HISTOFEV24!X28+HISTOMARS24!X28+HISTOAVRIL24!X28+HISTOMAI24!X28+HISTOJUIN24!X28+HISTOJUIL24!X28+HISTOAOUT24!X28+HISTOSEPT24!X28+HISTOOCT24!X28+HISTONOV24!X28+HISTODEC244!X28</f>
        <v>0</v>
      </c>
      <c r="Y28" s="9">
        <f>HISTOJANV24!Y28+HISTOFEV24!Y28+HISTOMARS24!Y28+HISTOAVRIL24!Y28+HISTOMAI24!Y28+HISTOJUIN24!Y28+HISTOJUIL24!Y28+HISTOAOUT24!Y28+HISTOSEPT24!Y28+HISTOOCT24!Y28+HISTONOV24!Y28+HISTODEC244!Y28</f>
        <v>0</v>
      </c>
      <c r="Z28" s="9">
        <f>HISTOJANV24!Z28+HISTOFEV24!Z28+HISTOMARS24!Z28+HISTOAVRIL24!Z28+HISTOMAI24!Z28+HISTOJUIN24!Z28+HISTOJUIL24!Z28+HISTOAOUT24!Z28+HISTOSEPT24!Z28+HISTOOCT24!Z28+HISTONOV24!Z28+HISTODEC244!Z28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HISTOJANV24!AC28+HISTOFEV24!AC28+HISTOMARS24!AC28+HISTOAVRIL24!AC28+HISTOMAI24!AC28+HISTOJUIN24!AC28+HISTOJUIL24!AC28+HISTOAOUT24!AC28+HISTOSEPT24!AC28+HISTOOCT24!AC28+HISTONOV24!AC28+HISTODEC244!AC28</f>
        <v>2500</v>
      </c>
      <c r="AD28" s="9">
        <f>HISTOJANV24!AD28+HISTOFEV24!AD28+HISTOMARS24!AD28+HISTOAVRIL24!AD28+HISTOMAI24!AD28+HISTOJUIN24!AD28+HISTOJUIL24!AD28+HISTOAOUT24!AD28+HISTOSEPT24!AD28+HISTOOCT24!AD28+HISTONOV24!AD28+HISTODEC244!AD28</f>
        <v>7500</v>
      </c>
      <c r="AE28" s="9">
        <f>HISTOJANV24!AE28+HISTOFEV24!AE28+HISTOMARS24!AE28+HISTOAVRIL24!AE28+HISTOMAI24!AE28+HISTOJUIN24!AE28+HISTOJUIL24!AE28+HISTOAOUT24!AE28+HISTOSEPT24!AE28+HISTOOCT24!AE28+HISTONOV24!AE28+HISTODEC244!AE28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HISTOJANV24!AH28+HISTOFEV24!AH28+HISTOMARS24!AH28+HISTOAVRIL24!AH28+HISTOMAI24!AH28+HISTOJUIN24!AH28+HISTOJUIL24!AH28+HISTOAOUT24!AH28+HISTOSEPT24!AH28+HISTOOCT24!AH28+HISTONOV24!AH28+HISTODEC244!AH28</f>
        <v>0</v>
      </c>
      <c r="AI28" s="9">
        <f>HISTOJANV24!AI28+HISTOFEV24!AI28+HISTOMARS24!AI28+HISTOAVRIL24!AI28+HISTOMAI24!AI28+HISTOJUIN24!AI28+HISTOJUIL24!AI28+HISTOAOUT24!AI28+HISTOSEPT24!AI28+HISTOOCT24!AI28+HISTONOV24!AI28+HISTODEC244!AI28</f>
        <v>0</v>
      </c>
      <c r="AJ28" s="9">
        <f>HISTOJANV24!AJ28+HISTOFEV24!AJ28+HISTOMARS24!AJ28+HISTOAVRIL24!AJ28+HISTOMAI24!AJ28+HISTOJUIN24!AJ28+HISTOJUIL24!AJ28+HISTOAOUT24!AJ28+HISTOSEPT24!AJ28+HISTOOCT24!AJ28+HISTONOV24!AJ28+HISTODEC244!AJ28</f>
        <v>0</v>
      </c>
      <c r="AK28" s="9">
        <f>HISTOJANV24!AK28+HISTOFEV24!AK28+HISTOMARS24!AK28+HISTOAVRIL24!AK28+HISTOMAI24!AK28+HISTOJUIN24!AK28+HISTOJUIL24!AK28+HISTOAOUT24!AK28+HISTOSEPT24!AK28+HISTOOCT24!AK28+HISTONOV24!AK28+HISTODEC244!AK28</f>
        <v>0</v>
      </c>
      <c r="AL28" s="9">
        <f>HISTOJANV24!AL28+HISTOFEV24!AL28+HISTOMARS24!AL28+HISTOAVRIL24!AL28+HISTOMAI24!AL28+HISTOJUIN24!AL28+HISTOJUIL24!AL28+HISTOAOUT24!AL28+HISTOSEPT24!AL28+HISTOOCT24!AL28+HISTONOV24!AL28+HISTODEC244!AL28</f>
        <v>0</v>
      </c>
      <c r="AM28" s="9">
        <f>HISTOJANV24!AM28+HISTOFEV24!AM28+HISTOMARS24!AM28+HISTOAVRIL24!AM28+HISTOMAI24!AM28+HISTOJUIN24!AM28+HISTOJUIL24!AM28+HISTOAOUT24!AM28+HISTOSEPT24!AM28+HISTOOCT24!AM28+HISTONOV24!AM28+HISTODEC244!AM28</f>
        <v>0</v>
      </c>
      <c r="AN28" s="9">
        <f>HISTOJANV24!AN28+HISTOFEV24!AN28+HISTOMARS24!AN28+HISTOAVRIL24!AN28+HISTOMAI24!AN28+HISTOJUIN24!AN28+HISTOJUIL24!AN28+HISTOAOUT24!AN28+HISTOSEPT24!AN28+HISTOOCT24!AN28+HISTONOV24!AN28+HISTODEC244!AN28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52000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HISTOJANV24!AW28+HISTOFEV24!AW28+HISTOMARS24!AW28+HISTOAVRIL24!AW28+HISTOMAI24!AW28+HISTOJUIN24!AW28+HISTOJUIL24!AW28+HISTOAOUT24!AW28+HISTOSEPT24!AW28+HISTOOCT24!AW28+HISTONOV24!AW28+HISTODEC244!AW28</f>
        <v>297500</v>
      </c>
      <c r="AX28" s="9">
        <f>HISTOJANV24!AX28+HISTOFEV24!AX28+HISTOMARS24!AX28+HISTOAVRIL24!AX28+HISTOMAI24!AX28+HISTOJUIN24!AX28+HISTOJUIL24!AX28+HISTOAOUT24!AX28+HISTOSEPT24!AX28+HISTOOCT24!AX28+HISTONOV24!AX28+HISTODEC244!AX28</f>
        <v>892500</v>
      </c>
      <c r="AY28" s="9">
        <f>HISTOJANV24!AY28+HISTOFEV24!AY28+HISTOMARS24!AY28+HISTOAVRIL24!AY28+HISTOMAI24!AY28+HISTOJUIN24!AY28+HISTOJUIL24!AY28+HISTOAOUT24!AY28+HISTOSEPT24!AY28+HISTOOCT24!AY28+HISTONOV24!AY28+HISTODEC244!AY28</f>
        <v>0</v>
      </c>
      <c r="AZ28" s="9">
        <f>HISTOJANV24!AZ28+HISTOFEV24!AZ28+HISTOMARS24!AZ28+HISTOAVRIL24!AZ28+HISTOMAI24!AZ28+HISTOJUIN24!AZ28+HISTOJUIL24!AZ28+HISTOAOUT24!AZ28+HISTOSEPT24!AZ28+HISTOOCT24!AZ28+HISTONOV24!AZ28+HISTODEC244!AZ28</f>
        <v>1190000</v>
      </c>
      <c r="BA28" s="9">
        <f>HISTOJANV24!BA28+HISTOFEV24!BA28+HISTOMARS24!BA28+HISTOAVRIL24!BA28+HISTOMAI24!BA28+HISTOJUIN24!BA28+HISTOJUIL24!BA28+HISTOAOUT24!BA28+HISTOSEPT24!BA28+HISTOOCT24!BA28+HISTONOV24!BA28+HISTODEC244!BA28</f>
        <v>0</v>
      </c>
      <c r="BB28" s="9">
        <f>HISTOJANV24!BB28+HISTOFEV24!BB28+HISTOMARS24!BB28+HISTOAVRIL24!BB28+HISTOMAI24!BB28+HISTOJUIN24!BB28+HISTOJUIL24!BB28+HISTOAOUT24!BB28+HISTOSEPT24!BB28+HISTOOCT24!BB28+HISTONOV24!BB28+HISTODEC244!BB28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HISTOJANV24!BD28+HISTOFEV24!BD28+HISTOMARS24!BD28+HISTOAVRIL24!BD28+HISTOMAI24!BD28+HISTOJUIN24!BD28+HISTOJUIL24!BD28+HISTOAOUT24!BD28+HISTOSEPT24!BD28+HISTOOCT24!BD28+HISTONOV24!BD28+HISTODEC244!BD28</f>
        <v>1190000</v>
      </c>
      <c r="BE28" s="82"/>
      <c r="BF28" s="9">
        <f>HISTOJANV24!BF28+HISTOFEV24!BF28+HISTOMARS24!BF28+HISTOAVRIL24!BF28+HISTOMAI24!BF28+HISTOJUIN24!BF28+HISTOJUIL24!BF28+HISTOAOUT24!BF28+HISTOSEPT24!BF28+HISTOOCT24!BF28+HISTONOV24!BF28+HISTODEC244!BF28</f>
        <v>0</v>
      </c>
      <c r="BG28" s="29"/>
      <c r="BH28" s="15"/>
      <c r="BI28" s="15"/>
      <c r="BJ28" s="15"/>
      <c r="BK28" s="15"/>
      <c r="BL28" s="61"/>
      <c r="BO28" s="62" t="s">
        <v>142</v>
      </c>
      <c r="BQ28" s="62">
        <f>SUM(BQ24:BQ26)</f>
        <v>671500</v>
      </c>
    </row>
    <row r="29" spans="1:69" ht="18.5" x14ac:dyDescent="0.45">
      <c r="A29" s="1" t="s">
        <v>159</v>
      </c>
      <c r="B29" s="1">
        <v>50000</v>
      </c>
      <c r="C29" s="5"/>
      <c r="D29" s="9">
        <f>HISTOJANV24!D29+HISTOFEV24!D29+HISTOMARS24!D29+HISTOAVRIL24!D29+HISTOMAI24!D29+HISTOJUIN24!D29+HISTOJUIL24!D29+HISTOAOUT24!D29+HISTOSEPT24!D29+HISTOOCT24!D29+HISTONOV24!D29+HISTODEC244!D29</f>
        <v>1391500</v>
      </c>
      <c r="E29" s="9">
        <f>HISTOJANV24!E29+HISTOFEV24!E29+HISTOMARS24!E29+HISTOAVRIL24!E29+HISTOMAI24!E29+HISTOJUIN24!E29+HISTOJUIL24!E29+HISTOAOUT24!E29+HISTOSEPT24!E29+HISTOOCT24!E29+HISTONOV24!E29+HISTODEC244!E29</f>
        <v>0</v>
      </c>
      <c r="F29" s="9">
        <f>HISTOJANV24!F29+HISTOFEV24!F29+HISTOMARS24!F29+HISTOAVRIL24!F29+HISTOMAI24!F29+HISTOJUIN24!F29+HISTOJUIL24!F29+HISTOAOUT24!F29+HISTOSEPT24!F29+HISTOOCT24!F29+HISTONOV24!F29+HISTODEC244!F29</f>
        <v>0</v>
      </c>
      <c r="G29" s="9">
        <f>HISTOJANV24!G29+HISTOFEV24!G29+HISTOMARS24!G29+HISTOAVRIL24!G29+HISTOMAI24!G29+HISTOJUIN24!G29+HISTOJUIL24!G29+HISTOAOUT24!G29+HISTOSEPT24!G29+HISTOOCT24!G29+HISTONOV24!G29+HISTODEC244!G29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HISTOJANV24!I29+HISTOFEV24!I29+HISTOMARS24!I29+HISTOAVRIL24!I29+HISTOMAI24!I29+HISTOJUIN24!I29+HISTOJUIL24!I29+HISTOAOUT24!I29+HISTOSEPT24!I29+HISTOOCT24!I29+HISTONOV24!I29+HISTODEC244!I29</f>
        <v>457500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HISTOJANV24!P29+HISTOFEV24!P29+HISTOMARS24!P29+HISTOAVRIL24!P29+HISTOMAI24!P29+HISTOJUIN24!P29+HISTOJUIL24!P29+HISTOAOUT24!P29+HISTOSEPT24!P29+HISTOOCT24!P29+HISTONOV24!P29+HISTODEC244!P29</f>
        <v>334000</v>
      </c>
      <c r="Q29" s="9">
        <f>HISTOJANV24!Q29+HISTOFEV24!Q29+HISTOMARS24!Q29+HISTOAVRIL24!Q29+HISTOMAI24!Q29+HISTOJUIN24!Q29+HISTOJUIL24!Q29+HISTOAOUT24!Q29+HISTOSEPT24!Q29+HISTOOCT24!Q29+HISTONOV24!Q29+HISTODEC244!Q29</f>
        <v>0</v>
      </c>
      <c r="R29" s="9">
        <f>HISTOJANV24!R29+HISTOFEV24!R29+HISTOMARS24!R29+HISTOAVRIL24!R29+HISTOMAI24!R29+HISTOJUIN24!R29+HISTOJUIL24!R29+HISTOAOUT24!R29+HISTOSEPT24!R29+HISTOOCT24!R29+HISTONOV24!R29+HISTODEC244!R29</f>
        <v>0</v>
      </c>
      <c r="S29" s="9">
        <f>HISTOJANV24!S29+HISTOFEV24!S29+HISTOMARS24!S29+HISTOAVRIL24!S29+HISTOMAI24!S29+HISTOJUIN24!S29+HISTOJUIL24!S29+HISTOAOUT24!S29+HISTOSEPT24!S29+HISTOOCT24!S29+HISTONOV24!S29+HISTODEC244!S29</f>
        <v>0</v>
      </c>
      <c r="T29" s="12"/>
      <c r="U29" s="17">
        <f t="shared" si="5"/>
        <v>841500</v>
      </c>
      <c r="V29" s="9">
        <f>HISTOJANV24!V29+HISTOFEV24!V29+HISTOMARS24!V29+HISTOAVRIL24!V29+HISTOMAI24!V29+HISTOJUIN24!V29+HISTOJUIL24!V29+HISTOAOUT24!V29+HISTOSEPT24!V29+HISTOOCT24!V29+HISTONOV24!V29+HISTODEC244!V29</f>
        <v>0</v>
      </c>
      <c r="W29" s="9">
        <f>HISTOJANV24!W29+HISTOFEV24!W29+HISTOMARS24!W29+HISTOAVRIL24!W29+HISTOMAI24!W29+HISTOJUIN24!W29+HISTOJUIL24!W29+HISTOAOUT24!W29+HISTOSEPT24!W29+HISTOOCT24!W29+HISTONOV24!W29+HISTODEC244!W29</f>
        <v>0</v>
      </c>
      <c r="X29" s="9">
        <f>HISTOJANV24!X29+HISTOFEV24!X29+HISTOMARS24!X29+HISTOAVRIL24!X29+HISTOMAI24!X29+HISTOJUIN24!X29+HISTOJUIL24!X29+HISTOAOUT24!X29+HISTOSEPT24!X29+HISTOOCT24!X29+HISTONOV24!X29+HISTODEC244!X29</f>
        <v>0</v>
      </c>
      <c r="Y29" s="9">
        <f>HISTOJANV24!Y29+HISTOFEV24!Y29+HISTOMARS24!Y29+HISTOAVRIL24!Y29+HISTOMAI24!Y29+HISTOJUIN24!Y29+HISTOJUIL24!Y29+HISTOAOUT24!Y29+HISTOSEPT24!Y29+HISTOOCT24!Y29+HISTONOV24!Y29+HISTODEC244!Y29</f>
        <v>0</v>
      </c>
      <c r="Z29" s="9">
        <f>HISTOJANV24!Z29+HISTOFEV24!Z29+HISTOMARS24!Z29+HISTOAVRIL24!Z29+HISTOMAI24!Z29+HISTOJUIN24!Z29+HISTOJUIL24!Z29+HISTOAOUT24!Z29+HISTOSEPT24!Z29+HISTOOCT24!Z29+HISTONOV24!Z29+HISTODEC244!Z29</f>
        <v>1000000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HISTOJANV24!AC29+HISTOFEV24!AC29+HISTOMARS24!AC29+HISTOAVRIL24!AC29+HISTOMAI24!AC29+HISTOJUIN24!AC29+HISTOJUIL24!AC29+HISTOAOUT24!AC29+HISTOSEPT24!AC29+HISTOOCT24!AC29+HISTONOV24!AC29+HISTODEC244!AC29</f>
        <v>3000</v>
      </c>
      <c r="AD29" s="9">
        <f>HISTOJANV24!AD29+HISTOFEV24!AD29+HISTOMARS24!AD29+HISTOAVRIL24!AD29+HISTOMAI24!AD29+HISTOJUIN24!AD29+HISTOJUIL24!AD29+HISTOAOUT24!AD29+HISTOSEPT24!AD29+HISTOOCT24!AD29+HISTONOV24!AD29+HISTODEC244!AD29</f>
        <v>0</v>
      </c>
      <c r="AE29" s="9">
        <f>HISTOJANV24!AE29+HISTOFEV24!AE29+HISTOMARS24!AE29+HISTOAVRIL24!AE29+HISTOMAI24!AE29+HISTOJUIN24!AE29+HISTOJUIL24!AE29+HISTOAOUT24!AE29+HISTOSEPT24!AE29+HISTOOCT24!AE29+HISTONOV24!AE29+HISTODEC244!AE29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HISTOJANV24!AH29+HISTOFEV24!AH29+HISTOMARS24!AH29+HISTOAVRIL24!AH29+HISTOMAI24!AH29+HISTOJUIN24!AH29+HISTOJUIL24!AH29+HISTOAOUT24!AH29+HISTOSEPT24!AH29+HISTOOCT24!AH29+HISTONOV24!AH29+HISTODEC244!AH29</f>
        <v>0</v>
      </c>
      <c r="AI29" s="9">
        <f>HISTOJANV24!AI29+HISTOFEV24!AI29+HISTOMARS24!AI29+HISTOAVRIL24!AI29+HISTOMAI24!AI29+HISTOJUIN24!AI29+HISTOJUIL24!AI29+HISTOAOUT24!AI29+HISTOSEPT24!AI29+HISTOOCT24!AI29+HISTONOV24!AI29+HISTODEC244!AI29</f>
        <v>325500</v>
      </c>
      <c r="AJ29" s="9">
        <f>HISTOJANV24!AJ29+HISTOFEV24!AJ29+HISTOMARS24!AJ29+HISTOAVRIL24!AJ29+HISTOMAI24!AJ29+HISTOJUIN24!AJ29+HISTOJUIL24!AJ29+HISTOAOUT24!AJ29+HISTOSEPT24!AJ29+HISTOOCT24!AJ29+HISTONOV24!AJ29+HISTODEC244!AJ29</f>
        <v>0</v>
      </c>
      <c r="AK29" s="9">
        <f>HISTOJANV24!AK29+HISTOFEV24!AK29+HISTOMARS24!AK29+HISTOAVRIL24!AK29+HISTOMAI24!AK29+HISTOJUIN24!AK29+HISTOJUIL24!AK29+HISTOAOUT24!AK29+HISTOSEPT24!AK29+HISTOOCT24!AK29+HISTONOV24!AK29+HISTODEC244!AK29</f>
        <v>0</v>
      </c>
      <c r="AL29" s="9">
        <f>HISTOJANV24!AL29+HISTOFEV24!AL29+HISTOMARS24!AL29+HISTOAVRIL24!AL29+HISTOMAI24!AL29+HISTOJUIN24!AL29+HISTOJUIL24!AL29+HISTOAOUT24!AL29+HISTOSEPT24!AL29+HISTOOCT24!AL29+HISTONOV24!AL29+HISTODEC244!AL29</f>
        <v>8500</v>
      </c>
      <c r="AM29" s="9">
        <f>HISTOJANV24!AM29+HISTOFEV24!AM29+HISTOMARS24!AM29+HISTOAVRIL24!AM29+HISTOMAI24!AM29+HISTOJUIN24!AM29+HISTOJUIL24!AM29+HISTOAOUT24!AM29+HISTOSEPT24!AM29+HISTOOCT24!AM29+HISTONOV24!AM29+HISTODEC244!AM29</f>
        <v>0</v>
      </c>
      <c r="AN29" s="9">
        <f>HISTOJANV24!AN29+HISTOFEV24!AN29+HISTOMARS24!AN29+HISTOAVRIL24!AN29+HISTOMAI24!AN29+HISTOJUIN24!AN29+HISTOJUIL24!AN29+HISTOAOUT24!AN29+HISTOSEPT24!AN29+HISTOOCT24!AN29+HISTONOV24!AN29+HISTODEC244!AN29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482500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HISTOJANV24!AW29+HISTOFEV24!AW29+HISTOMARS24!AW29+HISTOAVRIL24!AW29+HISTOMAI24!AW29+HISTOJUIN24!AW29+HISTOJUIL24!AW29+HISTOAOUT24!AW29+HISTOSEPT24!AW29+HISTOOCT24!AW29+HISTONOV24!AW29+HISTODEC244!AW29</f>
        <v>622500</v>
      </c>
      <c r="AX29" s="9">
        <f>HISTOJANV24!AX29+HISTOFEV24!AX29+HISTOMARS24!AX29+HISTOAVRIL24!AX29+HISTOMAI24!AX29+HISTOJUIN24!AX29+HISTOJUIL24!AX29+HISTOAOUT24!AX29+HISTOSEPT24!AX29+HISTOOCT24!AX29+HISTONOV24!AX29+HISTODEC244!AX29</f>
        <v>0</v>
      </c>
      <c r="AY29" s="9">
        <f>HISTOJANV24!AY29+HISTOFEV24!AY29+HISTOMARS24!AY29+HISTOAVRIL24!AY29+HISTOMAI24!AY29+HISTOJUIN24!AY29+HISTOJUIL24!AY29+HISTOAOUT24!AY29+HISTOSEPT24!AY29+HISTOOCT24!AY29+HISTONOV24!AY29+HISTODEC244!AY29</f>
        <v>0</v>
      </c>
      <c r="AZ29" s="9">
        <f>HISTOJANV24!AZ29+HISTOFEV24!AZ29+HISTOMARS24!AZ29+HISTOAVRIL24!AZ29+HISTOMAI24!AZ29+HISTOJUIN24!AZ29+HISTOJUIL24!AZ29+HISTOAOUT24!AZ29+HISTOSEPT24!AZ29+HISTOOCT24!AZ29+HISTONOV24!AZ29+HISTODEC244!AZ29</f>
        <v>1702500</v>
      </c>
      <c r="BA29" s="9">
        <f>HISTOJANV24!BA29+HISTOFEV24!BA29+HISTOMARS24!BA29+HISTOAVRIL24!BA29+HISTOMAI24!BA29+HISTOJUIN24!BA29+HISTOJUIL24!BA29+HISTOAOUT24!BA29+HISTOSEPT24!BA29+HISTOOCT24!BA29+HISTONOV24!BA29+HISTODEC244!BA29</f>
        <v>1140000</v>
      </c>
      <c r="BB29" s="9">
        <f>HISTOJANV24!BB29+HISTOFEV24!BB29+HISTOMARS24!BB29+HISTOAVRIL24!BB29+HISTOMAI24!BB29+HISTOJUIN24!BB29+HISTOJUIL24!BB29+HISTOAOUT24!BB29+HISTOSEPT24!BB29+HISTOOCT24!BB29+HISTONOV24!BB29+HISTODEC244!BB29</f>
        <v>115000</v>
      </c>
      <c r="BC29" s="15"/>
      <c r="BD29" s="9">
        <f>HISTOJANV24!BD29+HISTOFEV24!BD29+HISTOMARS24!BD29+HISTOAVRIL24!BD29+HISTOMAI24!BD29+HISTOJUIN24!BD29+HISTOJUIL24!BD29+HISTOAOUT24!BD29+HISTOSEPT24!BD29+HISTOOCT24!BD29+HISTONOV24!BD29+HISTODEC244!BD29</f>
        <v>562500</v>
      </c>
      <c r="BE29" s="82"/>
      <c r="BF29" s="9">
        <f>HISTOJANV24!BF29+HISTOFEV24!BF29+HISTOMARS24!BF29+HISTOAVRIL24!BF29+HISTOMAI24!BF29+HISTOJUIN24!BF29+HISTOJUIL24!BF29+HISTOAOUT24!BF29+HISTOSEPT24!BF29+HISTOOCT24!BF29+HISTONOV24!BF29+HISTODEC244!BF29</f>
        <v>120000</v>
      </c>
      <c r="BG29" s="29"/>
      <c r="BH29" s="15"/>
      <c r="BI29" s="15"/>
      <c r="BJ29" s="15"/>
      <c r="BK29" s="15"/>
      <c r="BL29" s="61"/>
      <c r="BO29" s="62"/>
      <c r="BQ29" s="6"/>
    </row>
    <row r="30" spans="1:69" ht="18.5" x14ac:dyDescent="0.45">
      <c r="A30" s="1" t="s">
        <v>35</v>
      </c>
      <c r="B30" s="1">
        <v>250000</v>
      </c>
      <c r="C30" s="5"/>
      <c r="D30" s="9">
        <f>HISTOJANV24!D30+HISTOFEV24!D30+HISTOMARS24!D30+HISTOAVRIL24!D30+HISTOMAI24!D30+HISTOJUIN24!D30+HISTOJUIL24!D30+HISTOAOUT24!D30+HISTOSEPT24!D30+HISTOOCT24!D30+HISTONOV24!D30+HISTODEC244!D30</f>
        <v>3533000</v>
      </c>
      <c r="E30" s="9">
        <f>HISTOJANV24!E30+HISTOFEV24!E30+HISTOMARS24!E30+HISTOAVRIL24!E30+HISTOMAI24!E30+HISTOJUIN24!E30+HISTOJUIL24!E30+HISTOAOUT24!E30+HISTOSEPT24!E30+HISTOOCT24!E30+HISTONOV24!E30+HISTODEC244!E30</f>
        <v>1000000</v>
      </c>
      <c r="F30" s="9">
        <f>HISTOJANV24!F30+HISTOFEV24!F30+HISTOMARS24!F30+HISTOAVRIL24!F30+HISTOMAI24!F30+HISTOJUIN24!F30+HISTOJUIL24!F30+HISTOAOUT24!F30+HISTOSEPT24!F30+HISTOOCT24!F30+HISTONOV24!F30+HISTODEC244!F30</f>
        <v>0</v>
      </c>
      <c r="G30" s="9">
        <f>HISTOJANV24!G30+HISTOFEV24!G30+HISTOMARS24!G30+HISTOAVRIL24!G30+HISTOMAI24!G30+HISTOJUIN24!G30+HISTOJUIL24!G30+HISTOAOUT24!G30+HISTOSEPT24!G30+HISTOOCT24!G30+HISTONOV24!G30+HISTODEC244!G30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HISTOJANV24!I30+HISTOFEV24!I30+HISTOMARS24!I30+HISTOAVRIL24!I30+HISTOMAI24!I30+HISTOJUIN24!I30+HISTOJUIL24!I30+HISTOAOUT24!I30+HISTOSEPT24!I30+HISTOOCT24!I30+HISTONOV24!I30+HISTODEC244!I30</f>
        <v>3000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HISTOJANV24!P30+HISTOFEV24!P30+HISTOMARS24!P30+HISTOAVRIL24!P30+HISTOMAI24!P30+HISTOJUIN24!P30+HISTOJUIL24!P30+HISTOAOUT24!P30+HISTOSEPT24!P30+HISTOOCT24!P30+HISTONOV24!P30+HISTODEC244!P30</f>
        <v>0</v>
      </c>
      <c r="Q30" s="9">
        <f>HISTOJANV24!Q30+HISTOFEV24!Q30+HISTOMARS24!Q30+HISTOAVRIL24!Q30+HISTOMAI24!Q30+HISTOJUIN24!Q30+HISTOJUIL24!Q30+HISTOAOUT24!Q30+HISTOSEPT24!Q30+HISTOOCT24!Q30+HISTONOV24!Q30+HISTODEC244!Q30</f>
        <v>0</v>
      </c>
      <c r="R30" s="9">
        <f>HISTOJANV24!R30+HISTOFEV24!R30+HISTOMARS24!R30+HISTOAVRIL24!R30+HISTOMAI24!R30+HISTOJUIN24!R30+HISTOJUIL24!R30+HISTOAOUT24!R30+HISTOSEPT24!R30+HISTOOCT24!R30+HISTONOV24!R30+HISTODEC244!R30</f>
        <v>530000</v>
      </c>
      <c r="S30" s="9">
        <f>HISTOJANV24!S30+HISTOFEV24!S30+HISTOMARS24!S30+HISTOAVRIL24!S30+HISTOMAI24!S30+HISTOJUIN24!S30+HISTOJUIL24!S30+HISTOAOUT24!S30+HISTOSEPT24!S30+HISTOOCT24!S30+HISTONOV24!S30+HISTODEC244!S30</f>
        <v>1000000</v>
      </c>
      <c r="T30" s="12"/>
      <c r="U30" s="17">
        <f t="shared" si="5"/>
        <v>1783000</v>
      </c>
      <c r="V30" s="9">
        <f>HISTOJANV24!V30+HISTOFEV24!V30+HISTOMARS24!V30+HISTOAVRIL24!V30+HISTOMAI24!V30+HISTOJUIN24!V30+HISTOJUIL24!V30+HISTOAOUT24!V30+HISTOSEPT24!V30+HISTOOCT24!V30+HISTONOV24!V30+HISTODEC244!V30</f>
        <v>0</v>
      </c>
      <c r="W30" s="9">
        <f>HISTOJANV24!W30+HISTOFEV24!W30+HISTOMARS24!W30+HISTOAVRIL24!W30+HISTOMAI24!W30+HISTOJUIN24!W30+HISTOJUIL24!W30+HISTOAOUT24!W30+HISTOSEPT24!W30+HISTOOCT24!W30+HISTONOV24!W30+HISTODEC244!W30</f>
        <v>0</v>
      </c>
      <c r="X30" s="9">
        <f>HISTOJANV24!X30+HISTOFEV24!X30+HISTOMARS24!X30+HISTOAVRIL24!X30+HISTOMAI24!X30+HISTOJUIN24!X30+HISTOJUIL24!X30+HISTOAOUT24!X30+HISTOSEPT24!X30+HISTOOCT24!X30+HISTONOV24!X30+HISTODEC244!X30</f>
        <v>0</v>
      </c>
      <c r="Y30" s="9">
        <f>HISTOJANV24!Y30+HISTOFEV24!Y30+HISTOMARS24!Y30+HISTOAVRIL24!Y30+HISTOMAI24!Y30+HISTOJUIN24!Y30+HISTOJUIL24!Y30+HISTOAOUT24!Y30+HISTOSEPT24!Y30+HISTOOCT24!Y30+HISTONOV24!Y30+HISTODEC244!Y30</f>
        <v>0</v>
      </c>
      <c r="Z30" s="9">
        <f>HISTOJANV24!Z30+HISTOFEV24!Z30+HISTOMARS24!Z30+HISTOAVRIL24!Z30+HISTOMAI24!Z30+HISTOJUIN24!Z30+HISTOJUIL24!Z30+HISTOAOUT24!Z30+HISTOSEPT24!Z30+HISTOOCT24!Z30+HISTONOV24!Z30+HISTODEC244!Z30</f>
        <v>1000000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HISTOJANV24!AC30+HISTOFEV24!AC30+HISTOMARS24!AC30+HISTOAVRIL24!AC30+HISTOMAI24!AC30+HISTOJUIN24!AC30+HISTOJUIL24!AC30+HISTOAOUT24!AC30+HISTOSEPT24!AC30+HISTOOCT24!AC30+HISTONOV24!AC30+HISTODEC244!AC30</f>
        <v>3000</v>
      </c>
      <c r="AD30" s="9">
        <f>HISTOJANV24!AD30+HISTOFEV24!AD30+HISTOMARS24!AD30+HISTOAVRIL24!AD30+HISTOMAI24!AD30+HISTOJUIN24!AD30+HISTOJUIL24!AD30+HISTOAOUT24!AD30+HISTOSEPT24!AD30+HISTOOCT24!AD30+HISTONOV24!AD30+HISTODEC244!AD30</f>
        <v>0</v>
      </c>
      <c r="AE30" s="9">
        <f>HISTOJANV24!AE30+HISTOFEV24!AE30+HISTOMARS24!AE30+HISTOAVRIL24!AE30+HISTOMAI24!AE30+HISTOJUIN24!AE30+HISTOJUIL24!AE30+HISTOAOUT24!AE30+HISTOSEPT24!AE30+HISTOOCT24!AE30+HISTONOV24!AE30+HISTODEC244!AE30</f>
        <v>50000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HISTOJANV24!AH30+HISTOFEV24!AH30+HISTOMARS24!AH30+HISTOAVRIL24!AH30+HISTOMAI24!AH30+HISTOJUIN24!AH30+HISTOJUIL24!AH30+HISTOAOUT24!AH30+HISTOSEPT24!AH30+HISTOOCT24!AH30+HISTONOV24!AH30+HISTODEC244!AH30</f>
        <v>0</v>
      </c>
      <c r="AI30" s="9">
        <f>HISTOJANV24!AI30+HISTOFEV24!AI30+HISTOMARS24!AI30+HISTOAVRIL24!AI30+HISTOMAI24!AI30+HISTOJUIN24!AI30+HISTOJUIL24!AI30+HISTOAOUT24!AI30+HISTOSEPT24!AI30+HISTOOCT24!AI30+HISTONOV24!AI30+HISTODEC244!AI30</f>
        <v>0</v>
      </c>
      <c r="AJ30" s="9">
        <f>HISTOJANV24!AJ30+HISTOFEV24!AJ30+HISTOMARS24!AJ30+HISTOAVRIL24!AJ30+HISTOMAI24!AJ30+HISTOJUIN24!AJ30+HISTOJUIL24!AJ30+HISTOAOUT24!AJ30+HISTOSEPT24!AJ30+HISTOOCT24!AJ30+HISTONOV24!AJ30+HISTODEC244!AJ30</f>
        <v>0</v>
      </c>
      <c r="AK30" s="9">
        <f>HISTOJANV24!AK30+HISTOFEV24!AK30+HISTOMARS24!AK30+HISTOAVRIL24!AK30+HISTOMAI24!AK30+HISTOJUIN24!AK30+HISTOJUIL24!AK30+HISTOAOUT24!AK30+HISTOSEPT24!AK30+HISTOOCT24!AK30+HISTONOV24!AK30+HISTODEC244!AK30</f>
        <v>525000</v>
      </c>
      <c r="AL30" s="9">
        <f>HISTOJANV24!AL30+HISTOFEV24!AL30+HISTOMARS24!AL30+HISTOAVRIL24!AL30+HISTOMAI24!AL30+HISTOJUIN24!AL30+HISTOJUIL24!AL30+HISTOAOUT24!AL30+HISTOSEPT24!AL30+HISTOOCT24!AL30+HISTONOV24!AL30+HISTODEC244!AL30</f>
        <v>0</v>
      </c>
      <c r="AM30" s="9">
        <f>HISTOJANV24!AM30+HISTOFEV24!AM30+HISTOMARS24!AM30+HISTOAVRIL24!AM30+HISTOMAI24!AM30+HISTOJUIN24!AM30+HISTOJUIL24!AM30+HISTOAOUT24!AM30+HISTOSEPT24!AM30+HISTOOCT24!AM30+HISTONOV24!AM30+HISTODEC244!AM30</f>
        <v>0</v>
      </c>
      <c r="AN30" s="9">
        <f>HISTOJANV24!AN30+HISTOFEV24!AN30+HISTOMARS24!AN30+HISTOAVRIL24!AN30+HISTOMAI24!AN30+HISTOJUIN24!AN30+HISTOJUIL24!AN30+HISTOAOUT24!AN30+HISTOSEPT24!AN30+HISTOOCT24!AN30+HISTONOV24!AN30+HISTODEC244!AN30</f>
        <v>5000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28000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HISTOJANV24!AW30+HISTOFEV24!AW30+HISTOMARS24!AW30+HISTOAVRIL24!AW30+HISTOMAI24!AW30+HISTOJUIN24!AW30+HISTOJUIL24!AW30+HISTOAOUT24!AW30+HISTOSEPT24!AW30+HISTOOCT24!AW30+HISTONOV24!AW30+HISTODEC244!AW30</f>
        <v>297000</v>
      </c>
      <c r="AX30" s="9">
        <f>HISTOJANV24!AX30+HISTOFEV24!AX30+HISTOMARS24!AX30+HISTOAVRIL24!AX30+HISTOMAI24!AX30+HISTOJUIN24!AX30+HISTOJUIL24!AX30+HISTOAOUT24!AX30+HISTOSEPT24!AX30+HISTOOCT24!AX30+HISTONOV24!AX30+HISTODEC244!AX30</f>
        <v>0</v>
      </c>
      <c r="AY30" s="9">
        <f>HISTOJANV24!AY30+HISTOFEV24!AY30+HISTOMARS24!AY30+HISTOAVRIL24!AY30+HISTOMAI24!AY30+HISTOJUIN24!AY30+HISTOJUIL24!AY30+HISTOAOUT24!AY30+HISTOSEPT24!AY30+HISTOOCT24!AY30+HISTONOV24!AY30+HISTODEC244!AY30</f>
        <v>2875000</v>
      </c>
      <c r="AZ30" s="9">
        <f>HISTOJANV24!AZ30+HISTOFEV24!AZ30+HISTOMARS24!AZ30+HISTOAVRIL24!AZ30+HISTOMAI24!AZ30+HISTOJUIN24!AZ30+HISTOJUIL24!AZ30+HISTOAOUT24!AZ30+HISTOSEPT24!AZ30+HISTOOCT24!AZ30+HISTONOV24!AZ30+HISTODEC244!AZ30</f>
        <v>4052000</v>
      </c>
      <c r="BA30" s="9">
        <f>HISTOJANV24!BA30+HISTOFEV24!BA30+HISTOMARS24!BA30+HISTOAVRIL24!BA30+HISTOMAI24!BA30+HISTOJUIN24!BA30+HISTOJUIL24!BA30+HISTOAOUT24!BA30+HISTOSEPT24!BA30+HISTOOCT24!BA30+HISTONOV24!BA30+HISTODEC244!BA30</f>
        <v>1005000</v>
      </c>
      <c r="BB30" s="9">
        <f>HISTOJANV24!BB30+HISTOFEV24!BB30+HISTOMARS24!BB30+HISTOAVRIL24!BB30+HISTOMAI24!BB30+HISTOJUIN24!BB30+HISTOJUIL24!BB30+HISTOAOUT24!BB30+HISTOSEPT24!BB30+HISTOOCT24!BB30+HISTONOV24!BB30+HISTODEC244!BB30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HISTOJANV24!BD30+HISTOFEV24!BD30+HISTOMARS24!BD30+HISTOAVRIL24!BD30+HISTOMAI24!BD30+HISTOJUIN24!BD30+HISTOJUIL24!BD30+HISTOAOUT24!BD30+HISTOSEPT24!BD30+HISTOOCT24!BD30+HISTONOV24!BD30+HISTODEC244!BD30</f>
        <v>3047000</v>
      </c>
      <c r="BE30" s="82"/>
      <c r="BF30" s="9">
        <f>HISTOJANV24!BF30+HISTOFEV24!BF30+HISTOMARS24!BF30+HISTOAVRIL24!BF30+HISTOMAI24!BF30+HISTOJUIN24!BF30+HISTOJUIL24!BF30+HISTOAOUT24!BF30+HISTOSEPT24!BF30+HISTOOCT24!BF30+HISTONOV24!BF30+HISTODEC244!BF30</f>
        <v>150000</v>
      </c>
      <c r="BG30" s="29"/>
      <c r="BH30" s="15"/>
      <c r="BI30" s="15"/>
      <c r="BJ30" s="15"/>
      <c r="BK30" s="15"/>
      <c r="BL30" s="61"/>
      <c r="BO30" t="s">
        <v>128</v>
      </c>
      <c r="BP30" t="s">
        <v>50</v>
      </c>
      <c r="BQ30" s="9">
        <f>HISTOJANV24!BQ30+HISTOFEV24!BQ30+HISTOMARS24!BQ30+HISTOAVRIL24!BQ30+HISTOMAI24!BQ30+HISTOJUIN24!BQ30+HISTOJUIL24!BQ30+HISTOAOUT24!BQ30+HISTOSEPT24!BQ30+HISTOOCT24!BQ30+HISTONOV24!BQ30+HISTODEC244!BQ30</f>
        <v>100000</v>
      </c>
    </row>
    <row r="31" spans="1:69" ht="18.5" x14ac:dyDescent="0.45">
      <c r="A31" s="1" t="s">
        <v>37</v>
      </c>
      <c r="B31" s="1">
        <v>150000</v>
      </c>
      <c r="C31" s="5"/>
      <c r="D31" s="9">
        <f>HISTOJANV24!D31+HISTOFEV24!D31+HISTOMARS24!D31+HISTOAVRIL24!D31+HISTOMAI24!D31+HISTOJUIN24!D31+HISTOJUIL24!D31+HISTOAOUT24!D31+HISTOSEPT24!D31+HISTOOCT24!D31+HISTONOV24!D31+HISTODEC244!D31</f>
        <v>3130000</v>
      </c>
      <c r="E31" s="9">
        <f>HISTOJANV24!E31+HISTOFEV24!E31+HISTOMARS24!E31+HISTOAVRIL24!E31+HISTOMAI24!E31+HISTOJUIN24!E31+HISTOJUIL24!E31+HISTOAOUT24!E31+HISTOSEPT24!E31+HISTOOCT24!E31+HISTONOV24!E31+HISTODEC244!E31</f>
        <v>10000</v>
      </c>
      <c r="F31" s="9">
        <f>HISTOJANV24!F31+HISTOFEV24!F31+HISTOMARS24!F31+HISTOAVRIL24!F31+HISTOMAI24!F31+HISTOJUIN24!F31+HISTOJUIL24!F31+HISTOAOUT24!F31+HISTOSEPT24!F31+HISTOOCT24!F31+HISTONOV24!F31+HISTODEC244!F31</f>
        <v>0</v>
      </c>
      <c r="G31" s="9">
        <f>HISTOJANV24!G31+HISTOFEV24!G31+HISTOMARS24!G31+HISTOAVRIL24!G31+HISTOMAI24!G31+HISTOJUIN24!G31+HISTOJUIL24!G31+HISTOAOUT24!G31+HISTOSEPT24!G31+HISTOOCT24!G31+HISTONOV24!G31+HISTODEC244!G31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HISTOJANV24!P31+HISTOFEV24!P31+HISTOMARS24!P31+HISTOAVRIL24!P31+HISTOMAI24!P31+HISTOJUIN24!P31+HISTOJUIL24!P31+HISTOAOUT24!P31+HISTOSEPT24!P31+HISTOOCT24!P31+HISTONOV24!P31+HISTODEC244!P31</f>
        <v>30000</v>
      </c>
      <c r="Q31" s="9">
        <f>HISTOJANV24!Q31+HISTOFEV24!Q31+HISTOMARS24!Q31+HISTOAVRIL24!Q31+HISTOMAI24!Q31+HISTOJUIN24!Q31+HISTOJUIL24!Q31+HISTOAOUT24!Q31+HISTOSEPT24!Q31+HISTOOCT24!Q31+HISTONOV24!Q31+HISTODEC244!Q31</f>
        <v>0</v>
      </c>
      <c r="R31" s="9">
        <f>HISTOJANV24!R31+HISTOFEV24!R31+HISTOMARS24!R31+HISTOAVRIL24!R31+HISTOMAI24!R31+HISTOJUIN24!R31+HISTOJUIL24!R31+HISTOAOUT24!R31+HISTOSEPT24!R31+HISTOOCT24!R31+HISTONOV24!R31+HISTODEC244!R31</f>
        <v>0</v>
      </c>
      <c r="S31" s="9">
        <f>HISTOJANV24!S31+HISTOFEV24!S31+HISTOMARS24!S31+HISTOAVRIL24!S31+HISTOMAI24!S31+HISTOJUIN24!S31+HISTOJUIL24!S31+HISTOAOUT24!S31+HISTOSEPT24!S31+HISTOOCT24!S31+HISTONOV24!S31+HISTODEC244!S31</f>
        <v>1250000</v>
      </c>
      <c r="T31" s="12"/>
      <c r="U31" s="17">
        <f t="shared" si="5"/>
        <v>1430000</v>
      </c>
      <c r="V31" s="9">
        <f>HISTOJANV24!V31+HISTOFEV24!V31+HISTOMARS24!V31+HISTOAVRIL24!V31+HISTOMAI24!V31+HISTOJUIN24!V31+HISTOJUIL24!V31+HISTOAOUT24!V31+HISTOSEPT24!V31+HISTOOCT24!V31+HISTONOV24!V31+HISTODEC244!V31</f>
        <v>0</v>
      </c>
      <c r="W31" s="9">
        <f>HISTOJANV24!W31+HISTOFEV24!W31+HISTOMARS24!W31+HISTOAVRIL24!W31+HISTOMAI24!W31+HISTOJUIN24!W31+HISTOJUIL24!W31+HISTOAOUT24!W31+HISTOSEPT24!W31+HISTOOCT24!W31+HISTONOV24!W31+HISTODEC244!W31</f>
        <v>0</v>
      </c>
      <c r="X31" s="9">
        <f>HISTOJANV24!X31+HISTOFEV24!X31+HISTOMARS24!X31+HISTOAVRIL24!X31+HISTOMAI24!X31+HISTOJUIN24!X31+HISTOJUIL24!X31+HISTOAOUT24!X31+HISTOSEPT24!X31+HISTOOCT24!X31+HISTONOV24!X31+HISTODEC244!X31</f>
        <v>0</v>
      </c>
      <c r="Y31" s="9">
        <f>HISTOJANV24!Y31+HISTOFEV24!Y31+HISTOMARS24!Y31+HISTOAVRIL24!Y31+HISTOMAI24!Y31+HISTOJUIN24!Y31+HISTOJUIL24!Y31+HISTOAOUT24!Y31+HISTOSEPT24!Y31+HISTOOCT24!Y31+HISTONOV24!Y31+HISTODEC244!Y31</f>
        <v>0</v>
      </c>
      <c r="Z31" s="9">
        <f>HISTOJANV24!Z31+HISTOFEV24!Z31+HISTOMARS24!Z31+HISTOAVRIL24!Z31+HISTOMAI24!Z31+HISTOJUIN24!Z31+HISTOJUIL24!Z31+HISTOAOUT24!Z31+HISTOSEPT24!Z31+HISTOOCT24!Z31+HISTONOV24!Z31+HISTODEC244!Z31</f>
        <v>2000000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HISTOJANV24!AC31+HISTOFEV24!AC31+HISTOMARS24!AC31+HISTOAVRIL24!AC31+HISTOMAI24!AC31+HISTOJUIN24!AC31+HISTOJUIL24!AC31+HISTOAOUT24!AC31+HISTOSEPT24!AC31+HISTOOCT24!AC31+HISTONOV24!AC31+HISTODEC244!AC31</f>
        <v>3500</v>
      </c>
      <c r="AD31" s="9">
        <f>HISTOJANV24!AD31+HISTOFEV24!AD31+HISTOMARS24!AD31+HISTOAVRIL24!AD31+HISTOMAI24!AD31+HISTOJUIN24!AD31+HISTOJUIL24!AD31+HISTOAOUT24!AD31+HISTOSEPT24!AD31+HISTOOCT24!AD31+HISTONOV24!AD31+HISTODEC244!AD31</f>
        <v>0</v>
      </c>
      <c r="AE31" s="9">
        <f>HISTOJANV24!AE31+HISTOFEV24!AE31+HISTOMARS24!AE31+HISTOAVRIL24!AE31+HISTOMAI24!AE31+HISTOJUIN24!AE31+HISTOJUIL24!AE31+HISTOAOUT24!AE31+HISTOSEPT24!AE31+HISTOOCT24!AE31+HISTONOV24!AE31+HISTODEC244!AE31</f>
        <v>40000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HISTOJANV24!AH31+HISTOFEV24!AH31+HISTOMARS24!AH31+HISTOAVRIL24!AH31+HISTOMAI24!AH31+HISTOJUIN24!AH31+HISTOJUIL24!AH31+HISTOAOUT24!AH31+HISTOSEPT24!AH31+HISTOOCT24!AH31+HISTONOV24!AH31+HISTODEC244!AH31</f>
        <v>0</v>
      </c>
      <c r="AI31" s="9">
        <f>HISTOJANV24!AI31+HISTOFEV24!AI31+HISTOMARS24!AI31+HISTOAVRIL24!AI31+HISTOMAI24!AI31+HISTOJUIN24!AI31+HISTOJUIL24!AI31+HISTOAOUT24!AI31+HISTOSEPT24!AI31+HISTOOCT24!AI31+HISTONOV24!AI31+HISTODEC244!AI31</f>
        <v>29500</v>
      </c>
      <c r="AJ31" s="9">
        <f>HISTOJANV24!AJ31+HISTOFEV24!AJ31+HISTOMARS24!AJ31+HISTOAVRIL24!AJ31+HISTOMAI24!AJ31+HISTOJUIN24!AJ31+HISTOJUIL24!AJ31+HISTOAOUT24!AJ31+HISTOSEPT24!AJ31+HISTOOCT24!AJ31+HISTONOV24!AJ31+HISTODEC244!AJ31</f>
        <v>0</v>
      </c>
      <c r="AK31" s="9">
        <f>HISTOJANV24!AK31+HISTOFEV24!AK31+HISTOMARS24!AK31+HISTOAVRIL24!AK31+HISTOMAI24!AK31+HISTOJUIN24!AK31+HISTOJUIL24!AK31+HISTOAOUT24!AK31+HISTOSEPT24!AK31+HISTOOCT24!AK31+HISTONOV24!AK31+HISTODEC244!AK31</f>
        <v>0</v>
      </c>
      <c r="AL31" s="9">
        <f>HISTOJANV24!AL31+HISTOFEV24!AL31+HISTOMARS24!AL31+HISTOAVRIL24!AL31+HISTOMAI24!AL31+HISTOJUIN24!AL31+HISTOJUIL24!AL31+HISTOAOUT24!AL31+HISTOSEPT24!AL31+HISTOOCT24!AL31+HISTONOV24!AL31+HISTODEC244!AL31</f>
        <v>500</v>
      </c>
      <c r="AM31" s="9">
        <f>HISTOJANV24!AM31+HISTOFEV24!AM31+HISTOMARS24!AM31+HISTOAVRIL24!AM31+HISTOMAI24!AM31+HISTOJUIN24!AM31+HISTOJUIL24!AM31+HISTOAOUT24!AM31+HISTOSEPT24!AM31+HISTOOCT24!AM31+HISTONOV24!AM31+HISTODEC244!AM31</f>
        <v>0</v>
      </c>
      <c r="AN31" s="9">
        <f>HISTOJANV24!AN31+HISTOFEV24!AN31+HISTOMARS24!AN31+HISTOAVRIL24!AN31+HISTOMAI24!AN31+HISTOJUIN24!AN31+HISTOJUIL24!AN31+HISTOAOUT24!AN31+HISTOSEPT24!AN31+HISTOOCT24!AN31+HISTONOV24!AN31+HISTODEC244!AN31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HISTOJANV24!AW31+HISTOFEV24!AW31+HISTOMARS24!AW31+HISTOAVRIL24!AW31+HISTOMAI24!AW31+HISTOJUIN24!AW31+HISTOJUIL24!AW31+HISTOAOUT24!AW31+HISTOSEPT24!AW31+HISTOOCT24!AW31+HISTONOV24!AW31+HISTODEC244!AW31</f>
        <v>326000</v>
      </c>
      <c r="AX31" s="9">
        <f>HISTOJANV24!AX31+HISTOFEV24!AX31+HISTOMARS24!AX31+HISTOAVRIL24!AX31+HISTOMAI24!AX31+HISTOJUIN24!AX31+HISTOJUIL24!AX31+HISTOAOUT24!AX31+HISTOSEPT24!AX31+HISTOOCT24!AX31+HISTONOV24!AX31+HISTODEC244!AX31</f>
        <v>0</v>
      </c>
      <c r="AY31" s="9">
        <f>HISTOJANV24!AY31+HISTOFEV24!AY31+HISTOMARS24!AY31+HISTOAVRIL24!AY31+HISTOMAI24!AY31+HISTOJUIN24!AY31+HISTOJUIL24!AY31+HISTOAOUT24!AY31+HISTOSEPT24!AY31+HISTOOCT24!AY31+HISTONOV24!AY31+HISTODEC244!AY31</f>
        <v>1160000</v>
      </c>
      <c r="AZ31" s="9">
        <f>HISTOJANV24!AZ31+HISTOFEV24!AZ31+HISTOMARS24!AZ31+HISTOAVRIL24!AZ31+HISTOMAI24!AZ31+HISTOJUIN24!AZ31+HISTOJUIL24!AZ31+HISTOAOUT24!AZ31+HISTOSEPT24!AZ31+HISTOOCT24!AZ31+HISTONOV24!AZ31+HISTODEC244!AZ31</f>
        <v>3466000</v>
      </c>
      <c r="BA31" s="9">
        <f>HISTOJANV24!BA31+HISTOFEV24!BA31+HISTOMARS24!BA31+HISTOAVRIL24!BA31+HISTOMAI24!BA31+HISTOJUIN24!BA31+HISTOJUIL24!BA31+HISTOAOUT24!BA31+HISTOSEPT24!BA31+HISTOOCT24!BA31+HISTONOV24!BA31+HISTODEC244!BA31</f>
        <v>59000</v>
      </c>
      <c r="BB31" s="9">
        <f>HISTOJANV24!BB31+HISTOFEV24!BB31+HISTOMARS24!BB31+HISTOAVRIL24!BB31+HISTOMAI24!BB31+HISTOJUIN24!BB31+HISTOJUIL24!BB31+HISTOAOUT24!BB31+HISTOSEPT24!BB31+HISTOOCT24!BB31+HISTONOV24!BB31+HISTODEC244!BB31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HISTOJANV24!BD31+HISTOFEV24!BD31+HISTOMARS24!BD31+HISTOAVRIL24!BD31+HISTOMAI24!BD31+HISTOJUIN24!BD31+HISTOJUIL24!BD31+HISTOAOUT24!BD31+HISTOSEPT24!BD31+HISTOOCT24!BD31+HISTONOV24!BD31+HISTODEC244!BD31</f>
        <v>3377000</v>
      </c>
      <c r="BE31" s="82"/>
      <c r="BF31" s="9">
        <f>HISTOJANV24!BF31+HISTOFEV24!BF31+HISTOMARS24!BF31+HISTOAVRIL24!BF31+HISTOMAI24!BF31+HISTOJUIN24!BF31+HISTOJUIL24!BF31+HISTOAOUT24!BF31+HISTOSEPT24!BF31+HISTOOCT24!BF31+HISTONOV24!BF31+HISTODEC244!BF31</f>
        <v>210000</v>
      </c>
      <c r="BG31" s="29"/>
      <c r="BH31" s="15"/>
      <c r="BI31" s="15"/>
      <c r="BJ31" s="15"/>
      <c r="BK31" s="15"/>
      <c r="BL31" s="61"/>
      <c r="BO31" t="s">
        <v>129</v>
      </c>
      <c r="BP31" t="s">
        <v>50</v>
      </c>
      <c r="BQ31" s="9">
        <f>HISTOJANV24!BQ31+HISTOFEV24!BQ31+HISTOMARS24!BQ31+HISTOAVRIL24!BQ31+HISTOMAI24!BQ31+HISTOJUIN24!BQ31+HISTOJUIL24!BQ31+HISTOAOUT24!BQ31+HISTOSEPT24!BQ31+HISTOOCT24!BQ31+HISTONOV24!BQ31+HISTODEC244!BQ31</f>
        <v>0</v>
      </c>
    </row>
    <row r="32" spans="1:69" ht="18.5" x14ac:dyDescent="0.45">
      <c r="A32" s="1" t="s">
        <v>38</v>
      </c>
      <c r="B32" s="1">
        <v>125000</v>
      </c>
      <c r="C32" s="5"/>
      <c r="D32" s="9">
        <f>HISTOJANV24!D32+HISTOFEV24!D32+HISTOMARS24!D32+HISTOAVRIL24!D32+HISTOMAI24!D32+HISTOJUIN24!D32+HISTOJUIL24!D32+HISTOAOUT24!D32+HISTOSEPT24!D32+HISTOOCT24!D32+HISTONOV24!D32+HISTODEC244!D32</f>
        <v>4519500</v>
      </c>
      <c r="E32" s="9">
        <f>HISTOJANV24!E32+HISTOFEV24!E32+HISTOMARS24!E32+HISTOAVRIL24!E32+HISTOMAI24!E32+HISTOJUIN24!E32+HISTOJUIL24!E32+HISTOAOUT24!E32+HISTOSEPT24!E32+HISTOOCT24!E32+HISTONOV24!E32+HISTODEC244!E32</f>
        <v>0</v>
      </c>
      <c r="F32" s="9">
        <f>HISTOJANV24!F32+HISTOFEV24!F32+HISTOMARS24!F32+HISTOAVRIL24!F32+HISTOMAI24!F32+HISTOJUIN24!F32+HISTOJUIL24!F32+HISTOAOUT24!F32+HISTOSEPT24!F32+HISTOOCT24!F32+HISTONOV24!F32+HISTODEC244!F32</f>
        <v>0</v>
      </c>
      <c r="G32" s="9">
        <f>HISTOJANV24!G32+HISTOFEV24!G32+HISTOMARS24!G32+HISTOAVRIL24!G32+HISTOMAI24!G32+HISTOJUIN24!G32+HISTOJUIL24!G32+HISTOAOUT24!G32+HISTOSEPT24!G32+HISTOOCT24!G32+HISTONOV24!G32+HISTODEC244!G32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HISTOJANV24!I32+HISTOFEV24!I32+HISTOMARS24!I32+HISTOAVRIL24!I32+HISTOMAI24!I32+HISTOJUIN24!I32+HISTOJUIL24!I32+HISTOAOUT24!I32+HISTOSEPT24!I32+HISTOOCT24!I32+HISTONOV24!I32+HISTODEC244!I32</f>
        <v>1000000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HISTOJANV24!P32+HISTOFEV24!P32+HISTOMARS24!P32+HISTOAVRIL24!P32+HISTOMAI24!P32+HISTOJUIN24!P32+HISTOJUIL24!P32+HISTOAOUT24!P32+HISTOSEPT24!P32+HISTOOCT24!P32+HISTONOV24!P32+HISTODEC244!P32</f>
        <v>0</v>
      </c>
      <c r="Q32" s="9">
        <f>HISTOJANV24!Q32+HISTOFEV24!Q32+HISTOMARS24!Q32+HISTOAVRIL24!Q32+HISTOMAI24!Q32+HISTOJUIN24!Q32+HISTOJUIL24!Q32+HISTOAOUT24!Q32+HISTOSEPT24!Q32+HISTOOCT24!Q32+HISTONOV24!Q32+HISTODEC244!Q32</f>
        <v>1019500</v>
      </c>
      <c r="R32" s="9">
        <f>HISTOJANV24!R32+HISTOFEV24!R32+HISTOMARS24!R32+HISTOAVRIL24!R32+HISTOMAI24!R32+HISTOJUIN24!R32+HISTOJUIL24!R32+HISTOAOUT24!R32+HISTOSEPT24!R32+HISTOOCT24!R32+HISTONOV24!R32+HISTODEC244!R32</f>
        <v>0</v>
      </c>
      <c r="S32" s="9">
        <f>HISTOJANV24!S32+HISTOFEV24!S32+HISTOMARS24!S32+HISTOAVRIL24!S32+HISTOMAI24!S32+HISTOJUIN24!S32+HISTOJUIL24!S32+HISTOAOUT24!S32+HISTOSEPT24!S32+HISTOOCT24!S32+HISTONOV24!S32+HISTODEC244!S32</f>
        <v>1000000</v>
      </c>
      <c r="T32" s="12"/>
      <c r="U32" s="17">
        <f t="shared" si="5"/>
        <v>3144500</v>
      </c>
      <c r="V32" s="9">
        <f>HISTOJANV24!V32+HISTOFEV24!V32+HISTOMARS24!V32+HISTOAVRIL24!V32+HISTOMAI24!V32+HISTOJUIN24!V32+HISTOJUIL24!V32+HISTOAOUT24!V32+HISTOSEPT24!V32+HISTOOCT24!V32+HISTONOV24!V32+HISTODEC244!V32</f>
        <v>0</v>
      </c>
      <c r="W32" s="9">
        <f>HISTOJANV24!W32+HISTOFEV24!W32+HISTOMARS24!W32+HISTOAVRIL24!W32+HISTOMAI24!W32+HISTOJUIN24!W32+HISTOJUIL24!W32+HISTOAOUT24!W32+HISTOSEPT24!W32+HISTOOCT24!W32+HISTONOV24!W32+HISTODEC244!W32</f>
        <v>0</v>
      </c>
      <c r="X32" s="9">
        <f>HISTOJANV24!X32+HISTOFEV24!X32+HISTOMARS24!X32+HISTOAVRIL24!X32+HISTOMAI24!X32+HISTOJUIN24!X32+HISTOJUIL24!X32+HISTOAOUT24!X32+HISTOSEPT24!X32+HISTOOCT24!X32+HISTONOV24!X32+HISTODEC244!X32</f>
        <v>0</v>
      </c>
      <c r="Y32" s="9">
        <f>HISTOJANV24!Y32+HISTOFEV24!Y32+HISTOMARS24!Y32+HISTOAVRIL24!Y32+HISTOMAI24!Y32+HISTOJUIN24!Y32+HISTOJUIL24!Y32+HISTOAOUT24!Y32+HISTOSEPT24!Y32+HISTOOCT24!Y32+HISTONOV24!Y32+HISTODEC244!Y32</f>
        <v>0</v>
      </c>
      <c r="Z32" s="9">
        <f>HISTOJANV24!Z32+HISTOFEV24!Z32+HISTOMARS24!Z32+HISTOAVRIL24!Z32+HISTOMAI24!Z32+HISTOJUIN24!Z32+HISTOJUIL24!Z32+HISTOAOUT24!Z32+HISTOSEPT24!Z32+HISTOOCT24!Z32+HISTONOV24!Z32+HISTODEC244!Z32</f>
        <v>2000000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HISTOJANV24!AC32+HISTOFEV24!AC32+HISTOMARS24!AC32+HISTOAVRIL24!AC32+HISTOMAI24!AC32+HISTOJUIN24!AC32+HISTOJUIL24!AC32+HISTOAOUT24!AC32+HISTOSEPT24!AC32+HISTOOCT24!AC32+HISTONOV24!AC32+HISTODEC244!AC32</f>
        <v>10500</v>
      </c>
      <c r="AD32" s="9">
        <f>HISTOJANV24!AD32+HISTOFEV24!AD32+HISTOMARS24!AD32+HISTOAVRIL24!AD32+HISTOMAI24!AD32+HISTOJUIN24!AD32+HISTOJUIL24!AD32+HISTOAOUT24!AD32+HISTOSEPT24!AD32+HISTOOCT24!AD32+HISTONOV24!AD32+HISTODEC244!AD32</f>
        <v>7500</v>
      </c>
      <c r="AE32" s="9">
        <f>HISTOJANV24!AE32+HISTOFEV24!AE32+HISTOMARS24!AE32+HISTOAVRIL24!AE32+HISTOMAI24!AE32+HISTOJUIN24!AE32+HISTOJUIL24!AE32+HISTOAOUT24!AE32+HISTOSEPT24!AE32+HISTOOCT24!AE32+HISTONOV24!AE32+HISTODEC244!AE32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HISTOJANV24!AH32+HISTOFEV24!AH32+HISTOMARS24!AH32+HISTOAVRIL24!AH32+HISTOMAI24!AH32+HISTOJUIN24!AH32+HISTOJUIL24!AH32+HISTOAOUT24!AH32+HISTOSEPT24!AH32+HISTOOCT24!AH32+HISTONOV24!AH32+HISTODEC244!AH32</f>
        <v>0</v>
      </c>
      <c r="AI32" s="9">
        <f>HISTOJANV24!AI32+HISTOFEV24!AI32+HISTOMARS24!AI32+HISTOAVRIL24!AI32+HISTOMAI24!AI32+HISTOJUIN24!AI32+HISTOJUIL24!AI32+HISTOAOUT24!AI32+HISTOSEPT24!AI32+HISTOOCT24!AI32+HISTONOV24!AI32+HISTODEC244!AI32</f>
        <v>0</v>
      </c>
      <c r="AJ32" s="9">
        <f>HISTOJANV24!AJ32+HISTOFEV24!AJ32+HISTOMARS24!AJ32+HISTOAVRIL24!AJ32+HISTOMAI24!AJ32+HISTOJUIN24!AJ32+HISTOJUIL24!AJ32+HISTOAOUT24!AJ32+HISTOSEPT24!AJ32+HISTOOCT24!AJ32+HISTONOV24!AJ32+HISTODEC244!AJ32</f>
        <v>1007500</v>
      </c>
      <c r="AK32" s="9">
        <f>HISTOJANV24!AK32+HISTOFEV24!AK32+HISTOMARS24!AK32+HISTOAVRIL24!AK32+HISTOMAI24!AK32+HISTOJUIN24!AK32+HISTOJUIL24!AK32+HISTOAOUT24!AK32+HISTOSEPT24!AK32+HISTOOCT24!AK32+HISTONOV24!AK32+HISTODEC244!AK32</f>
        <v>0</v>
      </c>
      <c r="AL32" s="9">
        <f>HISTOJANV24!AL32+HISTOFEV24!AL32+HISTOMARS24!AL32+HISTOAVRIL24!AL32+HISTOMAI24!AL32+HISTOJUIN24!AL32+HISTOJUIL24!AL32+HISTOAOUT24!AL32+HISTOSEPT24!AL32+HISTOOCT24!AL32+HISTONOV24!AL32+HISTODEC244!AL32</f>
        <v>0</v>
      </c>
      <c r="AM32" s="9">
        <f>HISTOJANV24!AM32+HISTOFEV24!AM32+HISTOMARS24!AM32+HISTOAVRIL24!AM32+HISTOMAI24!AM32+HISTOJUIN24!AM32+HISTOJUIL24!AM32+HISTOAOUT24!AM32+HISTOSEPT24!AM32+HISTOOCT24!AM32+HISTONOV24!AM32+HISTODEC244!AM32</f>
        <v>12000</v>
      </c>
      <c r="AN32" s="9">
        <f>HISTOJANV24!AN32+HISTOFEV24!AN32+HISTOMARS24!AN32+HISTOAVRIL24!AN32+HISTOMAI24!AN32+HISTOJUIN24!AN32+HISTOJUIL24!AN32+HISTOAOUT24!AN32+HISTOSEPT24!AN32+HISTOOCT24!AN32+HISTONOV24!AN32+HISTODEC244!AN32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1025000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HISTOJANV24!AW32+HISTOFEV24!AW32+HISTOMARS24!AW32+HISTOAVRIL24!AW32+HISTOMAI24!AW32+HISTOJUIN24!AW32+HISTOJUIL24!AW32+HISTOAOUT24!AW32+HISTOSEPT24!AW32+HISTOOCT24!AW32+HISTONOV24!AW32+HISTODEC244!AW32</f>
        <v>289500</v>
      </c>
      <c r="AX32" s="9">
        <f>HISTOJANV24!AX32+HISTOFEV24!AX32+HISTOMARS24!AX32+HISTOAVRIL24!AX32+HISTOMAI24!AX32+HISTOJUIN24!AX32+HISTOJUIL24!AX32+HISTOAOUT24!AX32+HISTOSEPT24!AX32+HISTOOCT24!AX32+HISTONOV24!AX32+HISTODEC244!AX32</f>
        <v>1900000</v>
      </c>
      <c r="AY32" s="9">
        <f>HISTOJANV24!AY32+HISTOFEV24!AY32+HISTOMARS24!AY32+HISTOAVRIL24!AY32+HISTOMAI24!AY32+HISTOJUIN24!AY32+HISTOJUIL24!AY32+HISTOAOUT24!AY32+HISTOSEPT24!AY32+HISTOOCT24!AY32+HISTONOV24!AY32+HISTODEC244!AY32</f>
        <v>0</v>
      </c>
      <c r="AZ32" s="9">
        <f>HISTOJANV24!AZ32+HISTOFEV24!AZ32+HISTOMARS24!AZ32+HISTOAVRIL24!AZ32+HISTOMAI24!AZ32+HISTOJUIN24!AZ32+HISTOJUIL24!AZ32+HISTOAOUT24!AZ32+HISTOSEPT24!AZ32+HISTOOCT24!AZ32+HISTONOV24!AZ32+HISTODEC244!AZ32</f>
        <v>4009500</v>
      </c>
      <c r="BA32" s="9">
        <f>HISTOJANV24!BA32+HISTOFEV24!BA32+HISTOMARS24!BA32+HISTOAVRIL24!BA32+HISTOMAI24!BA32+HISTOJUIN24!BA32+HISTOJUIL24!BA32+HISTOAOUT24!BA32+HISTOSEPT24!BA32+HISTOOCT24!BA32+HISTONOV24!BA32+HISTODEC244!BA32</f>
        <v>400500</v>
      </c>
      <c r="BB32" s="9">
        <f>HISTOJANV24!BB32+HISTOFEV24!BB32+HISTOMARS24!BB32+HISTOAVRIL24!BB32+HISTOMAI24!BB32+HISTOJUIN24!BB32+HISTOJUIL24!BB32+HISTOAOUT24!BB32+HISTOSEPT24!BB32+HISTOOCT24!BB32+HISTONOV24!BB32+HISTODEC244!BB32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HISTOJANV24!BD32+HISTOFEV24!BD32+HISTOMARS24!BD32+HISTOAVRIL24!BD32+HISTOMAI24!BD32+HISTOJUIN24!BD32+HISTOJUIL24!BD32+HISTOAOUT24!BD32+HISTOSEPT24!BD32+HISTOOCT24!BD32+HISTONOV24!BD32+HISTODEC244!BD32</f>
        <v>3579000</v>
      </c>
      <c r="BE32" s="82"/>
      <c r="BF32" s="9">
        <f>HISTOJANV24!BF32+HISTOFEV24!BF32+HISTOMARS24!BF32+HISTOAVRIL24!BF32+HISTOMAI24!BF32+HISTOJUIN24!BF32+HISTOJUIL24!BF32+HISTOAOUT24!BF32+HISTOSEPT24!BF32+HISTOOCT24!BF32+HISTONOV24!BF32+HISTODEC244!BF32</f>
        <v>180000</v>
      </c>
      <c r="BG32" s="29"/>
      <c r="BH32" s="15"/>
      <c r="BI32" s="15"/>
      <c r="BJ32" s="15"/>
      <c r="BK32" s="15"/>
      <c r="BL32" s="61"/>
    </row>
    <row r="33" spans="1:69" ht="18.5" x14ac:dyDescent="0.45">
      <c r="A33" s="1" t="s">
        <v>194</v>
      </c>
      <c r="B33" s="1">
        <v>150000</v>
      </c>
      <c r="C33" s="5"/>
      <c r="D33" s="9">
        <f>HISTOJANV24!D33+HISTOFEV24!D33+HISTOMARS24!D33+HISTOAVRIL24!D33+HISTOMAI24!D33+HISTOJUIN24!D33+HISTOJUIL24!D33+HISTOAOUT24!D33+HISTOSEPT24!D33+HISTOOCT24!D33+HISTONOV24!D33+HISTODEC244!D33</f>
        <v>2440000</v>
      </c>
      <c r="E33" s="9">
        <f>HISTOJANV24!E33+HISTOFEV24!E33+HISTOMARS24!E33+HISTOAVRIL24!E33+HISTOMAI24!E33+HISTOJUIN24!E33+HISTOJUIL24!E33+HISTOAOUT24!E33+HISTOSEPT24!E33+HISTOOCT24!E33+HISTONOV24!E33+HISTODEC244!E33</f>
        <v>0</v>
      </c>
      <c r="F33" s="9">
        <f>HISTOJANV24!F33+HISTOFEV24!F33+HISTOMARS24!F33+HISTOAVRIL24!F33+HISTOMAI24!F33+HISTOJUIN24!F33+HISTOJUIL24!F33+HISTOAOUT24!F33+HISTOSEPT24!F33+HISTOOCT24!F33+HISTONOV24!F33+HISTODEC244!F33</f>
        <v>0</v>
      </c>
      <c r="G33" s="9">
        <f>HISTOJANV24!G33+HISTOFEV24!G33+HISTOMARS24!G33+HISTOAVRIL24!G33+HISTOMAI24!G33+HISTOJUIN24!G33+HISTOJUIL24!G33+HISTOAOUT24!G33+HISTOSEPT24!G33+HISTOOCT24!G33+HISTONOV24!G33+HISTODEC244!G33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HISTOJANV24!I33+HISTOFEV24!I33+HISTOMARS24!I33+HISTOAVRIL24!I33+HISTOMAI24!I33+HISTOJUIN24!I33+HISTOJUIL24!I33+HISTOAOUT24!I33+HISTOSEPT24!I33+HISTOOCT24!I33+HISTONOV24!I33+HISTODEC244!I33</f>
        <v>744000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HISTOJANV24!P33+HISTOFEV24!P33+HISTOMARS24!P33+HISTOAVRIL24!P33+HISTOMAI24!P33+HISTOJUIN24!P33+HISTOJUIL24!P33+HISTOAOUT24!P33+HISTOSEPT24!P33+HISTOOCT24!P33+HISTONOV24!P33+HISTODEC244!P33</f>
        <v>0</v>
      </c>
      <c r="Q33" s="9">
        <f>HISTOJANV24!Q33+HISTOFEV24!Q33+HISTOMARS24!Q33+HISTOAVRIL24!Q33+HISTOMAI24!Q33+HISTOJUIN24!Q33+HISTOJUIL24!Q33+HISTOAOUT24!Q33+HISTOSEPT24!Q33+HISTOOCT24!Q33+HISTONOV24!Q33+HISTODEC244!Q33</f>
        <v>0</v>
      </c>
      <c r="R33" s="9">
        <f>HISTOJANV24!R33+HISTOFEV24!R33+HISTOMARS24!R33+HISTOAVRIL24!R33+HISTOMAI24!R33+HISTOJUIN24!R33+HISTOJUIL24!R33+HISTOAOUT24!R33+HISTOSEPT24!R33+HISTOOCT24!R33+HISTONOV24!R33+HISTODEC244!R33</f>
        <v>0</v>
      </c>
      <c r="S33" s="9">
        <f>HISTOJANV24!S33+HISTOFEV24!S33+HISTOMARS24!S33+HISTOAVRIL24!S33+HISTOMAI24!S33+HISTOJUIN24!S33+HISTOJUIL24!S33+HISTOAOUT24!S33+HISTOSEPT24!S33+HISTOOCT24!S33+HISTONOV24!S33+HISTODEC244!S33</f>
        <v>0</v>
      </c>
      <c r="T33" s="12"/>
      <c r="U33" s="17">
        <f t="shared" si="5"/>
        <v>919000</v>
      </c>
      <c r="V33" s="9">
        <f>HISTOJANV24!V33+HISTOFEV24!V33+HISTOMARS24!V33+HISTOAVRIL24!V33+HISTOMAI24!V33+HISTOJUIN24!V33+HISTOJUIL24!V33+HISTOAOUT24!V33+HISTOSEPT24!V33+HISTOOCT24!V33+HISTONOV24!V33+HISTODEC244!V33</f>
        <v>0</v>
      </c>
      <c r="W33" s="9">
        <f>HISTOJANV24!W33+HISTOFEV24!W33+HISTOMARS24!W33+HISTOAVRIL24!W33+HISTOMAI24!W33+HISTOJUIN24!W33+HISTOJUIL24!W33+HISTOAOUT24!W33+HISTOSEPT24!W33+HISTOOCT24!W33+HISTONOV24!W33+HISTODEC244!W33</f>
        <v>25000</v>
      </c>
      <c r="X33" s="9">
        <f>HISTOJANV24!X33+HISTOFEV24!X33+HISTOMARS24!X33+HISTOAVRIL24!X33+HISTOMAI24!X33+HISTOJUIN24!X33+HISTOJUIL24!X33+HISTOAOUT24!X33+HISTOSEPT24!X33+HISTOOCT24!X33+HISTONOV24!X33+HISTODEC244!X33</f>
        <v>0</v>
      </c>
      <c r="Y33" s="9">
        <f>HISTOJANV24!Y33+HISTOFEV24!Y33+HISTOMARS24!Y33+HISTOAVRIL24!Y33+HISTOMAI24!Y33+HISTOJUIN24!Y33+HISTOJUIL24!Y33+HISTOAOUT24!Y33+HISTOSEPT24!Y33+HISTOOCT24!Y33+HISTONOV24!Y33+HISTODEC244!Y33</f>
        <v>0</v>
      </c>
      <c r="Z33" s="9">
        <f>HISTOJANV24!Z33+HISTOFEV24!Z33+HISTOMARS24!Z33+HISTOAVRIL24!Z33+HISTOMAI24!Z33+HISTOJUIN24!Z33+HISTOJUIL24!Z33+HISTOAOUT24!Z33+HISTOSEPT24!Z33+HISTOOCT24!Z33+HISTONOV24!Z33+HISTODEC244!Z33</f>
        <v>1000000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HISTOJANV24!AC33+HISTOFEV24!AC33+HISTOMARS24!AC33+HISTOAVRIL24!AC33+HISTOMAI24!AC33+HISTOJUIN24!AC33+HISTOJUIL24!AC33+HISTOAOUT24!AC33+HISTOSEPT24!AC33+HISTOOCT24!AC33+HISTONOV24!AC33+HISTODEC244!AC33</f>
        <v>6000</v>
      </c>
      <c r="AD33" s="9">
        <f>HISTOJANV24!AD33+HISTOFEV24!AD33+HISTOMARS24!AD33+HISTOAVRIL24!AD33+HISTOMAI24!AD33+HISTOJUIN24!AD33+HISTOJUIL24!AD33+HISTOAOUT24!AD33+HISTOSEPT24!AD33+HISTOOCT24!AD33+HISTONOV24!AD33+HISTODEC244!AD33</f>
        <v>0</v>
      </c>
      <c r="AE33" s="9">
        <f>HISTOJANV24!AE33+HISTOFEV24!AE33+HISTOMARS24!AE33+HISTOAVRIL24!AE33+HISTOMAI24!AE33+HISTOJUIN24!AE33+HISTOJUIL24!AE33+HISTOAOUT24!AE33+HISTOSEPT24!AE33+HISTOOCT24!AE33+HISTONOV24!AE33+HISTODEC244!AE33</f>
        <v>10000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HISTOJANV24!AH33+HISTOFEV24!AH33+HISTOMARS24!AH33+HISTOAVRIL24!AH33+HISTOMAI24!AH33+HISTOJUIN24!AH33+HISTOJUIL24!AH33+HISTOAOUT24!AH33+HISTOSEPT24!AH33+HISTOOCT24!AH33+HISTONOV24!AH33+HISTODEC244!AH33</f>
        <v>0</v>
      </c>
      <c r="AI33" s="9">
        <f>HISTOJANV24!AI33+HISTOFEV24!AI33+HISTOMARS24!AI33+HISTOAVRIL24!AI33+HISTOMAI24!AI33+HISTOJUIN24!AI33+HISTOJUIL24!AI33+HISTOAOUT24!AI33+HISTOSEPT24!AI33+HISTOOCT24!AI33+HISTONOV24!AI33+HISTODEC244!AI33</f>
        <v>0</v>
      </c>
      <c r="AJ33" s="9">
        <f>HISTOJANV24!AJ33+HISTOFEV24!AJ33+HISTOMARS24!AJ33+HISTOAVRIL24!AJ33+HISTOMAI24!AJ33+HISTOJUIN24!AJ33+HISTOJUIL24!AJ33+HISTOAOUT24!AJ33+HISTOSEPT24!AJ33+HISTOOCT24!AJ33+HISTONOV24!AJ33+HISTODEC244!AJ33</f>
        <v>0</v>
      </c>
      <c r="AK33" s="9">
        <f>HISTOJANV24!AK33+HISTOFEV24!AK33+HISTOMARS24!AK33+HISTOAVRIL24!AK33+HISTOMAI24!AK33+HISTOJUIN24!AK33+HISTOJUIL24!AK33+HISTOAOUT24!AK33+HISTOSEPT24!AK33+HISTOOCT24!AK33+HISTONOV24!AK33+HISTODEC244!AK33</f>
        <v>0</v>
      </c>
      <c r="AL33" s="9">
        <f>HISTOJANV24!AL33+HISTOFEV24!AL33+HISTOMARS24!AL33+HISTOAVRIL24!AL33+HISTOMAI24!AL33+HISTOJUIN24!AL33+HISTOJUIL24!AL33+HISTOAOUT24!AL33+HISTOSEPT24!AL33+HISTOOCT24!AL33+HISTONOV24!AL33+HISTODEC244!AL33</f>
        <v>0</v>
      </c>
      <c r="AM33" s="9">
        <f>HISTOJANV24!AM33+HISTOFEV24!AM33+HISTOMARS24!AM33+HISTOAVRIL24!AM33+HISTOMAI24!AM33+HISTOJUIN24!AM33+HISTOJUIL24!AM33+HISTOAOUT24!AM33+HISTOSEPT24!AM33+HISTOOCT24!AM33+HISTONOV24!AM33+HISTODEC244!AM33</f>
        <v>0</v>
      </c>
      <c r="AN33" s="9">
        <f>HISTOJANV24!AN33+HISTOFEV24!AN33+HISTOMARS24!AN33+HISTOAVRIL24!AN33+HISTOMAI24!AN33+HISTOJUIN24!AN33+HISTOJUIL24!AN33+HISTOAOUT24!AN33+HISTOSEPT24!AN33+HISTOOCT24!AN33+HISTONOV24!AN33+HISTODEC244!AN33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769000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HISTOJANV24!AW33+HISTOFEV24!AW33+HISTOMARS24!AW33+HISTOAVRIL24!AW33+HISTOMAI24!AW33+HISTOJUIN24!AW33+HISTOJUIL24!AW33+HISTOAOUT24!AW33+HISTOSEPT24!AW33+HISTOOCT24!AW33+HISTONOV24!AW33+HISTODEC244!AW33</f>
        <v>294000</v>
      </c>
      <c r="AX33" s="9">
        <f>HISTOJANV24!AX33+HISTOFEV24!AX33+HISTOMARS24!AX33+HISTOAVRIL24!AX33+HISTOMAI24!AX33+HISTOJUIN24!AX33+HISTOJUIL24!AX33+HISTOAOUT24!AX33+HISTOSEPT24!AX33+HISTOOCT24!AX33+HISTONOV24!AX33+HISTODEC244!AX33</f>
        <v>0</v>
      </c>
      <c r="AY33" s="9">
        <f>HISTOJANV24!AY33+HISTOFEV24!AY33+HISTOMARS24!AY33+HISTOAVRIL24!AY33+HISTOMAI24!AY33+HISTOJUIN24!AY33+HISTOJUIL24!AY33+HISTOAOUT24!AY33+HISTOSEPT24!AY33+HISTOOCT24!AY33+HISTONOV24!AY33+HISTODEC244!AY33</f>
        <v>1190000</v>
      </c>
      <c r="AZ33" s="9">
        <f>HISTOJANV24!AZ33+HISTOFEV24!AZ33+HISTOMARS24!AZ33+HISTOAVRIL24!AZ33+HISTOMAI24!AZ33+HISTOJUIN24!AZ33+HISTOJUIL24!AZ33+HISTOAOUT24!AZ33+HISTOSEPT24!AZ33+HISTOOCT24!AZ33+HISTONOV24!AZ33+HISTODEC244!AZ33</f>
        <v>2364000</v>
      </c>
      <c r="BA33" s="9">
        <f>HISTOJANV24!BA33+HISTOFEV24!BA33+HISTOMARS24!BA33+HISTOAVRIL24!BA33+HISTOMAI24!BA33+HISTOJUIN24!BA33+HISTOJUIL24!BA33+HISTOAOUT24!BA33+HISTOSEPT24!BA33+HISTOOCT24!BA33+HISTONOV24!BA33+HISTODEC244!BA33</f>
        <v>880000</v>
      </c>
      <c r="BB33" s="9">
        <f>HISTOJANV24!BB33+HISTOFEV24!BB33+HISTOMARS24!BB33+HISTOAVRIL24!BB33+HISTOMAI24!BB33+HISTOJUIN24!BB33+HISTOJUIL24!BB33+HISTOAOUT24!BB33+HISTOSEPT24!BB33+HISTOOCT24!BB33+HISTONOV24!BB33+HISTODEC244!BB33</f>
        <v>140000</v>
      </c>
      <c r="BC33" s="15"/>
      <c r="BD33" s="9">
        <f>HISTOJANV24!BD33+HISTOFEV24!BD33+HISTOMARS24!BD33+HISTOAVRIL24!BD33+HISTOMAI24!BD33+HISTOJUIN24!BD33+HISTOJUIL24!BD33+HISTOAOUT24!BD33+HISTOSEPT24!BD33+HISTOOCT24!BD33+HISTONOV24!BD33+HISTODEC244!BD33</f>
        <v>1180000</v>
      </c>
      <c r="BE33" s="82"/>
      <c r="BF33" s="9">
        <f>HISTOJANV24!BF33+HISTOFEV24!BF33+HISTOMARS24!BF33+HISTOAVRIL24!BF33+HISTOMAI24!BF33+HISTOJUIN24!BF33+HISTOJUIL24!BF33+HISTOAOUT24!BF33+HISTOSEPT24!BF33+HISTOOCT24!BF33+HISTONOV24!BF33+HISTODEC244!BF33</f>
        <v>120000</v>
      </c>
      <c r="BG33" s="29"/>
      <c r="BH33" s="15"/>
      <c r="BI33" s="15"/>
      <c r="BJ33" s="15"/>
      <c r="BK33" s="15"/>
      <c r="BL33" s="61"/>
      <c r="BO33" s="62" t="s">
        <v>142</v>
      </c>
      <c r="BQ33" s="62">
        <f>SUM(BQ30:BQ32)</f>
        <v>100000</v>
      </c>
    </row>
    <row r="34" spans="1:69" ht="18.5" x14ac:dyDescent="0.45">
      <c r="A34" s="1" t="s">
        <v>157</v>
      </c>
      <c r="B34" s="1">
        <v>50000</v>
      </c>
      <c r="C34" s="5"/>
      <c r="D34" s="9">
        <f>HISTOJANV24!D34+HISTOFEV24!D34+HISTOMARS24!D34+HISTOAVRIL24!D34+HISTOMAI24!D34+HISTOJUIN24!D34+HISTOJUIL24!D34+HISTOAOUT24!D34+HISTOSEPT24!D34+HISTOOCT24!D34+HISTONOV24!D34+HISTODEC244!D34</f>
        <v>510000</v>
      </c>
      <c r="E34" s="9">
        <f>HISTOJANV24!E34+HISTOFEV24!E34+HISTOMARS24!E34+HISTOAVRIL24!E34+HISTOMAI24!E34+HISTOJUIN24!E34+HISTOJUIL24!E34+HISTOAOUT24!E34+HISTOSEPT24!E34+HISTOOCT24!E34+HISTONOV24!E34+HISTODEC244!E34</f>
        <v>100000</v>
      </c>
      <c r="F34" s="9">
        <f>HISTOJANV24!F34+HISTOFEV24!F34+HISTOMARS24!F34+HISTOAVRIL24!F34+HISTOMAI24!F34+HISTOJUIN24!F34+HISTOJUIL24!F34+HISTOAOUT24!F34+HISTOSEPT24!F34+HISTOOCT24!F34+HISTONOV24!F34+HISTODEC244!F34</f>
        <v>0</v>
      </c>
      <c r="G34" s="9">
        <f>HISTOJANV24!G34+HISTOFEV24!G34+HISTOMARS24!G34+HISTOAVRIL24!G34+HISTOMAI24!G34+HISTOJUIN24!G34+HISTOJUIL24!G34+HISTOAOUT24!G34+HISTOSEPT24!G34+HISTOOCT24!G34+HISTONOV24!G34+HISTODEC244!G34</f>
        <v>3000</v>
      </c>
      <c r="H34" s="10"/>
      <c r="I34" s="9">
        <f>HISTOJANV24!I34+HISTOFEV24!I34+HISTOMARS24!I34+HISTOAVRIL24!I34+HISTOMAI24!I34+HISTOJUIN24!I34+HISTOJUIL24!I34+HISTOAOUT24!I34+HISTOSEPT24!I34+HISTOOCT24!I34+HISTONOV24!I34+HISTODEC244!I34</f>
        <v>300750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HISTOJANV24!P34+HISTOFEV24!P34+HISTOMARS24!P34+HISTOAVRIL24!P34+HISTOMAI24!P34+HISTOJUIN24!P34+HISTOJUIL24!P34+HISTOAOUT24!P34+HISTOSEPT24!P34+HISTOOCT24!P34+HISTONOV24!P34+HISTODEC244!P34</f>
        <v>0</v>
      </c>
      <c r="Q34" s="9">
        <f>HISTOJANV24!Q34+HISTOFEV24!Q34+HISTOMARS24!Q34+HISTOAVRIL24!Q34+HISTOMAI24!Q34+HISTOJUIN24!Q34+HISTOJUIL24!Q34+HISTOAOUT24!Q34+HISTOSEPT24!Q34+HISTOOCT24!Q34+HISTONOV24!Q34+HISTODEC244!Q34</f>
        <v>0</v>
      </c>
      <c r="R34" s="9">
        <f>HISTOJANV24!R34+HISTOFEV24!R34+HISTOMARS24!R34+HISTOAVRIL24!R34+HISTOMAI24!R34+HISTOJUIN24!R34+HISTOJUIL24!R34+HISTOAOUT24!R34+HISTOSEPT24!R34+HISTOOCT24!R34+HISTONOV24!R34+HISTODEC244!R34</f>
        <v>0</v>
      </c>
      <c r="S34" s="9">
        <f>HISTOJANV24!S34+HISTOFEV24!S34+HISTOMARS24!S34+HISTOAVRIL24!S34+HISTOMAI24!S34+HISTOJUIN24!S34+HISTOJUIL24!S34+HISTOAOUT24!S34+HISTOSEPT24!S34+HISTOOCT24!S34+HISTONOV24!S34+HISTODEC244!S34</f>
        <v>0</v>
      </c>
      <c r="T34" s="12"/>
      <c r="U34" s="17">
        <f t="shared" si="5"/>
        <v>353750</v>
      </c>
      <c r="V34" s="9">
        <f>HISTOJANV24!V34+HISTOFEV24!V34+HISTOMARS24!V34+HISTOAVRIL24!V34+HISTOMAI24!V34+HISTOJUIN24!V34+HISTOJUIL24!V34+HISTOAOUT24!V34+HISTOSEPT24!V34+HISTOOCT24!V34+HISTONOV24!V34+HISTODEC244!V34</f>
        <v>0</v>
      </c>
      <c r="W34" s="9">
        <f>HISTOJANV24!W34+HISTOFEV24!W34+HISTOMARS24!W34+HISTOAVRIL24!W34+HISTOMAI24!W34+HISTOJUIN24!W34+HISTOJUIL24!W34+HISTOAOUT24!W34+HISTOSEPT24!W34+HISTOOCT24!W34+HISTONOV24!W34+HISTODEC244!W34</f>
        <v>0</v>
      </c>
      <c r="X34" s="9">
        <f>HISTOJANV24!X34+HISTOFEV24!X34+HISTOMARS24!X34+HISTOAVRIL24!X34+HISTOMAI24!X34+HISTOJUIN24!X34+HISTOJUIL24!X34+HISTOAOUT24!X34+HISTOSEPT24!X34+HISTOOCT24!X34+HISTONOV24!X34+HISTODEC244!X34</f>
        <v>0</v>
      </c>
      <c r="Y34" s="9">
        <f>HISTOJANV24!Y34+HISTOFEV24!Y34+HISTOMARS24!Y34+HISTOAVRIL24!Y34+HISTOMAI24!Y34+HISTOJUIN24!Y34+HISTOJUIL24!Y34+HISTOAOUT24!Y34+HISTOSEPT24!Y34+HISTOOCT24!Y34+HISTONOV24!Y34+HISTODEC244!Y34</f>
        <v>0</v>
      </c>
      <c r="Z34" s="9">
        <f>HISTOJANV24!Z34+HISTOFEV24!Z34+HISTOMARS24!Z34+HISTOAVRIL24!Z34+HISTOMAI24!Z34+HISTOJUIN24!Z34+HISTOJUIL24!Z34+HISTOAOUT24!Z34+HISTOSEPT24!Z34+HISTOOCT24!Z34+HISTONOV24!Z34+HISTODEC244!Z34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HISTOJANV24!AC34+HISTOFEV24!AC34+HISTOMARS24!AC34+HISTOAVRIL24!AC34+HISTOMAI24!AC34+HISTOJUIN24!AC34+HISTOJUIL24!AC34+HISTOAOUT24!AC34+HISTOSEPT24!AC34+HISTOOCT24!AC34+HISTONOV24!AC34+HISTODEC244!AC34</f>
        <v>2500</v>
      </c>
      <c r="AD34" s="9">
        <f>HISTOJANV24!AD34+HISTOFEV24!AD34+HISTOMARS24!AD34+HISTOAVRIL24!AD34+HISTOMAI24!AD34+HISTOJUIN24!AD34+HISTOJUIL24!AD34+HISTOAOUT24!AD34+HISTOSEPT24!AD34+HISTOOCT24!AD34+HISTONOV24!AD34+HISTODEC244!AD34</f>
        <v>0</v>
      </c>
      <c r="AE34" s="9">
        <f>HISTOJANV24!AE34+HISTOFEV24!AE34+HISTOMARS24!AE34+HISTOAVRIL24!AE34+HISTOMAI24!AE34+HISTOJUIN24!AE34+HISTOJUIL24!AE34+HISTOAOUT24!AE34+HISTOSEPT24!AE34+HISTOOCT24!AE34+HISTONOV24!AE34+HISTODEC244!AE34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HISTOJANV24!AH34+HISTOFEV24!AH34+HISTOMARS24!AH34+HISTOAVRIL24!AH34+HISTOMAI24!AH34+HISTOJUIN24!AH34+HISTOJUIL24!AH34+HISTOAOUT24!AH34+HISTOSEPT24!AH34+HISTOOCT24!AH34+HISTONOV24!AH34+HISTODEC244!AH34</f>
        <v>0</v>
      </c>
      <c r="AI34" s="9">
        <f>HISTOJANV24!AI34+HISTOFEV24!AI34+HISTOMARS24!AI34+HISTOAVRIL24!AI34+HISTOMAI24!AI34+HISTOJUIN24!AI34+HISTOJUIL24!AI34+HISTOAOUT24!AI34+HISTOSEPT24!AI34+HISTOOCT24!AI34+HISTONOV24!AI34+HISTODEC244!AI34</f>
        <v>0</v>
      </c>
      <c r="AJ34" s="9">
        <f>HISTOJANV24!AJ34+HISTOFEV24!AJ34+HISTOMARS24!AJ34+HISTOAVRIL24!AJ34+HISTOMAI24!AJ34+HISTOJUIN24!AJ34+HISTOJUIL24!AJ34+HISTOAOUT24!AJ34+HISTOSEPT24!AJ34+HISTOOCT24!AJ34+HISTONOV24!AJ34+HISTODEC244!AJ34</f>
        <v>0</v>
      </c>
      <c r="AK34" s="9">
        <f>HISTOJANV24!AK34+HISTOFEV24!AK34+HISTOMARS24!AK34+HISTOAVRIL24!AK34+HISTOMAI24!AK34+HISTOJUIN24!AK34+HISTOJUIL24!AK34+HISTOAOUT24!AK34+HISTOSEPT24!AK34+HISTOOCT24!AK34+HISTONOV24!AK34+HISTODEC244!AK34</f>
        <v>0</v>
      </c>
      <c r="AL34" s="9">
        <f>HISTOJANV24!AL34+HISTOFEV24!AL34+HISTOMARS24!AL34+HISTOAVRIL24!AL34+HISTOMAI24!AL34+HISTOJUIN24!AL34+HISTOJUIL24!AL34+HISTOAOUT24!AL34+HISTOSEPT24!AL34+HISTOOCT24!AL34+HISTONOV24!AL34+HISTODEC244!AL34</f>
        <v>0</v>
      </c>
      <c r="AM34" s="9">
        <f>HISTOJANV24!AM34+HISTOFEV24!AM34+HISTOMARS24!AM34+HISTOAVRIL24!AM34+HISTOMAI24!AM34+HISTOJUIN24!AM34+HISTOJUIL24!AM34+HISTOAOUT24!AM34+HISTOSEPT24!AM34+HISTOOCT24!AM34+HISTONOV24!AM34+HISTODEC244!AM34</f>
        <v>0</v>
      </c>
      <c r="AN34" s="9">
        <f>HISTOJANV24!AN34+HISTOFEV24!AN34+HISTOMARS24!AN34+HISTOAVRIL24!AN34+HISTOMAI24!AN34+HISTOJUIN24!AN34+HISTOJUIL24!AN34+HISTOAOUT24!AN34+HISTOSEPT24!AN34+HISTOOCT24!AN34+HISTONOV24!AN34+HISTODEC244!AN34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325750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HISTOJANV24!AW34+HISTOFEV24!AW34+HISTOMARS24!AW34+HISTOAVRIL24!AW34+HISTOMAI24!AW34+HISTOJUIN24!AW34+HISTOJUIL24!AW34+HISTOAOUT24!AW34+HISTOSEPT24!AW34+HISTOOCT24!AW34+HISTONOV24!AW34+HISTODEC244!AW34</f>
        <v>297500</v>
      </c>
      <c r="AX34" s="9">
        <f>HISTOJANV24!AX34+HISTOFEV24!AX34+HISTOMARS24!AX34+HISTOAVRIL24!AX34+HISTOMAI24!AX34+HISTOJUIN24!AX34+HISTOJUIL24!AX34+HISTOAOUT24!AX34+HISTOSEPT24!AX34+HISTOOCT24!AX34+HISTONOV24!AX34+HISTODEC244!AX34</f>
        <v>0</v>
      </c>
      <c r="AY34" s="9">
        <f>HISTOJANV24!AY34+HISTOFEV24!AY34+HISTOMARS24!AY34+HISTOAVRIL24!AY34+HISTOMAI24!AY34+HISTOJUIN24!AY34+HISTOJUIL24!AY34+HISTOAOUT24!AY34+HISTOSEPT24!AY34+HISTOOCT24!AY34+HISTONOV24!AY34+HISTODEC244!AY34</f>
        <v>0</v>
      </c>
      <c r="AZ34" s="9">
        <f>HISTOJANV24!AZ34+HISTOFEV24!AZ34+HISTOMARS24!AZ34+HISTOAVRIL24!AZ34+HISTOMAI24!AZ34+HISTOJUIN24!AZ34+HISTOJUIL24!AZ34+HISTOAOUT24!AZ34+HISTOSEPT24!AZ34+HISTOOCT24!AZ34+HISTONOV24!AZ34+HISTODEC244!AZ34</f>
        <v>297500</v>
      </c>
      <c r="BA34" s="9">
        <f>HISTOJANV24!BA34+HISTOFEV24!BA34+HISTOMARS24!BA34+HISTOAVRIL24!BA34+HISTOMAI24!BA34+HISTOJUIN24!BA34+HISTOJUIL24!BA34+HISTOAOUT24!BA34+HISTOSEPT24!BA34+HISTOOCT24!BA34+HISTONOV24!BA34+HISTODEC244!BA34</f>
        <v>297500</v>
      </c>
      <c r="BB34" s="9">
        <f>HISTOJANV24!BB34+HISTOFEV24!BB34+HISTOMARS24!BB34+HISTOAVRIL24!BB34+HISTOMAI24!BB34+HISTOJUIN24!BB34+HISTOJUIL24!BB34+HISTOAOUT24!BB34+HISTOSEPT24!BB34+HISTOOCT24!BB34+HISTONOV24!BB34+HISTODEC244!BB34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HISTOJANV24!BF34+HISTOFEV24!BF34+HISTOMARS24!BF34+HISTOAVRIL24!BF34+HISTOMAI24!BF34+HISTOJUIN24!BF34+HISTOJUIL24!BF34+HISTOAOUT24!BF34+HISTOSEPT24!BF34+HISTOOCT24!BF34+HISTONOV24!BF34+HISTODEC244!BF34</f>
        <v>0</v>
      </c>
      <c r="BG34" s="29"/>
      <c r="BH34" s="15"/>
      <c r="BI34" s="15"/>
      <c r="BJ34" s="15"/>
      <c r="BK34" s="15"/>
      <c r="BL34" s="61"/>
      <c r="BO34" s="62" t="s">
        <v>142</v>
      </c>
      <c r="BQ34" s="62">
        <f>SUM(BQ31:BQ33)</f>
        <v>100000</v>
      </c>
    </row>
    <row r="35" spans="1:69" ht="18.5" x14ac:dyDescent="0.45">
      <c r="A35" s="21" t="s">
        <v>160</v>
      </c>
      <c r="B35" s="1">
        <v>125000</v>
      </c>
      <c r="C35" s="5"/>
      <c r="D35" s="9">
        <f>HISTOJANV24!D35+HISTOFEV24!D35+HISTOMARS24!D35+HISTOAVRIL24!D35+HISTOMAI24!D35+HISTOJUIN24!D35+HISTOJUIL24!D35+HISTOAOUT24!D35+HISTOSEPT24!D35+HISTOOCT24!D35+HISTONOV24!D35+HISTODEC244!D35</f>
        <v>1010000</v>
      </c>
      <c r="E35" s="9">
        <f>HISTOJANV24!E35+HISTOFEV24!E35+HISTOMARS24!E35+HISTOAVRIL24!E35+HISTOMAI24!E35+HISTOJUIN24!E35+HISTOJUIL24!E35+HISTOAOUT24!E35+HISTOSEPT24!E35+HISTOOCT24!E35+HISTONOV24!E35+HISTODEC244!E35</f>
        <v>0</v>
      </c>
      <c r="F35" s="9">
        <f>HISTOJANV24!F35+HISTOFEV24!F35+HISTOMARS24!F35+HISTOAVRIL24!F35+HISTOMAI24!F35+HISTOJUIN24!F35+HISTOJUIL24!F35+HISTOAOUT24!F35+HISTOSEPT24!F35+HISTOOCT24!F35+HISTONOV24!F35+HISTODEC244!F35</f>
        <v>297500</v>
      </c>
      <c r="G35" s="9">
        <f>HISTOJANV24!G35+HISTOFEV24!G35+HISTOMARS24!G35+HISTOAVRIL24!G35+HISTOMAI24!G35+HISTOJUIN24!G35+HISTOJUIL24!G35+HISTOAOUT24!G35+HISTOSEPT24!G35+HISTOOCT24!G35+HISTONOV24!G35+HISTODEC244!G35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HISTOJANV24!I35+HISTOFEV24!I35+HISTOMARS24!I35+HISTOAVRIL24!I35+HISTOMAI24!I35+HISTOJUIN24!I35+HISTOJUIL24!I35+HISTOAOUT24!I35+HISTOSEPT24!I35+HISTOOCT24!I35+HISTONOV24!I35+HISTODEC244!I35</f>
        <v>110000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HISTOJANV24!P35+HISTOFEV24!P35+HISTOMARS24!P35+HISTOAVRIL24!P35+HISTOMAI24!P35+HISTOJUIN24!P35+HISTOJUIL24!P35+HISTOAOUT24!P35+HISTOSEPT24!P35+HISTOOCT24!P35+HISTONOV24!P35+HISTODEC244!P35</f>
        <v>0</v>
      </c>
      <c r="Q35" s="9">
        <f>HISTOJANV24!Q35+HISTOFEV24!Q35+HISTOMARS24!Q35+HISTOAVRIL24!Q35+HISTOMAI24!Q35+HISTOJUIN24!Q35+HISTOJUIL24!Q35+HISTOAOUT24!Q35+HISTOSEPT24!Q35+HISTOOCT24!Q35+HISTONOV24!Q35+HISTODEC244!Q35</f>
        <v>0</v>
      </c>
      <c r="R35" s="9">
        <f>HISTOJANV24!R35+HISTOFEV24!R35+HISTOMARS24!R35+HISTOAVRIL24!R35+HISTOMAI24!R35+HISTOJUIN24!R35+HISTOJUIL24!R35+HISTOAOUT24!R35+HISTOSEPT24!R35+HISTOOCT24!R35+HISTONOV24!R35+HISTODEC244!R35</f>
        <v>0</v>
      </c>
      <c r="S35" s="9">
        <f>HISTOJANV24!S35+HISTOFEV24!S35+HISTOMARS24!S35+HISTOAVRIL24!S35+HISTOMAI24!S35+HISTOJUIN24!S35+HISTOJUIL24!S35+HISTOAOUT24!S35+HISTOSEPT24!S35+HISTOOCT24!S35+HISTONOV24!S35+HISTODEC244!S35</f>
        <v>597500</v>
      </c>
      <c r="T35" s="12"/>
      <c r="U35" s="17">
        <f t="shared" si="5"/>
        <v>757500</v>
      </c>
      <c r="V35" s="9">
        <f>HISTOJANV24!V35+HISTOFEV24!V35+HISTOMARS24!V35+HISTOAVRIL24!V35+HISTOMAI24!V35+HISTOJUIN24!V35+HISTOJUIL24!V35+HISTOAOUT24!V35+HISTOSEPT24!V35+HISTOOCT24!V35+HISTONOV24!V35+HISTODEC244!V35</f>
        <v>0</v>
      </c>
      <c r="W35" s="9">
        <f>HISTOJANV24!W35+HISTOFEV24!W35+HISTOMARS24!W35+HISTOAVRIL24!W35+HISTOMAI24!W35+HISTOJUIN24!W35+HISTOJUIL24!W35+HISTOAOUT24!W35+HISTOSEPT24!W35+HISTOOCT24!W35+HISTONOV24!W35+HISTODEC244!W35</f>
        <v>0</v>
      </c>
      <c r="X35" s="9">
        <f>HISTOJANV24!X35+HISTOFEV24!X35+HISTOMARS24!X35+HISTOAVRIL24!X35+HISTOMAI24!X35+HISTOJUIN24!X35+HISTOJUIL24!X35+HISTOAOUT24!X35+HISTOSEPT24!X35+HISTOOCT24!X35+HISTONOV24!X35+HISTODEC244!X35</f>
        <v>0</v>
      </c>
      <c r="Y35" s="9">
        <f>HISTOJANV24!Y35+HISTOFEV24!Y35+HISTOMARS24!Y35+HISTOAVRIL24!Y35+HISTOMAI24!Y35+HISTOJUIN24!Y35+HISTOJUIL24!Y35+HISTOAOUT24!Y35+HISTOSEPT24!Y35+HISTOOCT24!Y35+HISTONOV24!Y35+HISTODEC244!Y35</f>
        <v>0</v>
      </c>
      <c r="Z35" s="9">
        <f>HISTOJANV24!Z35+HISTOFEV24!Z35+HISTOMARS24!Z35+HISTOAVRIL24!Z35+HISTOMAI24!Z35+HISTOJUIN24!Z35+HISTOJUIL24!Z35+HISTOAOUT24!Z35+HISTOSEPT24!Z35+HISTOOCT24!Z35+HISTONOV24!Z35+HISTODEC244!Z35</f>
        <v>1000000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HISTOJANV24!AC35+HISTOFEV24!AC35+HISTOMARS24!AC35+HISTOAVRIL24!AC35+HISTOMAI24!AC35+HISTOJUIN24!AC35+HISTOJUIL24!AC35+HISTOAOUT24!AC35+HISTOSEPT24!AC35+HISTOOCT24!AC35+HISTONOV24!AC35+HISTODEC244!AC35</f>
        <v>2500</v>
      </c>
      <c r="AD35" s="9">
        <f>HISTOJANV24!AD35+HISTOFEV24!AD35+HISTOMARS24!AD35+HISTOAVRIL24!AD35+HISTOMAI24!AD35+HISTOJUIN24!AD35+HISTOJUIL24!AD35+HISTOAOUT24!AD35+HISTOSEPT24!AD35+HISTOOCT24!AD35+HISTONOV24!AD35+HISTODEC244!AD35</f>
        <v>0</v>
      </c>
      <c r="AE35" s="9">
        <f>HISTOJANV24!AE35+HISTOFEV24!AE35+HISTOMARS24!AE35+HISTOAVRIL24!AE35+HISTOMAI24!AE35+HISTOJUIN24!AE35+HISTOJUIL24!AE35+HISTOAOUT24!AE35+HISTOSEPT24!AE35+HISTOOCT24!AE35+HISTONOV24!AE35+HISTODEC244!AE35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HISTOJANV24!AH35+HISTOFEV24!AH35+HISTOMARS24!AH35+HISTOAVRIL24!AH35+HISTOMAI24!AH35+HISTOJUIN24!AH35+HISTOJUIL24!AH35+HISTOAOUT24!AH35+HISTOSEPT24!AH35+HISTOOCT24!AH35+HISTONOV24!AH35+HISTODEC244!AH35</f>
        <v>0</v>
      </c>
      <c r="AI35" s="9">
        <f>HISTOJANV24!AI35+HISTOFEV24!AI35+HISTOMARS24!AI35+HISTOAVRIL24!AI35+HISTOMAI24!AI35+HISTOJUIN24!AI35+HISTOJUIL24!AI35+HISTOAOUT24!AI35+HISTOSEPT24!AI35+HISTOOCT24!AI35+HISTONOV24!AI35+HISTODEC244!AI35</f>
        <v>0</v>
      </c>
      <c r="AJ35" s="9">
        <f>HISTOJANV24!AJ35+HISTOFEV24!AJ35+HISTOMARS24!AJ35+HISTOAVRIL24!AJ35+HISTOMAI24!AJ35+HISTOJUIN24!AJ35+HISTOJUIL24!AJ35+HISTOAOUT24!AJ35+HISTOSEPT24!AJ35+HISTOOCT24!AJ35+HISTONOV24!AJ35+HISTODEC244!AJ35</f>
        <v>0</v>
      </c>
      <c r="AK35" s="9">
        <f>HISTOJANV24!AK35+HISTOFEV24!AK35+HISTOMARS24!AK35+HISTOAVRIL24!AK35+HISTOMAI24!AK35+HISTOJUIN24!AK35+HISTOJUIL24!AK35+HISTOAOUT24!AK35+HISTOSEPT24!AK35+HISTOOCT24!AK35+HISTONOV24!AK35+HISTODEC244!AK35</f>
        <v>0</v>
      </c>
      <c r="AL35" s="9">
        <f>HISTOJANV24!AL35+HISTOFEV24!AL35+HISTOMARS24!AL35+HISTOAVRIL24!AL35+HISTOMAI24!AL35+HISTOJUIN24!AL35+HISTOJUIL24!AL35+HISTOAOUT24!AL35+HISTOSEPT24!AL35+HISTOOCT24!AL35+HISTONOV24!AL35+HISTODEC244!AL35</f>
        <v>0</v>
      </c>
      <c r="AM35" s="9">
        <f>HISTOJANV24!AM35+HISTOFEV24!AM35+HISTOMARS24!AM35+HISTOAVRIL24!AM35+HISTOMAI24!AM35+HISTOJUIN24!AM35+HISTOJUIL24!AM35+HISTOAOUT24!AM35+HISTOSEPT24!AM35+HISTOOCT24!AM35+HISTONOV24!AM35+HISTODEC244!AM35</f>
        <v>0</v>
      </c>
      <c r="AN35" s="9">
        <f>HISTOJANV24!AN35+HISTOFEV24!AN35+HISTOMARS24!AN35+HISTOAVRIL24!AN35+HISTOMAI24!AN35+HISTOJUIN24!AN35+HISTOJUIL24!AN35+HISTOAOUT24!AN35+HISTOSEPT24!AN35+HISTOOCT24!AN35+HISTONOV24!AN35+HISTODEC244!AN35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135000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HISTOJANV24!AW35+HISTOFEV24!AW35+HISTOMARS24!AW35+HISTOAVRIL24!AW35+HISTOMAI24!AW35+HISTOJUIN24!AW35+HISTOJUIL24!AW35+HISTOAOUT24!AW35+HISTOSEPT24!AW35+HISTOOCT24!AW35+HISTONOV24!AW35+HISTODEC244!AW35</f>
        <v>297500</v>
      </c>
      <c r="AX35" s="9">
        <f>HISTOJANV24!AX35+HISTOFEV24!AX35+HISTOMARS24!AX35+HISTOAVRIL24!AX35+HISTOMAI24!AX35+HISTOJUIN24!AX35+HISTOJUIL24!AX35+HISTOAOUT24!AX35+HISTOSEPT24!AX35+HISTOOCT24!AX35+HISTONOV24!AX35+HISTODEC244!AX35</f>
        <v>0</v>
      </c>
      <c r="AY35" s="9">
        <f>HISTOJANV24!AY35+HISTOFEV24!AY35+HISTOMARS24!AY35+HISTOAVRIL24!AY35+HISTOMAI24!AY35+HISTOJUIN24!AY35+HISTOJUIL24!AY35+HISTOAOUT24!AY35+HISTOSEPT24!AY35+HISTOOCT24!AY35+HISTONOV24!AY35+HISTODEC244!AY35</f>
        <v>0</v>
      </c>
      <c r="AZ35" s="9">
        <f>HISTOJANV24!AZ35+HISTOFEV24!AZ35+HISTOMARS24!AZ35+HISTOAVRIL24!AZ35+HISTOMAI24!AZ35+HISTOJUIN24!AZ35+HISTOJUIL24!AZ35+HISTOAOUT24!AZ35+HISTOSEPT24!AZ35+HISTOOCT24!AZ35+HISTONOV24!AZ35+HISTODEC244!AZ35</f>
        <v>980000</v>
      </c>
      <c r="BA35" s="9">
        <f>HISTOJANV24!BA35+HISTOFEV24!BA35+HISTOMARS24!BA35+HISTOAVRIL24!BA35+HISTOMAI24!BA35+HISTOJUIN24!BA35+HISTOJUIL24!BA35+HISTOAOUT24!BA35+HISTOSEPT24!BA35+HISTOOCT24!BA35+HISTONOV24!BA35+HISTODEC244!BA35</f>
        <v>0</v>
      </c>
      <c r="BB35" s="9">
        <f>HISTOJANV24!BB35+HISTOFEV24!BB35+HISTOMARS24!BB35+HISTOAVRIL24!BB35+HISTOMAI24!BB35+HISTOJUIN24!BB35+HISTOJUIL24!BB35+HISTOAOUT24!BB35+HISTOSEPT24!BB35+HISTOOCT24!BB35+HISTONOV24!BB35+HISTODEC244!BB35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HISTOJANV24!BD35+HISTOFEV24!BD35+HISTOMARS24!BD35+HISTOAVRIL24!BD35+HISTOMAI24!BD35+HISTOJUIN24!BD35+HISTOJUIL24!BD35+HISTOAOUT24!BD35+HISTOSEPT24!BD35+HISTOOCT24!BD35+HISTONOV24!BD35+HISTODEC244!BD35</f>
        <v>980000</v>
      </c>
      <c r="BE35" s="82"/>
      <c r="BF35" s="9">
        <f>HISTOJANV24!BF35+HISTOFEV24!BF35+HISTOMARS24!BF35+HISTOAVRIL24!BF35+HISTOMAI24!BF35+HISTOJUIN24!BF35+HISTOJUIL24!BF35+HISTOAOUT24!BF35+HISTOSEPT24!BF35+HISTOOCT24!BF35+HISTONOV24!BF35+HISTODEC244!BF35</f>
        <v>120000</v>
      </c>
      <c r="BG35" s="29"/>
      <c r="BH35" s="15"/>
      <c r="BI35" s="15"/>
      <c r="BJ35" s="15"/>
      <c r="BK35" s="15"/>
      <c r="BL35" s="61"/>
    </row>
    <row r="36" spans="1:69" ht="18.5" x14ac:dyDescent="0.45">
      <c r="A36" s="1" t="s">
        <v>40</v>
      </c>
      <c r="B36" s="1">
        <v>50000</v>
      </c>
      <c r="C36" s="5"/>
      <c r="D36" s="9">
        <f>HISTOJANV24!D36+HISTOFEV24!D36+HISTOMARS24!D36+HISTOAVRIL24!D36+HISTOMAI24!D36+HISTOJUIN24!D36+HISTOJUIL24!D36+HISTOAOUT24!D36+HISTOSEPT24!D36+HISTOOCT24!D36+HISTONOV24!D36+HISTODEC244!D36</f>
        <v>450000</v>
      </c>
      <c r="E36" s="9">
        <f>HISTOJANV24!E36+HISTOFEV24!E36+HISTOMARS24!E36+HISTOAVRIL24!E36+HISTOMAI24!E36+HISTOJUIN24!E36+HISTOJUIL24!E36+HISTOAOUT24!E36+HISTOSEPT24!E36+HISTOOCT24!E36+HISTONOV24!E36+HISTODEC244!E36</f>
        <v>206000</v>
      </c>
      <c r="F36" s="9">
        <f>HISTOJANV24!F36+HISTOFEV24!F36+HISTOMARS24!F36+HISTOAVRIL24!F36+HISTOMAI24!F36+HISTOJUIN24!F36+HISTOJUIL24!F36+HISTOAOUT24!F36+HISTOSEPT24!F36+HISTOOCT24!F36+HISTONOV24!F36+HISTODEC244!F36</f>
        <v>0</v>
      </c>
      <c r="G36" s="9">
        <f>HISTOJANV24!G36+HISTOFEV24!G36+HISTOMARS24!G36+HISTOAVRIL24!G36+HISTOMAI24!G36+HISTOJUIN24!G36+HISTOJUIL24!G36+HISTOAOUT24!G36+HISTOSEPT24!G36+HISTOOCT24!G36+HISTONOV24!G36+HISTODEC244!G36</f>
        <v>6000</v>
      </c>
      <c r="H36" s="10"/>
      <c r="I36" s="9">
        <f>HISTOJANV24!I36+HISTOFEV24!I36+HISTOMARS24!I36+HISTOAVRIL24!I36+HISTOMAI24!I36+HISTOJUIN24!I36+HISTOJUIL24!I36+HISTOAOUT24!I36+HISTOSEPT24!I36+HISTOOCT24!I36+HISTONOV24!I36+HISTODEC244!I36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HISTOJANV24!P36+HISTOFEV24!P36+HISTOMARS24!P36+HISTOAVRIL24!P36+HISTOMAI24!P36+HISTOJUIN24!P36+HISTOJUIL24!P36+HISTOAOUT24!P36+HISTOSEPT24!P36+HISTOOCT24!P36+HISTONOV24!P36+HISTODEC244!P36</f>
        <v>0</v>
      </c>
      <c r="Q36" s="9">
        <f>HISTOJANV24!Q36+HISTOFEV24!Q36+HISTOMARS24!Q36+HISTOAVRIL24!Q36+HISTOMAI24!Q36+HISTOJUIN24!Q36+HISTOJUIL24!Q36+HISTOAOUT24!Q36+HISTOSEPT24!Q36+HISTOOCT24!Q36+HISTONOV24!Q36+HISTODEC244!Q36</f>
        <v>0</v>
      </c>
      <c r="R36" s="9">
        <f>HISTOJANV24!R36+HISTOFEV24!R36+HISTOMARS24!R36+HISTOAVRIL24!R36+HISTOMAI24!R36+HISTOJUIN24!R36+HISTOJUIL24!R36+HISTOAOUT24!R36+HISTOSEPT24!R36+HISTOOCT24!R36+HISTONOV24!R36+HISTODEC244!R36</f>
        <v>0</v>
      </c>
      <c r="S36" s="9">
        <f>HISTOJANV24!S36+HISTOFEV24!S36+HISTOMARS24!S36+HISTOAVRIL24!S36+HISTOMAI24!S36+HISTOJUIN24!S36+HISTOJUIL24!S36+HISTOAOUT24!S36+HISTOSEPT24!S36+HISTOOCT24!S36+HISTONOV24!S36+HISTODEC244!S36</f>
        <v>0</v>
      </c>
      <c r="T36" s="12"/>
      <c r="U36" s="17">
        <f t="shared" si="5"/>
        <v>56000</v>
      </c>
      <c r="V36" s="9">
        <f>HISTOJANV24!V36+HISTOFEV24!V36+HISTOMARS24!V36+HISTOAVRIL24!V36+HISTOMAI24!V36+HISTOJUIN24!V36+HISTOJUIL24!V36+HISTOAOUT24!V36+HISTOSEPT24!V36+HISTOOCT24!V36+HISTONOV24!V36+HISTODEC244!V36</f>
        <v>0</v>
      </c>
      <c r="W36" s="9">
        <f>HISTOJANV24!W36+HISTOFEV24!W36+HISTOMARS24!W36+HISTOAVRIL24!W36+HISTOMAI24!W36+HISTOJUIN24!W36+HISTOJUIL24!W36+HISTOAOUT24!W36+HISTOSEPT24!W36+HISTOOCT24!W36+HISTONOV24!W36+HISTODEC244!W36</f>
        <v>0</v>
      </c>
      <c r="X36" s="9">
        <f>HISTOJANV24!X36+HISTOFEV24!X36+HISTOMARS24!X36+HISTOAVRIL24!X36+HISTOMAI24!X36+HISTOJUIN24!X36+HISTOJUIL24!X36+HISTOAOUT24!X36+HISTOSEPT24!X36+HISTOOCT24!X36+HISTONOV24!X36+HISTODEC244!X36</f>
        <v>0</v>
      </c>
      <c r="Y36" s="9">
        <f>HISTOJANV24!Y36+HISTOFEV24!Y36+HISTOMARS24!Y36+HISTOAVRIL24!Y36+HISTOMAI24!Y36+HISTOJUIN24!Y36+HISTOJUIL24!Y36+HISTOAOUT24!Y36+HISTOSEPT24!Y36+HISTOOCT24!Y36+HISTONOV24!Y36+HISTODEC244!Y36</f>
        <v>0</v>
      </c>
      <c r="Z36" s="9">
        <f>HISTOJANV24!Z36+HISTOFEV24!Z36+HISTOMARS24!Z36+HISTOAVRIL24!Z36+HISTOMAI24!Z36+HISTOJUIN24!Z36+HISTOJUIL24!Z36+HISTOAOUT24!Z36+HISTOSEPT24!Z36+HISTOOCT24!Z36+HISTONOV24!Z36+HISTODEC244!Z36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HISTOJANV24!AC36+HISTOFEV24!AC36+HISTOMARS24!AC36+HISTOAVRIL24!AC36+HISTOMAI24!AC36+HISTOJUIN24!AC36+HISTOJUIL24!AC36+HISTOAOUT24!AC36+HISTOSEPT24!AC36+HISTOOCT24!AC36+HISTONOV24!AC36+HISTODEC244!AC36</f>
        <v>2500</v>
      </c>
      <c r="AD36" s="9">
        <f>HISTOJANV24!AD36+HISTOFEV24!AD36+HISTOMARS24!AD36+HISTOAVRIL24!AD36+HISTOMAI24!AD36+HISTOJUIN24!AD36+HISTOJUIL24!AD36+HISTOAOUT24!AD36+HISTOSEPT24!AD36+HISTOOCT24!AD36+HISTONOV24!AD36+HISTODEC244!AD36</f>
        <v>0</v>
      </c>
      <c r="AE36" s="9">
        <f>HISTOJANV24!AE36+HISTOFEV24!AE36+HISTOMARS24!AE36+HISTOAVRIL24!AE36+HISTOMAI24!AE36+HISTOJUIN24!AE36+HISTOJUIL24!AE36+HISTOAOUT24!AE36+HISTOSEPT24!AE36+HISTOOCT24!AE36+HISTONOV24!AE36+HISTODEC244!AE36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HISTOJANV24!AH36+HISTOFEV24!AH36+HISTOMARS24!AH36+HISTOAVRIL24!AH36+HISTOMAI24!AH36+HISTOJUIN24!AH36+HISTOJUIL24!AH36+HISTOAOUT24!AH36+HISTOSEPT24!AH36+HISTOOCT24!AH36+HISTONOV24!AH36+HISTODEC244!AH36</f>
        <v>0</v>
      </c>
      <c r="AI36" s="9">
        <f>HISTOJANV24!AI36+HISTOFEV24!AI36+HISTOMARS24!AI36+HISTOAVRIL24!AI36+HISTOMAI24!AI36+HISTOJUIN24!AI36+HISTOJUIL24!AI36+HISTOAOUT24!AI36+HISTOSEPT24!AI36+HISTOOCT24!AI36+HISTONOV24!AI36+HISTODEC244!AI36</f>
        <v>0</v>
      </c>
      <c r="AJ36" s="9">
        <f>HISTOJANV24!AJ36+HISTOFEV24!AJ36+HISTOMARS24!AJ36+HISTOAVRIL24!AJ36+HISTOMAI24!AJ36+HISTOJUIN24!AJ36+HISTOJUIL24!AJ36+HISTOAOUT24!AJ36+HISTOSEPT24!AJ36+HISTOOCT24!AJ36+HISTONOV24!AJ36+HISTODEC244!AJ36</f>
        <v>0</v>
      </c>
      <c r="AK36" s="9">
        <f>HISTOJANV24!AK36+HISTOFEV24!AK36+HISTOMARS24!AK36+HISTOAVRIL24!AK36+HISTOMAI24!AK36+HISTOJUIN24!AK36+HISTOJUIL24!AK36+HISTOAOUT24!AK36+HISTOSEPT24!AK36+HISTOOCT24!AK36+HISTONOV24!AK36+HISTODEC244!AK36</f>
        <v>0</v>
      </c>
      <c r="AL36" s="9">
        <f>HISTOJANV24!AL36+HISTOFEV24!AL36+HISTOMARS24!AL36+HISTOAVRIL24!AL36+HISTOMAI24!AL36+HISTOJUIN24!AL36+HISTOJUIL24!AL36+HISTOAOUT24!AL36+HISTOSEPT24!AL36+HISTOOCT24!AL36+HISTONOV24!AL36+HISTODEC244!AL36</f>
        <v>0</v>
      </c>
      <c r="AM36" s="9">
        <f>HISTOJANV24!AM36+HISTOFEV24!AM36+HISTOMARS24!AM36+HISTOAVRIL24!AM36+HISTOMAI24!AM36+HISTOJUIN24!AM36+HISTOJUIL24!AM36+HISTOAOUT24!AM36+HISTOSEPT24!AM36+HISTOOCT24!AM36+HISTONOV24!AM36+HISTODEC244!AM36</f>
        <v>0</v>
      </c>
      <c r="AN36" s="9">
        <f>HISTOJANV24!AN36+HISTOFEV24!AN36+HISTOMARS24!AN36+HISTOAVRIL24!AN36+HISTOMAI24!AN36+HISTOJUIN24!AN36+HISTOJUIL24!AN36+HISTOAOUT24!AN36+HISTOSEPT24!AN36+HISTOOCT24!AN36+HISTONOV24!AN36+HISTODEC244!AN36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HISTOJANV24!AW36+HISTOFEV24!AW36+HISTOMARS24!AW36+HISTOAVRIL24!AW36+HISTOMAI24!AW36+HISTOJUIN24!AW36+HISTOJUIL24!AW36+HISTOAOUT24!AW36+HISTOSEPT24!AW36+HISTOOCT24!AW36+HISTONOV24!AW36+HISTODEC244!AW36</f>
        <v>297500</v>
      </c>
      <c r="AX36" s="9">
        <f>HISTOJANV24!AX36+HISTOFEV24!AX36+HISTOMARS24!AX36+HISTOAVRIL24!AX36+HISTOMAI24!AX36+HISTOJUIN24!AX36+HISTOJUIL24!AX36+HISTOAOUT24!AX36+HISTOSEPT24!AX36+HISTOOCT24!AX36+HISTONOV24!AX36+HISTODEC244!AX36</f>
        <v>0</v>
      </c>
      <c r="AY36" s="9">
        <f>HISTOJANV24!AY36+HISTOFEV24!AY36+HISTOMARS24!AY36+HISTOAVRIL24!AY36+HISTOMAI24!AY36+HISTOJUIN24!AY36+HISTOJUIL24!AY36+HISTOAOUT24!AY36+HISTOSEPT24!AY36+HISTOOCT24!AY36+HISTONOV24!AY36+HISTODEC244!AY36</f>
        <v>0</v>
      </c>
      <c r="AZ36" s="9">
        <f>HISTOJANV24!AZ36+HISTOFEV24!AZ36+HISTOMARS24!AZ36+HISTOAVRIL24!AZ36+HISTOMAI24!AZ36+HISTOJUIN24!AZ36+HISTOJUIL24!AZ36+HISTOAOUT24!AZ36+HISTOSEPT24!AZ36+HISTOOCT24!AZ36+HISTONOV24!AZ36+HISTODEC244!AZ36</f>
        <v>397500</v>
      </c>
      <c r="BA36" s="9">
        <f>HISTOJANV24!BA36+HISTOFEV24!BA36+HISTOMARS24!BA36+HISTOAVRIL24!BA36+HISTOMAI24!BA36+HISTOJUIN24!BA36+HISTOJUIL24!BA36+HISTOAOUT24!BA36+HISTOSEPT24!BA36+HISTOOCT24!BA36+HISTONOV24!BA36+HISTODEC244!BA36</f>
        <v>297500</v>
      </c>
      <c r="BB36" s="9">
        <f>HISTOJANV24!BB36+HISTOFEV24!BB36+HISTOMARS24!BB36+HISTOAVRIL24!BB36+HISTOMAI24!BB36+HISTOJUIN24!BB36+HISTOJUIL24!BB36+HISTOAOUT24!BB36+HISTOSEPT24!BB36+HISTOOCT24!BB36+HISTONOV24!BB36+HISTODEC244!BB36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HISTOJANV24!BD36+HISTOFEV24!BD36+HISTOMARS24!BD36+HISTOAVRIL24!BD36+HISTOMAI24!BD36+HISTOJUIN24!BD36+HISTOJUIL24!BD36+HISTOAOUT24!BD36+HISTOSEPT24!BD36+HISTOOCT24!BD36+HISTONOV24!BD36+HISTODEC244!BD36</f>
        <v>100000</v>
      </c>
      <c r="BE36" s="82"/>
      <c r="BF36" s="9">
        <f>HISTOJANV24!BF36+HISTOFEV24!BF36+HISTOMARS24!BF36+HISTOAVRIL24!BF36+HISTOMAI24!BF36+HISTOJUIN24!BF36+HISTOJUIL24!BF36+HISTOAOUT24!BF36+HISTOSEPT24!BF36+HISTOOCT24!BF36+HISTONOV24!BF36+HISTODEC244!BF36</f>
        <v>0</v>
      </c>
      <c r="BG36" s="29"/>
      <c r="BH36" s="15"/>
      <c r="BI36" s="15"/>
      <c r="BJ36" s="15"/>
      <c r="BK36" s="15"/>
      <c r="BL36" s="61"/>
      <c r="BO36" t="s">
        <v>126</v>
      </c>
      <c r="BP36" t="s">
        <v>126</v>
      </c>
      <c r="BQ36" s="9">
        <f>HISTOJANV24!BQ36+HISTOFEV24!BQ36+HISTOMARS24!BQ36+HISTOAVRIL24!BQ36+HISTOMAI24!BQ36+HISTOJUIN24!BQ36+HISTOJUIL24!BQ36+HISTOAOUT24!BQ36+HISTOSEPT24!BQ36+HISTOOCT24!BQ36+HISTONOV24!BQ36+HISTODEC244!BQ36</f>
        <v>700000</v>
      </c>
    </row>
    <row r="37" spans="1:69" ht="18.5" x14ac:dyDescent="0.45">
      <c r="A37" s="1" t="s">
        <v>193</v>
      </c>
      <c r="B37" s="1">
        <v>150000</v>
      </c>
      <c r="C37" s="5"/>
      <c r="D37" s="9">
        <f>HISTOJANV24!D37+HISTOFEV24!D37+HISTOMARS24!D37+HISTOAVRIL24!D37+HISTOMAI24!D37+HISTOJUIN24!D37+HISTOJUIL24!D37+HISTOAOUT24!D37+HISTOSEPT24!D37+HISTOOCT24!D37+HISTONOV24!D37+HISTODEC244!D37</f>
        <v>750000</v>
      </c>
      <c r="E37" s="9">
        <f>HISTOJANV24!E37+HISTOFEV24!E37+HISTOMARS24!E37+HISTOAVRIL24!E37+HISTOMAI24!E37+HISTOJUIN24!E37+HISTOJUIL24!E37+HISTOAOUT24!E37+HISTOSEPT24!E37+HISTOOCT24!E37+HISTONOV24!E37+HISTODEC244!E37</f>
        <v>1093000</v>
      </c>
      <c r="F37" s="9">
        <f>HISTOJANV24!F37+HISTOFEV24!F37+HISTOMARS24!F37+HISTOAVRIL24!F37+HISTOMAI24!F37+HISTOJUIN24!F37+HISTOJUIL24!F37+HISTOAOUT24!F37+HISTOSEPT24!F37+HISTOOCT24!F37+HISTONOV24!F37+HISTODEC244!F37</f>
        <v>0</v>
      </c>
      <c r="G37" s="9">
        <f>HISTOJANV24!G37+HISTOFEV24!G37+HISTOMARS24!G37+HISTOAVRIL24!G37+HISTOMAI24!G37+HISTOJUIN24!G37+HISTOJUIL24!G37+HISTOAOUT24!G37+HISTOSEPT24!G37+HISTOOCT24!G37+HISTONOV24!G37+HISTODEC244!G37</f>
        <v>18000</v>
      </c>
      <c r="H37" s="10"/>
      <c r="I37" s="9">
        <f>HISTOJANV24!I37+HISTOFEV24!I37+HISTOMARS24!I37+HISTOAVRIL24!I37+HISTOMAI24!I37+HISTOJUIN24!I37+HISTOJUIL24!I37+HISTOAOUT24!I37+HISTOSEPT24!I37+HISTOOCT24!I37+HISTONOV24!I37+HISTODEC244!I37</f>
        <v>700000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HISTOJANV24!P37+HISTOFEV24!P37+HISTOMARS24!P37+HISTOAVRIL24!P37+HISTOMAI24!P37+HISTOJUIN24!P37+HISTOJUIL24!P37+HISTOAOUT24!P37+HISTOSEPT24!P37+HISTOOCT24!P37+HISTONOV24!P37+HISTODEC244!P37</f>
        <v>0</v>
      </c>
      <c r="Q37" s="9">
        <f>HISTOJANV24!Q37+HISTOFEV24!Q37+HISTOMARS24!Q37+HISTOAVRIL24!Q37+HISTOMAI24!Q37+HISTOJUIN24!Q37+HISTOJUIL24!Q37+HISTOAOUT24!Q37+HISTOSEPT24!Q37+HISTOOCT24!Q37+HISTONOV24!Q37+HISTODEC244!Q37</f>
        <v>0</v>
      </c>
      <c r="R37" s="9">
        <f>HISTOJANV24!R37+HISTOFEV24!R37+HISTOMARS24!R37+HISTOAVRIL24!R37+HISTOMAI24!R37+HISTOJUIN24!R37+HISTOJUIL24!R37+HISTOAOUT24!R37+HISTOSEPT24!R37+HISTOOCT24!R37+HISTONOV24!R37+HISTODEC244!R37</f>
        <v>0</v>
      </c>
      <c r="S37" s="9">
        <f>HISTOJANV24!S37+HISTOFEV24!S37+HISTOMARS24!S37+HISTOAVRIL24!S37+HISTOMAI24!S37+HISTOJUIN24!S37+HISTOJUIL24!S37+HISTOAOUT24!S37+HISTOSEPT24!S37+HISTOOCT24!S37+HISTONOV24!S37+HISTODEC244!S37</f>
        <v>0</v>
      </c>
      <c r="T37" s="12"/>
      <c r="U37" s="17">
        <f t="shared" si="5"/>
        <v>893000</v>
      </c>
      <c r="V37" s="9">
        <f>HISTOJANV24!V37+HISTOFEV24!V37+HISTOMARS24!V37+HISTOAVRIL24!V37+HISTOMAI24!V37+HISTOJUIN24!V37+HISTOJUIL24!V37+HISTOAOUT24!V37+HISTOSEPT24!V37+HISTOOCT24!V37+HISTONOV24!V37+HISTODEC244!V37</f>
        <v>0</v>
      </c>
      <c r="W37" s="9">
        <f>HISTOJANV24!W37+HISTOFEV24!W37+HISTOMARS24!W37+HISTOAVRIL24!W37+HISTOMAI24!W37+HISTOJUIN24!W37+HISTOJUIL24!W37+HISTOAOUT24!W37+HISTOSEPT24!W37+HISTOOCT24!W37+HISTONOV24!W37+HISTODEC244!W37</f>
        <v>25000</v>
      </c>
      <c r="X37" s="9">
        <f>HISTOJANV24!X37+HISTOFEV24!X37+HISTOMARS24!X37+HISTOAVRIL24!X37+HISTOMAI24!X37+HISTOJUIN24!X37+HISTOJUIL24!X37+HISTOAOUT24!X37+HISTOSEPT24!X37+HISTOOCT24!X37+HISTONOV24!X37+HISTODEC244!X37</f>
        <v>0</v>
      </c>
      <c r="Y37" s="9">
        <f>HISTOJANV24!Y37+HISTOFEV24!Y37+HISTOMARS24!Y37+HISTOAVRIL24!Y37+HISTOMAI24!Y37+HISTOJUIN24!Y37+HISTOJUIL24!Y37+HISTOAOUT24!Y37+HISTOSEPT24!Y37+HISTOOCT24!Y37+HISTONOV24!Y37+HISTODEC244!Y37</f>
        <v>0</v>
      </c>
      <c r="Z37" s="9">
        <f>HISTOJANV24!Z37+HISTOFEV24!Z37+HISTOMARS24!Z37+HISTOAVRIL24!Z37+HISTOMAI24!Z37+HISTOJUIN24!Z37+HISTOJUIL24!Z37+HISTOAOUT24!Z37+HISTOSEPT24!Z37+HISTOOCT24!Z37+HISTONOV24!Z37+HISTODEC244!Z37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HISTOJANV24!AC37+HISTOFEV24!AC37+HISTOMARS24!AC37+HISTOAVRIL24!AC37+HISTOMAI24!AC37+HISTOJUIN24!AC37+HISTOJUIL24!AC37+HISTOAOUT24!AC37+HISTOSEPT24!AC37+HISTOOCT24!AC37+HISTONOV24!AC37+HISTODEC244!AC37</f>
        <v>4000</v>
      </c>
      <c r="AD37" s="9">
        <f>HISTOJANV24!AD37+HISTOFEV24!AD37+HISTOMARS24!AD37+HISTOAVRIL24!AD37+HISTOMAI24!AD37+HISTOJUIN24!AD37+HISTOJUIL24!AD37+HISTOAOUT24!AD37+HISTOSEPT24!AD37+HISTOOCT24!AD37+HISTONOV24!AD37+HISTODEC244!AD37</f>
        <v>0</v>
      </c>
      <c r="AE37" s="9">
        <f>HISTOJANV24!AE37+HISTOFEV24!AE37+HISTOMARS24!AE37+HISTOAVRIL24!AE37+HISTOMAI24!AE37+HISTOJUIN24!AE37+HISTOJUIL24!AE37+HISTOAOUT24!AE37+HISTOSEPT24!AE37+HISTOOCT24!AE37+HISTONOV24!AE37+HISTODEC244!AE37</f>
        <v>10000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HISTOJANV24!AH37+HISTOFEV24!AH37+HISTOMARS24!AH37+HISTOAVRIL24!AH37+HISTOMAI24!AH37+HISTOJUIN24!AH37+HISTOJUIL24!AH37+HISTOAOUT24!AH37+HISTOSEPT24!AH37+HISTOOCT24!AH37+HISTONOV24!AH37+HISTODEC244!AH37</f>
        <v>0</v>
      </c>
      <c r="AI37" s="9">
        <f>HISTOJANV24!AI37+HISTOFEV24!AI37+HISTOMARS24!AI37+HISTOAVRIL24!AI37+HISTOMAI24!AI37+HISTOJUIN24!AI37+HISTOJUIL24!AI37+HISTOAOUT24!AI37+HISTOSEPT24!AI37+HISTOOCT24!AI37+HISTONOV24!AI37+HISTODEC244!AI37</f>
        <v>0</v>
      </c>
      <c r="AJ37" s="9">
        <f>HISTOJANV24!AJ37+HISTOFEV24!AJ37+HISTOMARS24!AJ37+HISTOAVRIL24!AJ37+HISTOMAI24!AJ37+HISTOJUIN24!AJ37+HISTOJUIL24!AJ37+HISTOAOUT24!AJ37+HISTOSEPT24!AJ37+HISTOOCT24!AJ37+HISTONOV24!AJ37+HISTODEC244!AJ37</f>
        <v>0</v>
      </c>
      <c r="AK37" s="9">
        <f>HISTOJANV24!AK37+HISTOFEV24!AK37+HISTOMARS24!AK37+HISTOAVRIL24!AK37+HISTOMAI24!AK37+HISTOJUIN24!AK37+HISTOJUIL24!AK37+HISTOAOUT24!AK37+HISTOSEPT24!AK37+HISTOOCT24!AK37+HISTONOV24!AK37+HISTODEC244!AK37</f>
        <v>0</v>
      </c>
      <c r="AL37" s="9">
        <f>HISTOJANV24!AL37+HISTOFEV24!AL37+HISTOMARS24!AL37+HISTOAVRIL24!AL37+HISTOMAI24!AL37+HISTOJUIN24!AL37+HISTOJUIL24!AL37+HISTOAOUT24!AL37+HISTOSEPT24!AL37+HISTOOCT24!AL37+HISTONOV24!AL37+HISTODEC244!AL37</f>
        <v>0</v>
      </c>
      <c r="AM37" s="9">
        <f>HISTOJANV24!AM37+HISTOFEV24!AM37+HISTOMARS24!AM37+HISTOAVRIL24!AM37+HISTOMAI24!AM37+HISTOJUIN24!AM37+HISTOJUIL24!AM37+HISTOAOUT24!AM37+HISTOSEPT24!AM37+HISTOOCT24!AM37+HISTONOV24!AM37+HISTODEC244!AM37</f>
        <v>0</v>
      </c>
      <c r="AN37" s="9">
        <f>HISTOJANV24!AN37+HISTOFEV24!AN37+HISTOMARS24!AN37+HISTOAVRIL24!AN37+HISTOMAI24!AN37+HISTOJUIN24!AN37+HISTOJUIL24!AN37+HISTOAOUT24!AN37+HISTOSEPT24!AN37+HISTOOCT24!AN37+HISTONOV24!AN37+HISTODEC244!AN37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725000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HISTOJANV24!AW37+HISTOFEV24!AW37+HISTOMARS24!AW37+HISTOAVRIL24!AW37+HISTOMAI24!AW37+HISTOJUIN24!AW37+HISTOJUIL24!AW37+HISTOAOUT24!AW37+HISTOSEPT24!AW37+HISTOOCT24!AW37+HISTONOV24!AW37+HISTODEC244!AW37</f>
        <v>296000</v>
      </c>
      <c r="AX37" s="9">
        <f>HISTOJANV24!AX37+HISTOFEV24!AX37+HISTOMARS24!AX37+HISTOAVRIL24!AX37+HISTOMAI24!AX37+HISTOJUIN24!AX37+HISTOJUIL24!AX37+HISTOAOUT24!AX37+HISTOSEPT24!AX37+HISTOOCT24!AX37+HISTONOV24!AX37+HISTODEC244!AX37</f>
        <v>0</v>
      </c>
      <c r="AY37" s="9">
        <f>HISTOJANV24!AY37+HISTOFEV24!AY37+HISTOMARS24!AY37+HISTOAVRIL24!AY37+HISTOMAI24!AY37+HISTOJUIN24!AY37+HISTOJUIL24!AY37+HISTOAOUT24!AY37+HISTOSEPT24!AY37+HISTOOCT24!AY37+HISTONOV24!AY37+HISTODEC244!AY37</f>
        <v>1190000</v>
      </c>
      <c r="AZ37" s="9">
        <f>HISTOJANV24!AZ37+HISTOFEV24!AZ37+HISTOMARS24!AZ37+HISTOAVRIL24!AZ37+HISTOMAI24!AZ37+HISTOJUIN24!AZ37+HISTOJUIL24!AZ37+HISTOAOUT24!AZ37+HISTOSEPT24!AZ37+HISTOOCT24!AZ37+HISTONOV24!AZ37+HISTODEC244!AZ37</f>
        <v>1486000</v>
      </c>
      <c r="BA37" s="9">
        <f>HISTOJANV24!BA37+HISTOFEV24!BA37+HISTOMARS24!BA37+HISTOAVRIL24!BA37+HISTOMAI24!BA37+HISTOJUIN24!BA37+HISTOJUIL24!BA37+HISTOAOUT24!BA37+HISTOSEPT24!BA37+HISTOOCT24!BA37+HISTONOV24!BA37+HISTODEC244!BA37</f>
        <v>0</v>
      </c>
      <c r="BB37" s="9">
        <f>HISTOJANV24!BB37+HISTOFEV24!BB37+HISTOMARS24!BB37+HISTOAVRIL24!BB37+HISTOMAI24!BB37+HISTOJUIN24!BB37+HISTOJUIL24!BB37+HISTOAOUT24!BB37+HISTOSEPT24!BB37+HISTOOCT24!BB37+HISTONOV24!BB37+HISTODEC244!BB37</f>
        <v>240000</v>
      </c>
      <c r="BC37" s="15"/>
      <c r="BD37" s="9">
        <f>HISTOJANV24!BD37+HISTOFEV24!BD37+HISTOMARS24!BD37+HISTOAVRIL24!BD37+HISTOMAI24!BD37+HISTOJUIN24!BD37+HISTOJUIL24!BD37+HISTOAOUT24!BD37+HISTOSEPT24!BD37+HISTOOCT24!BD37+HISTONOV24!BD37+HISTODEC244!BD37</f>
        <v>426000</v>
      </c>
      <c r="BE37" s="82"/>
      <c r="BF37" s="9">
        <f>HISTOJANV24!BF37+HISTOFEV24!BF37+HISTOMARS24!BF37+HISTOAVRIL24!BF37+HISTOMAI24!BF37+HISTOJUIN24!BF37+HISTOJUIL24!BF37+HISTOAOUT24!BF37+HISTOSEPT24!BF37+HISTOOCT24!BF37+HISTONOV24!BF37+HISTODEC244!BF37</f>
        <v>0</v>
      </c>
      <c r="BG37" s="29"/>
      <c r="BH37" s="15"/>
      <c r="BI37" s="15"/>
      <c r="BJ37" s="15"/>
      <c r="BK37" s="15"/>
      <c r="BL37" s="15"/>
      <c r="BO37" t="s">
        <v>127</v>
      </c>
      <c r="BP37" t="s">
        <v>126</v>
      </c>
      <c r="BQ37" s="9">
        <f>HISTOJANV24!BQ37+HISTOFEV24!BQ37+HISTOMARS24!BQ37+HISTOAVRIL24!BQ37+HISTOMAI24!BQ37+HISTOJUIN24!BQ37+HISTOJUIL24!BQ37+HISTOAOUT24!BQ37+HISTOSEPT24!BQ37+HISTOOCT24!BQ37+HISTONOV24!BQ37+HISTODEC244!BQ37</f>
        <v>0</v>
      </c>
    </row>
    <row r="38" spans="1:69" ht="18.5" x14ac:dyDescent="0.45">
      <c r="A38" s="1" t="s">
        <v>41</v>
      </c>
      <c r="B38" s="1">
        <v>225000</v>
      </c>
      <c r="C38" s="5"/>
      <c r="D38" s="9">
        <f>HISTOJANV24!D38+HISTOFEV24!D38+HISTOMARS24!D38+HISTOAVRIL24!D38+HISTOMAI24!D38+HISTOJUIN24!D38+HISTOJUIL24!D38+HISTOAOUT24!D38+HISTOSEPT24!D38+HISTOOCT24!D38+HISTONOV24!D38+HISTODEC244!D38</f>
        <v>1500000</v>
      </c>
      <c r="E38" s="9">
        <f>HISTOJANV24!E38+HISTOFEV24!E38+HISTOMARS24!E38+HISTOAVRIL24!E38+HISTOMAI24!E38+HISTOJUIN24!E38+HISTOJUIL24!E38+HISTOAOUT24!E38+HISTOSEPT24!E38+HISTOOCT24!E38+HISTONOV24!E38+HISTODEC244!E38</f>
        <v>0</v>
      </c>
      <c r="F38" s="9">
        <f>HISTOJANV24!F38+HISTOFEV24!F38+HISTOMARS24!F38+HISTOAVRIL24!F38+HISTOMAI24!F38+HISTOJUIN24!F38+HISTOJUIL24!F38+HISTOAOUT24!F38+HISTOSEPT24!F38+HISTOOCT24!F38+HISTONOV24!F38+HISTODEC244!F38</f>
        <v>0</v>
      </c>
      <c r="G38" s="9">
        <f>HISTOJANV24!G38+HISTOFEV24!G38+HISTOMARS24!G38+HISTOAVRIL24!G38+HISTOMAI24!G38+HISTOJUIN24!G38+HISTOJUIL24!G38+HISTOAOUT24!G38+HISTOSEPT24!G38+HISTOOCT24!G38+HISTONOV24!G38+HISTODEC244!G38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HISTOJANV24!P38+HISTOFEV24!P38+HISTOMARS24!P38+HISTOAVRIL24!P38+HISTOMAI24!P38+HISTOJUIN24!P38+HISTOJUIL24!P38+HISTOAOUT24!P38+HISTOSEPT24!P38+HISTOOCT24!P38+HISTONOV24!P38+HISTODEC244!P38</f>
        <v>0</v>
      </c>
      <c r="Q38" s="9">
        <f>HISTOJANV24!Q38+HISTOFEV24!Q38+HISTOMARS24!Q38+HISTOAVRIL24!Q38+HISTOMAI24!Q38+HISTOJUIN24!Q38+HISTOJUIL24!Q38+HISTOAOUT24!Q38+HISTOSEPT24!Q38+HISTOOCT24!Q38+HISTONOV24!Q38+HISTODEC244!Q38</f>
        <v>0</v>
      </c>
      <c r="R38" s="9">
        <f>HISTOJANV24!R38+HISTOFEV24!R38+HISTOMARS24!R38+HISTOAVRIL24!R38+HISTOMAI24!R38+HISTOJUIN24!R38+HISTOJUIL24!R38+HISTOAOUT24!R38+HISTOSEPT24!R38+HISTOOCT24!R38+HISTONOV24!R38+HISTODEC244!R38</f>
        <v>0</v>
      </c>
      <c r="S38" s="9">
        <f>HISTOJANV24!S38+HISTOFEV24!S38+HISTOMARS24!S38+HISTOAVRIL24!S38+HISTOMAI24!S38+HISTOJUIN24!S38+HISTOJUIL24!S38+HISTOAOUT24!S38+HISTOSEPT24!S38+HISTOOCT24!S38+HISTONOV24!S38+HISTODEC244!S38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HISTOJANV24!V38+HISTOFEV24!V38+HISTOMARS24!V38+HISTOAVRIL24!V38+HISTOMAI24!V38+HISTOJUIN24!V38+HISTOJUIL24!V38+HISTOAOUT24!V38+HISTOSEPT24!V38+HISTOOCT24!V38+HISTONOV24!V38+HISTODEC244!V38</f>
        <v>0</v>
      </c>
      <c r="W38" s="9">
        <f>HISTOJANV24!W38+HISTOFEV24!W38+HISTOMARS24!W38+HISTOAVRIL24!W38+HISTOMAI24!W38+HISTOJUIN24!W38+HISTOJUIL24!W38+HISTOAOUT24!W38+HISTOSEPT24!W38+HISTOOCT24!W38+HISTONOV24!W38+HISTODEC244!W38</f>
        <v>0</v>
      </c>
      <c r="X38" s="9">
        <f>HISTOJANV24!X38+HISTOFEV24!X38+HISTOMARS24!X38+HISTOAVRIL24!X38+HISTOMAI24!X38+HISTOJUIN24!X38+HISTOJUIL24!X38+HISTOAOUT24!X38+HISTOSEPT24!X38+HISTOOCT24!X38+HISTONOV24!X38+HISTODEC244!X38</f>
        <v>0</v>
      </c>
      <c r="Y38" s="9">
        <f>HISTOJANV24!Y38+HISTOFEV24!Y38+HISTOMARS24!Y38+HISTOAVRIL24!Y38+HISTOMAI24!Y38+HISTOJUIN24!Y38+HISTOJUIL24!Y38+HISTOAOUT24!Y38+HISTOSEPT24!Y38+HISTOOCT24!Y38+HISTONOV24!Y38+HISTODEC244!Y38</f>
        <v>0</v>
      </c>
      <c r="Z38" s="9">
        <f>HISTOJANV24!Z38+HISTOFEV24!Z38+HISTOMARS24!Z38+HISTOAVRIL24!Z38+HISTOMAI24!Z38+HISTOJUIN24!Z38+HISTOJUIL24!Z38+HISTOAOUT24!Z38+HISTOSEPT24!Z38+HISTOOCT24!Z38+HISTONOV24!Z38+HISTODEC244!Z38</f>
        <v>500000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HISTOJANV24!AC38+HISTOFEV24!AC38+HISTOMARS24!AC38+HISTOAVRIL24!AC38+HISTOMAI24!AC38+HISTOJUIN24!AC38+HISTOJUIL24!AC38+HISTOAOUT24!AC38+HISTOSEPT24!AC38+HISTOOCT24!AC38+HISTONOV24!AC38+HISTODEC244!AC38</f>
        <v>2500</v>
      </c>
      <c r="AD38" s="9">
        <f>HISTOJANV24!AD38+HISTOFEV24!AD38+HISTOMARS24!AD38+HISTOAVRIL24!AD38+HISTOMAI24!AD38+HISTOJUIN24!AD38+HISTOJUIL24!AD38+HISTOAOUT24!AD38+HISTOSEPT24!AD38+HISTOOCT24!AD38+HISTONOV24!AD38+HISTODEC244!AD38</f>
        <v>7500</v>
      </c>
      <c r="AE38" s="9">
        <f>HISTOJANV24!AE38+HISTOFEV24!AE38+HISTOMARS24!AE38+HISTOAVRIL24!AE38+HISTOMAI24!AE38+HISTOJUIN24!AE38+HISTOJUIL24!AE38+HISTOAOUT24!AE38+HISTOSEPT24!AE38+HISTOOCT24!AE38+HISTONOV24!AE38+HISTODEC244!AE38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HISTOJANV24!AH38+HISTOFEV24!AH38+HISTOMARS24!AH38+HISTOAVRIL24!AH38+HISTOMAI24!AH38+HISTOJUIN24!AH38+HISTOJUIL24!AH38+HISTOAOUT24!AH38+HISTOSEPT24!AH38+HISTOOCT24!AH38+HISTONOV24!AH38+HISTODEC244!AH38</f>
        <v>0</v>
      </c>
      <c r="AI38" s="9">
        <f>HISTOJANV24!AI38+HISTOFEV24!AI38+HISTOMARS24!AI38+HISTOAVRIL24!AI38+HISTOMAI24!AI38+HISTOJUIN24!AI38+HISTOJUIL24!AI38+HISTOAOUT24!AI38+HISTOSEPT24!AI38+HISTOOCT24!AI38+HISTONOV24!AI38+HISTODEC244!AI38</f>
        <v>0</v>
      </c>
      <c r="AJ38" s="9">
        <f>HISTOJANV24!AJ38+HISTOFEV24!AJ38+HISTOMARS24!AJ38+HISTOAVRIL24!AJ38+HISTOMAI24!AJ38+HISTOJUIN24!AJ38+HISTOJUIL24!AJ38+HISTOAOUT24!AJ38+HISTOSEPT24!AJ38+HISTOOCT24!AJ38+HISTONOV24!AJ38+HISTODEC244!AJ38</f>
        <v>0</v>
      </c>
      <c r="AK38" s="9">
        <f>HISTOJANV24!AK38+HISTOFEV24!AK38+HISTOMARS24!AK38+HISTOAVRIL24!AK38+HISTOMAI24!AK38+HISTOJUIN24!AK38+HISTOJUIL24!AK38+HISTOAOUT24!AK38+HISTOSEPT24!AK38+HISTOOCT24!AK38+HISTONOV24!AK38+HISTODEC244!AK38</f>
        <v>0</v>
      </c>
      <c r="AL38" s="9">
        <f>HISTOJANV24!AL38+HISTOFEV24!AL38+HISTOMARS24!AL38+HISTOAVRIL24!AL38+HISTOMAI24!AL38+HISTOJUIN24!AL38+HISTOJUIL24!AL38+HISTOAOUT24!AL38+HISTOSEPT24!AL38+HISTOOCT24!AL38+HISTONOV24!AL38+HISTODEC244!AL38</f>
        <v>0</v>
      </c>
      <c r="AM38" s="9">
        <f>HISTOJANV24!AM38+HISTOFEV24!AM38+HISTOMARS24!AM38+HISTOAVRIL24!AM38+HISTOMAI24!AM38+HISTOJUIN24!AM38+HISTOJUIL24!AM38+HISTOAOUT24!AM38+HISTOSEPT24!AM38+HISTOOCT24!AM38+HISTONOV24!AM38+HISTODEC244!AM38</f>
        <v>0</v>
      </c>
      <c r="AN38" s="9">
        <f>HISTOJANV24!AN38+HISTOFEV24!AN38+HISTOMARS24!AN38+HISTOAVRIL24!AN38+HISTOMAI24!AN38+HISTOJUIN24!AN38+HISTOJUIL24!AN38+HISTOAOUT24!AN38+HISTOSEPT24!AN38+HISTOOCT24!AN38+HISTONOV24!AN38+HISTODEC244!AN38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HISTOJANV24!AW38+HISTOFEV24!AW38+HISTOMARS24!AW38+HISTOAVRIL24!AW38+HISTOMAI24!AW38+HISTOJUIN24!AW38+HISTOJUIL24!AW38+HISTOAOUT24!AW38+HISTOSEPT24!AW38+HISTOOCT24!AW38+HISTONOV24!AW38+HISTODEC244!AW38</f>
        <v>297500</v>
      </c>
      <c r="AX38" s="9">
        <f>HISTOJANV24!AX38+HISTOFEV24!AX38+HISTOMARS24!AX38+HISTOAVRIL24!AX38+HISTOMAI24!AX38+HISTOJUIN24!AX38+HISTOJUIL24!AX38+HISTOAOUT24!AX38+HISTOSEPT24!AX38+HISTOOCT24!AX38+HISTONOV24!AX38+HISTODEC244!AX38</f>
        <v>892500</v>
      </c>
      <c r="AY38" s="9">
        <f>HISTOJANV24!AY38+HISTOFEV24!AY38+HISTOMARS24!AY38+HISTOAVRIL24!AY38+HISTOMAI24!AY38+HISTOJUIN24!AY38+HISTOJUIL24!AY38+HISTOAOUT24!AY38+HISTOSEPT24!AY38+HISTOOCT24!AY38+HISTONOV24!AY38+HISTODEC244!AY38</f>
        <v>0</v>
      </c>
      <c r="AZ38" s="9">
        <f>HISTOJANV24!AZ38+HISTOFEV24!AZ38+HISTOMARS24!AZ38+HISTOAVRIL24!AZ38+HISTOMAI24!AZ38+HISTOJUIN24!AZ38+HISTOJUIL24!AZ38+HISTOAOUT24!AZ38+HISTOSEPT24!AZ38+HISTOOCT24!AZ38+HISTONOV24!AZ38+HISTODEC244!AZ38</f>
        <v>1775000</v>
      </c>
      <c r="BA38" s="9">
        <f>HISTOJANV24!BA38+HISTOFEV24!BA38+HISTOMARS24!BA38+HISTOAVRIL24!BA38+HISTOMAI24!BA38+HISTOJUIN24!BA38+HISTOJUIL24!BA38+HISTOAOUT24!BA38+HISTOSEPT24!BA38+HISTOOCT24!BA38+HISTONOV24!BA38+HISTODEC244!BA38</f>
        <v>485000</v>
      </c>
      <c r="BB38" s="9">
        <f>HISTOJANV24!BB38+HISTOFEV24!BB38+HISTOMARS24!BB38+HISTOAVRIL24!BB38+HISTOMAI24!BB38+HISTOJUIN24!BB38+HISTOJUIL24!BB38+HISTOAOUT24!BB38+HISTOSEPT24!BB38+HISTOOCT24!BB38+HISTONOV24!BB38+HISTODEC244!BB38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HISTOJANV24!BD38+HISTOFEV24!BD38+HISTOMARS24!BD38+HISTOAVRIL24!BD38+HISTOMAI24!BD38+HISTOJUIN24!BD38+HISTOJUIL24!BD38+HISTOAOUT24!BD38+HISTOSEPT24!BD38+HISTOOCT24!BD38+HISTONOV24!BD38+HISTODEC244!BD38</f>
        <v>1290000</v>
      </c>
      <c r="BE38" s="82"/>
      <c r="BF38" s="9">
        <f>HISTOJANV24!BF38+HISTOFEV24!BF38+HISTOMARS24!BF38+HISTOAVRIL24!BF38+HISTOMAI24!BF38+HISTOJUIN24!BF38+HISTOJUIL24!BF38+HISTOAOUT24!BF38+HISTOSEPT24!BF38+HISTOOCT24!BF38+HISTONOV24!BF38+HISTODEC244!BF38</f>
        <v>15000</v>
      </c>
      <c r="BG38" s="29"/>
      <c r="BH38" s="15"/>
      <c r="BI38" s="15"/>
      <c r="BJ38" s="15"/>
      <c r="BK38" s="15"/>
      <c r="BL38" s="15"/>
      <c r="BO38" t="s">
        <v>127</v>
      </c>
      <c r="BP38" t="s">
        <v>126</v>
      </c>
      <c r="BQ38" s="9">
        <f>HISTOJANV24!BQ38+HISTOFEV24!BQ38+HISTOMARS24!BQ38+HISTOAVRIL24!BQ38+HISTOMAI24!BQ38+HISTOJUIN24!BQ38+HISTOJUIL24!BQ38+HISTOAOUT24!BQ38+HISTOSEPT24!BQ38+HISTOOCT24!BQ38+HISTONOV24!BQ38+HISTODEC244!BQ38</f>
        <v>0</v>
      </c>
    </row>
    <row r="39" spans="1:69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69" ht="18.5" x14ac:dyDescent="0.45">
      <c r="B40" s="1" t="s">
        <v>44</v>
      </c>
      <c r="C40" s="5">
        <f t="shared" ref="C40:S40" si="7">SUM(C6:C39)</f>
        <v>0</v>
      </c>
      <c r="D40" s="5">
        <f t="shared" si="7"/>
        <v>74923000</v>
      </c>
      <c r="E40" s="5">
        <f t="shared" si="7"/>
        <v>14449500</v>
      </c>
      <c r="F40" s="5">
        <f t="shared" si="7"/>
        <v>3190000</v>
      </c>
      <c r="G40" s="5">
        <f t="shared" si="7"/>
        <v>93000</v>
      </c>
      <c r="H40" s="5">
        <f t="shared" si="7"/>
        <v>0</v>
      </c>
      <c r="I40" s="5">
        <f t="shared" si="7"/>
        <v>4526850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1628000</v>
      </c>
      <c r="Q40" s="5">
        <f t="shared" si="7"/>
        <v>4838000</v>
      </c>
      <c r="R40" s="5">
        <f t="shared" si="7"/>
        <v>11223000</v>
      </c>
      <c r="S40" s="5">
        <f t="shared" si="7"/>
        <v>18456000</v>
      </c>
      <c r="T40" s="5"/>
      <c r="U40" s="5">
        <f t="shared" ref="U40:AA40" si="8">SUM(U6:U39)</f>
        <v>45439850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21800000</v>
      </c>
      <c r="AA40" s="5">
        <f t="shared" si="8"/>
        <v>0</v>
      </c>
      <c r="AB40" s="5"/>
      <c r="AC40" s="5">
        <f>SUM(AC6:AC39)</f>
        <v>209000</v>
      </c>
      <c r="AD40" s="5">
        <f>SUM(AD6:AD39)</f>
        <v>285000</v>
      </c>
      <c r="AE40" s="5">
        <f>SUM(AE6:AE39)</f>
        <v>665000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1596000</v>
      </c>
      <c r="AJ40" s="5">
        <f t="shared" si="9"/>
        <v>4772500</v>
      </c>
      <c r="AK40" s="5">
        <f t="shared" si="9"/>
        <v>11196000</v>
      </c>
      <c r="AL40" s="5">
        <f t="shared" si="9"/>
        <v>32000</v>
      </c>
      <c r="AM40" s="5">
        <f t="shared" si="9"/>
        <v>65500</v>
      </c>
      <c r="AN40" s="5">
        <f t="shared" si="9"/>
        <v>132000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5265850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10987000</v>
      </c>
      <c r="AX40" s="5">
        <f t="shared" si="9"/>
        <v>18887500</v>
      </c>
      <c r="AY40" s="5">
        <f t="shared" si="9"/>
        <v>32131000</v>
      </c>
      <c r="AZ40" s="5">
        <f t="shared" si="9"/>
        <v>83594350</v>
      </c>
      <c r="BA40" s="5">
        <f t="shared" si="9"/>
        <v>14165200</v>
      </c>
      <c r="BB40" s="5">
        <f t="shared" si="9"/>
        <v>771700</v>
      </c>
      <c r="BC40" s="5">
        <f t="shared" si="9"/>
        <v>0</v>
      </c>
      <c r="BD40" s="5">
        <f t="shared" si="9"/>
        <v>70197168</v>
      </c>
      <c r="BE40" s="5">
        <f t="shared" si="9"/>
        <v>0</v>
      </c>
      <c r="BF40" s="5">
        <f t="shared" si="9"/>
        <v>2292150</v>
      </c>
      <c r="BH40" s="5">
        <f t="shared" ref="BH40:BL40" si="10">SUM(BH6:BH39)</f>
        <v>4251000</v>
      </c>
      <c r="BI40" s="5">
        <f t="shared" si="10"/>
        <v>960000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5">
        <f>SUM(BN6:BN39)</f>
        <v>5326618</v>
      </c>
      <c r="BO40" s="62" t="s">
        <v>142</v>
      </c>
      <c r="BQ40" s="62">
        <f>SUM(BQ36:BQ38)</f>
        <v>700000</v>
      </c>
    </row>
    <row r="41" spans="1:69" ht="18.5" x14ac:dyDescent="0.45">
      <c r="AW41" s="15"/>
      <c r="AX41" s="15"/>
      <c r="AY41" s="15"/>
      <c r="AZ41" s="16"/>
    </row>
    <row r="42" spans="1:69" ht="18.5" x14ac:dyDescent="0.45">
      <c r="Z42" s="12"/>
      <c r="AW42" s="15"/>
      <c r="AX42" s="15"/>
      <c r="AY42" s="15"/>
      <c r="AZ42" s="16"/>
      <c r="BA42" s="6"/>
    </row>
    <row r="43" spans="1:69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69" ht="18.5" x14ac:dyDescent="0.45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9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69" ht="18.5" x14ac:dyDescent="0.45">
      <c r="B46" s="1" t="s">
        <v>78</v>
      </c>
      <c r="AW46" s="15"/>
      <c r="AX46" s="15"/>
      <c r="AY46" s="15"/>
      <c r="AZ46" s="16"/>
    </row>
    <row r="47" spans="1:69" ht="18.5" x14ac:dyDescent="0.45">
      <c r="B47" s="1" t="s">
        <v>79</v>
      </c>
      <c r="C47" s="14">
        <f>AZ40</f>
        <v>83594350</v>
      </c>
      <c r="D47" s="9">
        <f>SUMIFS(D8:D40,H8:H40,"BANQUE")</f>
        <v>0</v>
      </c>
      <c r="F47" s="9">
        <f>E40</f>
        <v>14449500</v>
      </c>
      <c r="G47" s="14"/>
      <c r="J47" s="5"/>
      <c r="AW47" s="15"/>
      <c r="AX47" s="15"/>
      <c r="AY47" s="15"/>
      <c r="AZ47" s="16"/>
    </row>
    <row r="48" spans="1:69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160476700</v>
      </c>
    </row>
  </sheetData>
  <autoFilter ref="A5:AF38" xr:uid="{00000000-0009-0000-0000-000010000000}"/>
  <mergeCells count="1">
    <mergeCell ref="B4:M4"/>
  </mergeCells>
  <dataValidations count="1">
    <dataValidation type="list" allowBlank="1" showInputMessage="1" showErrorMessage="1" sqref="T6:T38 AP6:AP38 AF6:AF38 AA6:AA38" xr:uid="{00000000-0002-0000-1000-000000000000}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FD73-A059-46FD-AD0E-10BF9900C5A2}">
  <dimension ref="A1:BS85"/>
  <sheetViews>
    <sheetView zoomScaleNormal="100" workbookViewId="0">
      <pane xSplit="4" ySplit="5" topLeftCell="BE33" activePane="bottomRight" state="frozen"/>
      <selection pane="topRight" activeCell="E1" sqref="E1"/>
      <selection pane="bottomLeft" activeCell="A6" sqref="A6"/>
      <selection pane="bottomRight" activeCell="BG6" sqref="BG6:BG3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5" bestFit="1" customWidth="1"/>
    <col min="46" max="46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6" width="14.81640625" customWidth="1"/>
    <col min="67" max="67" width="20" customWidth="1"/>
    <col min="68" max="68" width="28.453125" bestFit="1" customWidth="1"/>
    <col min="69" max="69" width="27.81640625" bestFit="1" customWidth="1"/>
    <col min="70" max="70" width="21.453125" bestFit="1" customWidth="1"/>
    <col min="71" max="71" width="13.08984375" bestFit="1" customWidth="1"/>
  </cols>
  <sheetData>
    <row r="1" spans="1:71" x14ac:dyDescent="0.35">
      <c r="A1" s="1" t="s">
        <v>2</v>
      </c>
      <c r="B1" s="1" t="s">
        <v>3</v>
      </c>
      <c r="C1" s="1"/>
    </row>
    <row r="2" spans="1:71" x14ac:dyDescent="0.35">
      <c r="A2" s="1" t="s">
        <v>4</v>
      </c>
      <c r="B2" s="1">
        <v>2024</v>
      </c>
      <c r="C2" s="1"/>
    </row>
    <row r="3" spans="1:71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/>
      <c r="BO3" s="2">
        <v>66</v>
      </c>
      <c r="BP3" s="1">
        <v>67</v>
      </c>
      <c r="BQ3" s="2">
        <v>68</v>
      </c>
    </row>
    <row r="4" spans="1:71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71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211</v>
      </c>
      <c r="BO5" s="4" t="s">
        <v>74</v>
      </c>
      <c r="BP5" s="60" t="s">
        <v>146</v>
      </c>
      <c r="BQ5" s="1" t="s">
        <v>154</v>
      </c>
      <c r="BR5" s="4" t="s">
        <v>216</v>
      </c>
      <c r="BS5" s="4" t="s">
        <v>215</v>
      </c>
    </row>
    <row r="6" spans="1:71" ht="18.5" x14ac:dyDescent="0.45">
      <c r="A6" s="1" t="s">
        <v>108</v>
      </c>
      <c r="B6" s="1">
        <v>250000</v>
      </c>
      <c r="C6" s="5">
        <f>D6+E6+F6-U6-BB6</f>
        <v>-61000</v>
      </c>
      <c r="D6" s="9">
        <v>175000</v>
      </c>
      <c r="E6" s="9">
        <v>0</v>
      </c>
      <c r="F6" s="9">
        <v>0</v>
      </c>
      <c r="G6" s="5">
        <v>0</v>
      </c>
      <c r="H6" s="10" t="str">
        <f t="shared" ref="H6:H38" si="0">IF($D6&lt;&gt;0,"BANQUE",IF($E6&lt;&gt;0,"ESPECES","ECHEC"))</f>
        <v>BANQUE</v>
      </c>
      <c r="I6" s="10">
        <v>61000</v>
      </c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>
        <v>0</v>
      </c>
      <c r="Q6" s="2">
        <v>0</v>
      </c>
      <c r="R6" s="2">
        <v>0</v>
      </c>
      <c r="S6" s="20"/>
      <c r="T6" s="12"/>
      <c r="U6" s="17">
        <f>G6+S6++R6+P6+O6+M6+I6+K6+Q6+V6+W6</f>
        <v>236000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2082500</v>
      </c>
      <c r="BA6" s="58"/>
      <c r="BB6" s="58"/>
      <c r="BC6" s="15"/>
      <c r="BD6" s="57">
        <f>IF(AZ6=0,(AZ6-BA6-BC6),(AZ6-BA6-BB6-BC6))</f>
        <v>2082500</v>
      </c>
      <c r="BE6" s="82"/>
      <c r="BF6" s="29">
        <f t="shared" ref="BF6:BF38" si="5">Z6*1/100*BG6</f>
        <v>0</v>
      </c>
      <c r="BG6" s="29">
        <v>11</v>
      </c>
      <c r="BH6" s="15">
        <f>BQ16</f>
        <v>0</v>
      </c>
      <c r="BI6" s="15">
        <f>BQ28</f>
        <v>0</v>
      </c>
      <c r="BJ6" s="15">
        <f>BQ33</f>
        <v>0</v>
      </c>
      <c r="BK6" s="15"/>
      <c r="BL6" s="15"/>
      <c r="BM6" s="15"/>
      <c r="BN6" s="15">
        <f>+BQ22</f>
        <v>0</v>
      </c>
      <c r="BO6" t="s">
        <v>115</v>
      </c>
      <c r="BP6" t="s">
        <v>114</v>
      </c>
      <c r="BQ6" s="6"/>
      <c r="BR6" s="9">
        <v>-175000</v>
      </c>
      <c r="BS6" s="9">
        <f>IF(BR6&gt;0,BR6,0)</f>
        <v>0</v>
      </c>
    </row>
    <row r="7" spans="1:71" ht="18.5" x14ac:dyDescent="0.45">
      <c r="A7" s="1" t="s">
        <v>161</v>
      </c>
      <c r="B7" s="1">
        <v>50000</v>
      </c>
      <c r="C7" s="5">
        <f t="shared" ref="C7:C38" si="6">D7+E7+F7-U7-BB7</f>
        <v>0</v>
      </c>
      <c r="D7" s="9">
        <v>0</v>
      </c>
      <c r="E7" s="9">
        <v>50000</v>
      </c>
      <c r="F7" s="9">
        <v>0</v>
      </c>
      <c r="G7" s="5">
        <v>0</v>
      </c>
      <c r="H7" s="10" t="str">
        <f t="shared" si="0"/>
        <v>ESPECES</v>
      </c>
      <c r="I7" s="10"/>
      <c r="J7" s="11">
        <v>1</v>
      </c>
      <c r="K7" s="11">
        <f t="shared" ref="K7:K38" si="7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v>0</v>
      </c>
      <c r="Q7" s="2">
        <v>0</v>
      </c>
      <c r="R7" s="2">
        <v>0</v>
      </c>
      <c r="S7" s="20"/>
      <c r="T7" s="12"/>
      <c r="U7" s="17">
        <f t="shared" ref="U7:U38" si="8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 t="shared" ref="AZ7:AZ38" si="13">SUM(AV7:AY7)-BF7+Z7-F7+BH7+BI7+BJ7+BK7+BL7+BM7</f>
        <v>0</v>
      </c>
      <c r="BA7" s="58"/>
      <c r="BB7" s="58"/>
      <c r="BC7" s="15"/>
      <c r="BD7" s="57">
        <f t="shared" ref="BD7:BD38" si="14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s="15"/>
      <c r="BO7" t="s">
        <v>116</v>
      </c>
      <c r="BP7" t="s">
        <v>114</v>
      </c>
      <c r="BQ7" s="6"/>
      <c r="BR7" s="9">
        <v>0</v>
      </c>
      <c r="BS7" s="9">
        <f t="shared" ref="BS7:BS38" si="15">IF(BR7&gt;0,BR7,0)</f>
        <v>0</v>
      </c>
    </row>
    <row r="8" spans="1:71" ht="18.5" x14ac:dyDescent="0.45">
      <c r="A8" s="1" t="s">
        <v>12</v>
      </c>
      <c r="B8" s="1">
        <v>125000</v>
      </c>
      <c r="C8" s="5">
        <f t="shared" si="6"/>
        <v>0</v>
      </c>
      <c r="D8" s="9">
        <v>125000</v>
      </c>
      <c r="E8" s="9">
        <v>500000</v>
      </c>
      <c r="F8" s="9">
        <v>0</v>
      </c>
      <c r="G8" s="5">
        <v>0</v>
      </c>
      <c r="H8" s="10" t="str">
        <f t="shared" si="0"/>
        <v>BANQUE</v>
      </c>
      <c r="I8" s="10"/>
      <c r="J8" s="11">
        <v>1</v>
      </c>
      <c r="K8" s="11">
        <f t="shared" si="7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v>0</v>
      </c>
      <c r="Q8" s="2">
        <v>0</v>
      </c>
      <c r="R8" s="2">
        <v>0</v>
      </c>
      <c r="S8" s="20">
        <v>500000</v>
      </c>
      <c r="T8" s="12"/>
      <c r="U8" s="17">
        <f t="shared" si="8"/>
        <v>625000</v>
      </c>
      <c r="V8" s="12"/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440000</v>
      </c>
      <c r="BA8" s="58"/>
      <c r="BB8" s="58"/>
      <c r="BC8" s="15"/>
      <c r="BD8" s="57">
        <f t="shared" si="14"/>
        <v>440000</v>
      </c>
      <c r="BE8" s="82"/>
      <c r="BF8" s="29">
        <f t="shared" si="5"/>
        <v>60000</v>
      </c>
      <c r="BG8" s="29">
        <v>12</v>
      </c>
      <c r="BH8" s="15"/>
      <c r="BI8" s="15"/>
      <c r="BJ8" s="15"/>
      <c r="BK8" s="15"/>
      <c r="BL8" s="61"/>
      <c r="BO8" t="s">
        <v>117</v>
      </c>
      <c r="BP8" t="s">
        <v>114</v>
      </c>
      <c r="BQ8" s="6"/>
      <c r="BR8" s="9">
        <v>0</v>
      </c>
      <c r="BS8" s="9">
        <f t="shared" si="15"/>
        <v>0</v>
      </c>
    </row>
    <row r="9" spans="1:71" ht="18.5" x14ac:dyDescent="0.45">
      <c r="A9" s="1" t="s">
        <v>13</v>
      </c>
      <c r="B9" s="1">
        <v>250000</v>
      </c>
      <c r="C9" s="5">
        <f>D9+E9+F9-U9-BB9+1000</f>
        <v>500000</v>
      </c>
      <c r="D9" s="9">
        <v>250000</v>
      </c>
      <c r="E9" s="9">
        <v>1600000</v>
      </c>
      <c r="F9" s="9">
        <v>0</v>
      </c>
      <c r="G9" s="5">
        <v>0</v>
      </c>
      <c r="H9" s="10" t="str">
        <f t="shared" si="0"/>
        <v>BANQUE</v>
      </c>
      <c r="I9" s="10"/>
      <c r="J9" s="11">
        <v>1</v>
      </c>
      <c r="K9" s="11">
        <f t="shared" si="7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v>0</v>
      </c>
      <c r="Q9" s="2">
        <v>0</v>
      </c>
      <c r="R9" s="2">
        <v>101000</v>
      </c>
      <c r="S9" s="20">
        <v>1000000</v>
      </c>
      <c r="T9" s="12"/>
      <c r="U9" s="17">
        <f t="shared" si="8"/>
        <v>1351000</v>
      </c>
      <c r="V9" s="12"/>
      <c r="W9" s="12"/>
      <c r="X9" s="12"/>
      <c r="Y9" s="12"/>
      <c r="Z9" s="12">
        <v>1000000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880000</v>
      </c>
      <c r="BA9" s="58"/>
      <c r="BB9" s="58"/>
      <c r="BC9" s="15"/>
      <c r="BD9" s="57">
        <f t="shared" si="14"/>
        <v>880000</v>
      </c>
      <c r="BE9" s="82"/>
      <c r="BF9" s="29">
        <f t="shared" si="5"/>
        <v>120000</v>
      </c>
      <c r="BG9" s="29">
        <v>12</v>
      </c>
      <c r="BH9" s="15"/>
      <c r="BI9" s="15"/>
      <c r="BJ9" s="15"/>
      <c r="BK9" s="15"/>
      <c r="BL9" s="61"/>
      <c r="BO9" t="s">
        <v>196</v>
      </c>
      <c r="BP9" t="s">
        <v>114</v>
      </c>
      <c r="BQ9" s="6"/>
      <c r="BR9" s="9">
        <v>0</v>
      </c>
      <c r="BS9" s="9">
        <f t="shared" si="15"/>
        <v>0</v>
      </c>
    </row>
    <row r="10" spans="1:71" ht="18.5" x14ac:dyDescent="0.45">
      <c r="A10" s="1" t="s">
        <v>14</v>
      </c>
      <c r="B10" s="1">
        <v>50000</v>
      </c>
      <c r="C10" s="5">
        <f t="shared" si="6"/>
        <v>-11000</v>
      </c>
      <c r="D10" s="9">
        <v>0</v>
      </c>
      <c r="E10" s="9">
        <v>1307000</v>
      </c>
      <c r="F10" s="9">
        <v>0</v>
      </c>
      <c r="G10" s="5">
        <v>0</v>
      </c>
      <c r="H10" s="10" t="str">
        <f t="shared" si="0"/>
        <v>ESPECES</v>
      </c>
      <c r="I10" s="10"/>
      <c r="J10" s="11">
        <v>1</v>
      </c>
      <c r="K10" s="11">
        <f t="shared" si="7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v>61000</v>
      </c>
      <c r="Q10" s="2">
        <v>132000</v>
      </c>
      <c r="R10" s="2">
        <v>0</v>
      </c>
      <c r="S10" s="20">
        <v>1000000</v>
      </c>
      <c r="T10" s="12"/>
      <c r="U10" s="17">
        <f t="shared" si="8"/>
        <v>1318000</v>
      </c>
      <c r="V10" s="12"/>
      <c r="W10" s="12"/>
      <c r="X10" s="12"/>
      <c r="Y10" s="12"/>
      <c r="Z10" s="12">
        <v>1000000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880000</v>
      </c>
      <c r="BA10" s="58"/>
      <c r="BB10" s="58"/>
      <c r="BC10" s="15"/>
      <c r="BD10" s="57">
        <f t="shared" si="14"/>
        <v>880000</v>
      </c>
      <c r="BE10" s="82"/>
      <c r="BF10" s="29">
        <f t="shared" si="5"/>
        <v>120000</v>
      </c>
      <c r="BG10" s="29">
        <v>12</v>
      </c>
      <c r="BH10" s="15"/>
      <c r="BI10" s="15"/>
      <c r="BJ10" s="15"/>
      <c r="BK10" s="15"/>
      <c r="BL10" s="61"/>
      <c r="BO10" t="s">
        <v>118</v>
      </c>
      <c r="BP10" t="s">
        <v>114</v>
      </c>
      <c r="BQ10" s="6"/>
      <c r="BR10" s="9">
        <v>0</v>
      </c>
      <c r="BS10" s="9">
        <f t="shared" si="15"/>
        <v>0</v>
      </c>
    </row>
    <row r="11" spans="1:71" ht="17" customHeight="1" x14ac:dyDescent="0.45">
      <c r="A11" s="1" t="s">
        <v>15</v>
      </c>
      <c r="B11" s="1">
        <v>125000</v>
      </c>
      <c r="C11" s="5">
        <f t="shared" si="6"/>
        <v>0</v>
      </c>
      <c r="D11" s="9">
        <v>0</v>
      </c>
      <c r="E11" s="9">
        <v>228000</v>
      </c>
      <c r="F11" s="9">
        <v>0</v>
      </c>
      <c r="G11" s="5">
        <v>0</v>
      </c>
      <c r="H11" s="10" t="str">
        <f t="shared" si="0"/>
        <v>ESPECES</v>
      </c>
      <c r="I11" s="10"/>
      <c r="J11" s="11">
        <v>1</v>
      </c>
      <c r="K11" s="11">
        <f t="shared" si="7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v>0</v>
      </c>
      <c r="Q11" s="2">
        <v>103000</v>
      </c>
      <c r="R11" s="2">
        <v>0</v>
      </c>
      <c r="S11" s="20"/>
      <c r="T11" s="12"/>
      <c r="U11" s="17">
        <f t="shared" si="8"/>
        <v>228000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3"/>
        <v>0</v>
      </c>
      <c r="BA11" s="58"/>
      <c r="BB11" s="58"/>
      <c r="BC11" s="15"/>
      <c r="BD11" s="57">
        <f t="shared" si="14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O11" t="s">
        <v>119</v>
      </c>
      <c r="BP11" t="s">
        <v>114</v>
      </c>
      <c r="BQ11" s="6"/>
      <c r="BR11" s="9">
        <v>0</v>
      </c>
      <c r="BS11" s="9">
        <f t="shared" si="15"/>
        <v>0</v>
      </c>
    </row>
    <row r="12" spans="1:71" ht="18.5" x14ac:dyDescent="0.45">
      <c r="A12" s="1" t="s">
        <v>16</v>
      </c>
      <c r="B12" s="1">
        <v>250000</v>
      </c>
      <c r="C12" s="5">
        <f t="shared" si="6"/>
        <v>0</v>
      </c>
      <c r="D12" s="9">
        <v>400000</v>
      </c>
      <c r="E12" s="9">
        <v>637500</v>
      </c>
      <c r="F12" s="9">
        <v>0</v>
      </c>
      <c r="G12" s="5"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7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v>61000</v>
      </c>
      <c r="Q12" s="2">
        <v>101500</v>
      </c>
      <c r="R12" s="2">
        <v>505000</v>
      </c>
      <c r="S12" s="20">
        <v>40000</v>
      </c>
      <c r="T12" s="12"/>
      <c r="U12" s="17">
        <f t="shared" si="8"/>
        <v>1037500</v>
      </c>
      <c r="V12" s="12"/>
      <c r="W12" s="12"/>
      <c r="X12" s="12"/>
      <c r="Y12" s="12"/>
      <c r="Z12" s="12">
        <v>1000000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940000</v>
      </c>
      <c r="BA12" s="58"/>
      <c r="BB12" s="58"/>
      <c r="BC12" s="15"/>
      <c r="BD12" s="57">
        <f t="shared" si="14"/>
        <v>940000</v>
      </c>
      <c r="BE12" s="82"/>
      <c r="BF12" s="29">
        <f t="shared" si="5"/>
        <v>60000</v>
      </c>
      <c r="BG12" s="29">
        <v>6</v>
      </c>
      <c r="BH12" s="15"/>
      <c r="BI12" s="15"/>
      <c r="BJ12" s="15"/>
      <c r="BK12" s="15"/>
      <c r="BL12" s="61"/>
      <c r="BO12" t="s">
        <v>120</v>
      </c>
      <c r="BP12" t="s">
        <v>114</v>
      </c>
      <c r="BQ12" s="6"/>
      <c r="BR12" s="9">
        <v>0</v>
      </c>
      <c r="BS12" s="9">
        <f t="shared" si="15"/>
        <v>0</v>
      </c>
    </row>
    <row r="13" spans="1:71" ht="18.5" x14ac:dyDescent="0.45">
      <c r="A13" s="1" t="s">
        <v>17</v>
      </c>
      <c r="B13" s="1">
        <v>50000</v>
      </c>
      <c r="C13" s="5">
        <f t="shared" si="6"/>
        <v>0</v>
      </c>
      <c r="D13" s="9">
        <v>1050000</v>
      </c>
      <c r="E13" s="9">
        <v>0</v>
      </c>
      <c r="F13" s="9">
        <v>0</v>
      </c>
      <c r="G13" s="5">
        <v>0</v>
      </c>
      <c r="H13" s="10" t="str">
        <f t="shared" si="0"/>
        <v>BANQUE</v>
      </c>
      <c r="I13" s="10"/>
      <c r="J13" s="11">
        <v>1</v>
      </c>
      <c r="K13" s="11">
        <f t="shared" si="7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v>0</v>
      </c>
      <c r="Q13" s="2">
        <v>0</v>
      </c>
      <c r="R13" s="2">
        <v>0</v>
      </c>
      <c r="S13" s="20">
        <v>1000000</v>
      </c>
      <c r="T13" s="12"/>
      <c r="U13" s="17">
        <f t="shared" si="8"/>
        <v>1050000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O13" t="s">
        <v>145</v>
      </c>
      <c r="BP13" t="s">
        <v>114</v>
      </c>
      <c r="BQ13" s="6"/>
      <c r="BR13" s="9">
        <v>1000000</v>
      </c>
      <c r="BS13" s="9">
        <f t="shared" si="15"/>
        <v>1000000</v>
      </c>
    </row>
    <row r="14" spans="1:71" ht="18.5" x14ac:dyDescent="0.45">
      <c r="A14" s="1" t="s">
        <v>18</v>
      </c>
      <c r="B14" s="1">
        <v>50000</v>
      </c>
      <c r="C14" s="5">
        <f t="shared" si="6"/>
        <v>0</v>
      </c>
      <c r="D14" s="9">
        <v>50000</v>
      </c>
      <c r="E14" s="9">
        <v>0</v>
      </c>
      <c r="F14" s="9">
        <v>0</v>
      </c>
      <c r="G14" s="5">
        <v>0</v>
      </c>
      <c r="H14" s="10" t="str">
        <f t="shared" si="0"/>
        <v>BANQUE</v>
      </c>
      <c r="I14" s="10"/>
      <c r="J14" s="11">
        <v>1</v>
      </c>
      <c r="K14" s="11">
        <f t="shared" si="7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v>0</v>
      </c>
      <c r="Q14" s="2">
        <v>0</v>
      </c>
      <c r="R14" s="2">
        <v>0</v>
      </c>
      <c r="S14" s="20"/>
      <c r="T14" s="12"/>
      <c r="U14" s="17">
        <f t="shared" si="8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O14" t="s">
        <v>210</v>
      </c>
      <c r="BP14" t="s">
        <v>114</v>
      </c>
      <c r="BQ14" s="6"/>
      <c r="BR14" s="9">
        <v>0</v>
      </c>
      <c r="BS14" s="9">
        <f t="shared" si="15"/>
        <v>0</v>
      </c>
    </row>
    <row r="15" spans="1:71" ht="18.5" x14ac:dyDescent="0.45">
      <c r="A15" s="1" t="s">
        <v>20</v>
      </c>
      <c r="B15" s="1">
        <v>125000</v>
      </c>
      <c r="C15" s="5">
        <f t="shared" si="6"/>
        <v>0</v>
      </c>
      <c r="D15" s="9">
        <v>0</v>
      </c>
      <c r="E15" s="9">
        <v>125000</v>
      </c>
      <c r="F15" s="9">
        <v>0</v>
      </c>
      <c r="G15" s="5">
        <v>0</v>
      </c>
      <c r="H15" s="10" t="str">
        <f t="shared" si="0"/>
        <v>ESPECES</v>
      </c>
      <c r="I15" s="10"/>
      <c r="J15" s="11">
        <v>1</v>
      </c>
      <c r="K15" s="11">
        <f t="shared" si="7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v>0</v>
      </c>
      <c r="Q15" s="2">
        <v>0</v>
      </c>
      <c r="R15" s="2">
        <v>0</v>
      </c>
      <c r="S15" s="20"/>
      <c r="T15" s="12"/>
      <c r="U15" s="17">
        <f t="shared" si="8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Q15" s="6"/>
      <c r="BR15" s="9">
        <v>0</v>
      </c>
      <c r="BS15" s="9">
        <f t="shared" si="15"/>
        <v>0</v>
      </c>
    </row>
    <row r="16" spans="1:71" ht="18.5" x14ac:dyDescent="0.45">
      <c r="A16" s="1" t="s">
        <v>21</v>
      </c>
      <c r="B16" s="1">
        <v>250000</v>
      </c>
      <c r="C16" s="5">
        <f t="shared" si="6"/>
        <v>-530000</v>
      </c>
      <c r="D16" s="9">
        <v>952000</v>
      </c>
      <c r="E16" s="9">
        <v>202000</v>
      </c>
      <c r="F16" s="9">
        <v>0</v>
      </c>
      <c r="G16" s="5">
        <v>0</v>
      </c>
      <c r="H16" s="10" t="str">
        <f t="shared" si="0"/>
        <v>BANQUE</v>
      </c>
      <c r="I16" s="10">
        <f>15000+40000</f>
        <v>55000</v>
      </c>
      <c r="J16" s="11">
        <v>1</v>
      </c>
      <c r="K16" s="11">
        <f t="shared" si="7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v>0</v>
      </c>
      <c r="Q16" s="2">
        <v>202000</v>
      </c>
      <c r="R16" s="2">
        <v>202000</v>
      </c>
      <c r="S16" s="20">
        <v>1000000</v>
      </c>
      <c r="T16" s="12"/>
      <c r="U16" s="17">
        <f t="shared" si="8"/>
        <v>1684000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9"/>
        <v>80000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O16" s="62" t="s">
        <v>142</v>
      </c>
      <c r="BQ16" s="62">
        <f>SUM(BQ6:BQ15)</f>
        <v>0</v>
      </c>
      <c r="BR16" s="9">
        <v>0</v>
      </c>
      <c r="BS16" s="9">
        <f t="shared" si="15"/>
        <v>0</v>
      </c>
    </row>
    <row r="17" spans="1:71" ht="18.5" x14ac:dyDescent="0.45">
      <c r="A17" s="1" t="s">
        <v>22</v>
      </c>
      <c r="B17" s="1">
        <v>150000</v>
      </c>
      <c r="C17" s="5">
        <f t="shared" si="6"/>
        <v>-170000</v>
      </c>
      <c r="D17" s="9">
        <v>260000</v>
      </c>
      <c r="E17" s="9">
        <v>0</v>
      </c>
      <c r="F17" s="9">
        <v>0</v>
      </c>
      <c r="G17" s="5">
        <v>0</v>
      </c>
      <c r="H17" s="10" t="str">
        <f t="shared" si="0"/>
        <v>BANQUE</v>
      </c>
      <c r="I17" s="10">
        <v>5500</v>
      </c>
      <c r="J17" s="11">
        <v>1</v>
      </c>
      <c r="K17" s="11">
        <f t="shared" si="7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v>0</v>
      </c>
      <c r="Q17" s="2">
        <v>0</v>
      </c>
      <c r="R17" s="2">
        <v>104500</v>
      </c>
      <c r="S17" s="20">
        <v>170000</v>
      </c>
      <c r="T17" s="12"/>
      <c r="U17" s="17">
        <f t="shared" si="8"/>
        <v>430000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9"/>
        <v>30500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O17" s="62"/>
      <c r="BQ17" s="6"/>
      <c r="BR17" s="9">
        <v>110000</v>
      </c>
      <c r="BS17" s="9">
        <f t="shared" si="15"/>
        <v>110000</v>
      </c>
    </row>
    <row r="18" spans="1:71" ht="18.5" x14ac:dyDescent="0.45">
      <c r="A18" s="1" t="s">
        <v>23</v>
      </c>
      <c r="B18" s="1">
        <v>150000</v>
      </c>
      <c r="C18" s="5">
        <f t="shared" si="6"/>
        <v>0</v>
      </c>
      <c r="D18" s="9">
        <v>611000</v>
      </c>
      <c r="E18" s="9">
        <v>0</v>
      </c>
      <c r="F18" s="9">
        <v>0</v>
      </c>
      <c r="G18" s="5"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7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v>0</v>
      </c>
      <c r="Q18" s="2">
        <v>0</v>
      </c>
      <c r="R18" s="2">
        <v>101000</v>
      </c>
      <c r="S18" s="20">
        <v>350000</v>
      </c>
      <c r="T18" s="12"/>
      <c r="U18" s="17">
        <f t="shared" si="8"/>
        <v>611000</v>
      </c>
      <c r="V18" s="12"/>
      <c r="W18" s="12"/>
      <c r="X18" s="12"/>
      <c r="Y18" s="12"/>
      <c r="Z18" s="12">
        <v>1000000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9"/>
        <v>35000</v>
      </c>
      <c r="AT18" s="15"/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880000</v>
      </c>
      <c r="BA18" s="58"/>
      <c r="BB18" s="58"/>
      <c r="BC18" s="15"/>
      <c r="BD18" s="57">
        <f t="shared" si="14"/>
        <v>880000</v>
      </c>
      <c r="BE18" s="82"/>
      <c r="BF18" s="29">
        <f t="shared" si="5"/>
        <v>120000</v>
      </c>
      <c r="BG18" s="29">
        <v>12</v>
      </c>
      <c r="BH18" s="15"/>
      <c r="BI18" s="15"/>
      <c r="BJ18" s="15"/>
      <c r="BK18" s="15"/>
      <c r="BL18" s="61"/>
      <c r="BO18" t="s">
        <v>212</v>
      </c>
      <c r="BP18" t="s">
        <v>211</v>
      </c>
      <c r="BQ18" s="6"/>
      <c r="BR18" s="9">
        <v>461000</v>
      </c>
      <c r="BS18" s="9">
        <f t="shared" si="15"/>
        <v>461000</v>
      </c>
    </row>
    <row r="19" spans="1:71" ht="18.5" x14ac:dyDescent="0.45">
      <c r="A19" s="1" t="s">
        <v>195</v>
      </c>
      <c r="B19" s="1">
        <v>50000</v>
      </c>
      <c r="C19" s="5">
        <f t="shared" si="6"/>
        <v>-297500</v>
      </c>
      <c r="D19" s="9">
        <v>50000</v>
      </c>
      <c r="E19" s="9">
        <v>0</v>
      </c>
      <c r="F19" s="9">
        <v>0</v>
      </c>
      <c r="G19" s="5">
        <v>0</v>
      </c>
      <c r="H19" s="10" t="str">
        <f t="shared" si="0"/>
        <v>BANQUE</v>
      </c>
      <c r="I19" s="10">
        <v>297500</v>
      </c>
      <c r="J19" s="11">
        <v>1</v>
      </c>
      <c r="K19" s="11">
        <f t="shared" si="7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v>0</v>
      </c>
      <c r="Q19" s="2">
        <v>0</v>
      </c>
      <c r="R19" s="2">
        <v>0</v>
      </c>
      <c r="S19" s="20"/>
      <c r="T19" s="12"/>
      <c r="U19" s="17">
        <f>G19+S19++R19+P19+O19+M19+I19+K19+Q19+V19+W19</f>
        <v>347500</v>
      </c>
      <c r="V19" s="12"/>
      <c r="W19" s="12"/>
      <c r="X19" s="12"/>
      <c r="Y19" s="12"/>
      <c r="Z19" s="12"/>
      <c r="AA19" s="12"/>
      <c r="AB19" s="12"/>
      <c r="AC19" s="12">
        <v>2500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9"/>
        <v>322500</v>
      </c>
      <c r="AT19" s="15"/>
      <c r="AV19" s="15"/>
      <c r="AW19" s="15">
        <f t="shared" si="10"/>
        <v>297500</v>
      </c>
      <c r="AX19" s="15">
        <f t="shared" si="11"/>
        <v>0</v>
      </c>
      <c r="AY19" s="15">
        <f t="shared" si="12"/>
        <v>0</v>
      </c>
      <c r="AZ19" s="16">
        <f t="shared" si="13"/>
        <v>297500</v>
      </c>
      <c r="BA19" s="58"/>
      <c r="BB19" s="58"/>
      <c r="BC19" s="15"/>
      <c r="BD19" s="57">
        <f t="shared" si="14"/>
        <v>297500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Q19" s="6"/>
      <c r="BR19" s="9">
        <v>0</v>
      </c>
      <c r="BS19" s="9">
        <f t="shared" si="15"/>
        <v>0</v>
      </c>
    </row>
    <row r="20" spans="1:71" ht="18.5" x14ac:dyDescent="0.45">
      <c r="A20" s="1" t="s">
        <v>25</v>
      </c>
      <c r="B20" s="1">
        <v>225000</v>
      </c>
      <c r="C20" s="5">
        <f t="shared" si="6"/>
        <v>0</v>
      </c>
      <c r="D20" s="9">
        <v>225000</v>
      </c>
      <c r="E20" s="9">
        <v>1536000</v>
      </c>
      <c r="F20" s="9">
        <v>0</v>
      </c>
      <c r="G20" s="5">
        <v>0</v>
      </c>
      <c r="H20" s="10" t="str">
        <f t="shared" si="0"/>
        <v>BANQUE</v>
      </c>
      <c r="I20" s="10"/>
      <c r="J20" s="11">
        <v>1</v>
      </c>
      <c r="K20" s="11">
        <f t="shared" si="7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v>132000</v>
      </c>
      <c r="Q20" s="2">
        <v>202000</v>
      </c>
      <c r="R20" s="2">
        <v>202000</v>
      </c>
      <c r="S20" s="20">
        <v>1000000</v>
      </c>
      <c r="T20" s="12"/>
      <c r="U20" s="17">
        <f t="shared" si="8"/>
        <v>1761000</v>
      </c>
      <c r="V20" s="12"/>
      <c r="W20" s="12"/>
      <c r="X20" s="12"/>
      <c r="Y20" s="12"/>
      <c r="Z20" s="12">
        <v>1000000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3"/>
        <v>970000</v>
      </c>
      <c r="BA20" s="58"/>
      <c r="BB20" s="58"/>
      <c r="BC20" s="15"/>
      <c r="BD20" s="57">
        <f t="shared" si="14"/>
        <v>970000</v>
      </c>
      <c r="BE20" s="82"/>
      <c r="BF20" s="29">
        <f t="shared" si="5"/>
        <v>30000</v>
      </c>
      <c r="BG20" s="29">
        <v>3</v>
      </c>
      <c r="BH20" s="15"/>
      <c r="BI20" s="15"/>
      <c r="BJ20" s="15"/>
      <c r="BK20" s="15"/>
      <c r="BL20" s="61"/>
      <c r="BQ20" s="6"/>
      <c r="BR20" s="9">
        <v>0</v>
      </c>
      <c r="BS20" s="9">
        <f t="shared" si="15"/>
        <v>0</v>
      </c>
    </row>
    <row r="21" spans="1:71" ht="18.5" x14ac:dyDescent="0.45">
      <c r="A21" s="1" t="s">
        <v>26</v>
      </c>
      <c r="B21" s="1">
        <v>50000</v>
      </c>
      <c r="C21" s="5">
        <f t="shared" si="6"/>
        <v>-283500</v>
      </c>
      <c r="D21" s="9">
        <v>0</v>
      </c>
      <c r="E21" s="9">
        <v>66500</v>
      </c>
      <c r="F21" s="9">
        <v>0</v>
      </c>
      <c r="G21" s="5">
        <v>0</v>
      </c>
      <c r="H21" s="10" t="str">
        <f t="shared" si="0"/>
        <v>ESPECES</v>
      </c>
      <c r="I21" s="10"/>
      <c r="J21" s="11">
        <v>1</v>
      </c>
      <c r="K21" s="11">
        <f t="shared" si="7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v>0</v>
      </c>
      <c r="Q21" s="2">
        <v>0</v>
      </c>
      <c r="R21" s="2">
        <v>0</v>
      </c>
      <c r="S21" s="20">
        <f>296500+3500</f>
        <v>300000</v>
      </c>
      <c r="T21" s="12"/>
      <c r="U21" s="17">
        <f t="shared" si="8"/>
        <v>350000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 t="shared" si="14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Q21" s="6"/>
      <c r="BR21" s="9">
        <v>0</v>
      </c>
      <c r="BS21" s="9">
        <f t="shared" si="15"/>
        <v>0</v>
      </c>
    </row>
    <row r="22" spans="1:71" ht="18.5" x14ac:dyDescent="0.45">
      <c r="A22" s="1" t="s">
        <v>27</v>
      </c>
      <c r="B22" s="1">
        <v>125000</v>
      </c>
      <c r="C22" s="5">
        <f t="shared" si="6"/>
        <v>-107500</v>
      </c>
      <c r="D22" s="9">
        <v>125000</v>
      </c>
      <c r="E22" s="9">
        <v>0</v>
      </c>
      <c r="F22" s="9">
        <v>0</v>
      </c>
      <c r="G22" s="5">
        <v>0</v>
      </c>
      <c r="H22" s="10" t="str">
        <f t="shared" si="0"/>
        <v>BANQUE</v>
      </c>
      <c r="I22" s="10"/>
      <c r="J22" s="11">
        <v>1</v>
      </c>
      <c r="K22" s="11">
        <f t="shared" si="7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v>0</v>
      </c>
      <c r="Q22" s="2">
        <v>0</v>
      </c>
      <c r="R22" s="2">
        <v>0</v>
      </c>
      <c r="S22" s="20">
        <v>107500</v>
      </c>
      <c r="T22" s="12"/>
      <c r="U22" s="17">
        <f t="shared" si="8"/>
        <v>232500</v>
      </c>
      <c r="V22" s="12"/>
      <c r="W22" s="12"/>
      <c r="X22" s="12"/>
      <c r="Y22" s="12"/>
      <c r="Z22" s="12">
        <v>900000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792000</v>
      </c>
      <c r="BA22" s="58"/>
      <c r="BB22" s="58"/>
      <c r="BC22" s="15"/>
      <c r="BD22" s="57">
        <f t="shared" si="14"/>
        <v>792000</v>
      </c>
      <c r="BE22" s="82"/>
      <c r="BF22" s="29">
        <f t="shared" si="5"/>
        <v>108000</v>
      </c>
      <c r="BG22" s="29">
        <v>12</v>
      </c>
      <c r="BH22" s="15"/>
      <c r="BI22" s="15"/>
      <c r="BJ22" s="15"/>
      <c r="BK22" s="15"/>
      <c r="BL22" s="61"/>
      <c r="BO22" s="62" t="s">
        <v>142</v>
      </c>
      <c r="BQ22" s="62">
        <f>SUM(BQ18:BQ21)</f>
        <v>0</v>
      </c>
      <c r="BR22" s="9">
        <v>0</v>
      </c>
      <c r="BS22" s="9">
        <f t="shared" si="15"/>
        <v>0</v>
      </c>
    </row>
    <row r="23" spans="1:71" ht="18.5" x14ac:dyDescent="0.45">
      <c r="A23" s="1" t="s">
        <v>28</v>
      </c>
      <c r="B23" s="1">
        <v>250000</v>
      </c>
      <c r="C23" s="5">
        <f t="shared" si="6"/>
        <v>0</v>
      </c>
      <c r="D23" s="9">
        <v>1164000</v>
      </c>
      <c r="E23" s="9">
        <v>0</v>
      </c>
      <c r="F23" s="9">
        <v>0</v>
      </c>
      <c r="G23" s="5"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7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v>0</v>
      </c>
      <c r="Q23" s="2">
        <v>0</v>
      </c>
      <c r="R23" s="2">
        <v>404000</v>
      </c>
      <c r="S23" s="20">
        <v>500000</v>
      </c>
      <c r="T23" s="12"/>
      <c r="U23" s="17">
        <f t="shared" si="8"/>
        <v>1164000</v>
      </c>
      <c r="V23" s="12"/>
      <c r="W23" s="12"/>
      <c r="X23" s="12"/>
      <c r="Y23" s="12"/>
      <c r="Z23" s="12">
        <v>500000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470000</v>
      </c>
      <c r="BA23" s="58"/>
      <c r="BB23" s="58"/>
      <c r="BC23" s="15"/>
      <c r="BD23" s="57">
        <f t="shared" si="14"/>
        <v>470000</v>
      </c>
      <c r="BE23" s="82"/>
      <c r="BF23" s="29">
        <f t="shared" si="5"/>
        <v>30000</v>
      </c>
      <c r="BG23" s="29">
        <v>6</v>
      </c>
      <c r="BH23" s="15"/>
      <c r="BI23" s="15"/>
      <c r="BJ23" s="15"/>
      <c r="BK23" s="15"/>
      <c r="BL23" s="61"/>
      <c r="BR23" s="9">
        <v>904000</v>
      </c>
      <c r="BS23" s="9">
        <f t="shared" si="15"/>
        <v>904000</v>
      </c>
    </row>
    <row r="24" spans="1:71" ht="18.5" x14ac:dyDescent="0.45">
      <c r="A24" s="1" t="s">
        <v>29</v>
      </c>
      <c r="B24" s="1">
        <v>225000</v>
      </c>
      <c r="C24" s="5">
        <f t="shared" si="6"/>
        <v>0</v>
      </c>
      <c r="D24" s="9">
        <v>442000</v>
      </c>
      <c r="E24" s="9">
        <v>500000</v>
      </c>
      <c r="F24" s="9">
        <v>0</v>
      </c>
      <c r="G24" s="5">
        <v>0</v>
      </c>
      <c r="H24" s="10" t="str">
        <f t="shared" si="0"/>
        <v>BANQUE</v>
      </c>
      <c r="I24" s="10">
        <v>13000</v>
      </c>
      <c r="J24" s="11">
        <v>1</v>
      </c>
      <c r="K24" s="11">
        <f t="shared" si="7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v>0</v>
      </c>
      <c r="Q24" s="2">
        <v>0</v>
      </c>
      <c r="R24" s="2">
        <v>204000</v>
      </c>
      <c r="S24" s="20">
        <v>500000</v>
      </c>
      <c r="T24" s="12"/>
      <c r="U24" s="17">
        <f t="shared" si="8"/>
        <v>942000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9"/>
        <v>38000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3"/>
        <v>0</v>
      </c>
      <c r="BA24" s="58"/>
      <c r="BB24" s="58"/>
      <c r="BC24" s="15"/>
      <c r="BD24" s="57">
        <f t="shared" si="14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O24" t="s">
        <v>148</v>
      </c>
      <c r="BP24" t="s">
        <v>143</v>
      </c>
      <c r="BQ24" s="6"/>
      <c r="BR24" s="9">
        <v>0</v>
      </c>
      <c r="BS24" s="9">
        <f t="shared" si="15"/>
        <v>0</v>
      </c>
    </row>
    <row r="25" spans="1:71" ht="18.5" x14ac:dyDescent="0.45">
      <c r="A25" s="1" t="s">
        <v>30</v>
      </c>
      <c r="B25" s="1">
        <v>250000</v>
      </c>
      <c r="C25" s="5">
        <f t="shared" si="6"/>
        <v>0</v>
      </c>
      <c r="D25" s="9">
        <v>375000</v>
      </c>
      <c r="E25" s="9">
        <v>0</v>
      </c>
      <c r="F25" s="9">
        <v>0</v>
      </c>
      <c r="G25" s="5">
        <v>0</v>
      </c>
      <c r="H25" s="10" t="str">
        <f t="shared" si="0"/>
        <v>BANQUE</v>
      </c>
      <c r="I25" s="10"/>
      <c r="J25" s="11">
        <v>1</v>
      </c>
      <c r="K25" s="11">
        <f t="shared" si="7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v>0</v>
      </c>
      <c r="Q25" s="2">
        <v>0</v>
      </c>
      <c r="R25" s="2">
        <v>0</v>
      </c>
      <c r="S25" s="20"/>
      <c r="T25" s="12"/>
      <c r="U25" s="17">
        <f t="shared" si="8"/>
        <v>375000</v>
      </c>
      <c r="V25" s="12"/>
      <c r="W25" s="12"/>
      <c r="X25" s="12"/>
      <c r="Y25" s="12"/>
      <c r="Z25" s="12">
        <v>1000000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880000</v>
      </c>
      <c r="BA25" s="58"/>
      <c r="BB25" s="58"/>
      <c r="BC25" s="15"/>
      <c r="BD25" s="57">
        <f t="shared" si="14"/>
        <v>880000</v>
      </c>
      <c r="BE25" s="82"/>
      <c r="BF25" s="29">
        <f t="shared" si="5"/>
        <v>120000</v>
      </c>
      <c r="BG25" s="29">
        <v>12</v>
      </c>
      <c r="BH25" s="15"/>
      <c r="BI25" s="15"/>
      <c r="BJ25" s="15"/>
      <c r="BK25" s="15"/>
      <c r="BL25" s="61"/>
      <c r="BO25" t="s">
        <v>125</v>
      </c>
      <c r="BP25" t="s">
        <v>143</v>
      </c>
      <c r="BR25" s="9">
        <v>0</v>
      </c>
      <c r="BS25" s="9">
        <f t="shared" si="15"/>
        <v>0</v>
      </c>
    </row>
    <row r="26" spans="1:71" ht="18.5" x14ac:dyDescent="0.45">
      <c r="A26" s="1" t="s">
        <v>31</v>
      </c>
      <c r="B26" s="1">
        <v>50000</v>
      </c>
      <c r="C26" s="5">
        <f t="shared" si="6"/>
        <v>0</v>
      </c>
      <c r="D26" s="9">
        <v>0</v>
      </c>
      <c r="E26" s="9">
        <v>1050000</v>
      </c>
      <c r="F26" s="9">
        <v>0</v>
      </c>
      <c r="G26" s="5">
        <v>0</v>
      </c>
      <c r="H26" s="10" t="str">
        <f t="shared" si="0"/>
        <v>ESPECES</v>
      </c>
      <c r="I26" s="10"/>
      <c r="J26" s="11">
        <v>1</v>
      </c>
      <c r="K26" s="11">
        <f t="shared" si="7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v>0</v>
      </c>
      <c r="Q26" s="2">
        <v>0</v>
      </c>
      <c r="R26" s="2">
        <v>0</v>
      </c>
      <c r="S26" s="20">
        <v>1000000</v>
      </c>
      <c r="T26" s="12"/>
      <c r="U26" s="17">
        <f t="shared" si="8"/>
        <v>1050000</v>
      </c>
      <c r="V26" s="12"/>
      <c r="W26" s="12"/>
      <c r="X26" s="12"/>
      <c r="Y26" s="12"/>
      <c r="Z26" s="12">
        <v>1000000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9"/>
        <v>25000</v>
      </c>
      <c r="AT26" s="15"/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970000</v>
      </c>
      <c r="BA26" s="58"/>
      <c r="BB26" s="58"/>
      <c r="BC26" s="15"/>
      <c r="BD26" s="57">
        <f t="shared" si="14"/>
        <v>970000</v>
      </c>
      <c r="BE26" s="82"/>
      <c r="BF26" s="29">
        <f t="shared" si="5"/>
        <v>30000</v>
      </c>
      <c r="BG26" s="29">
        <v>3</v>
      </c>
      <c r="BH26" s="15"/>
      <c r="BI26" s="15"/>
      <c r="BJ26" s="15"/>
      <c r="BK26" s="15"/>
      <c r="BL26" s="61"/>
      <c r="BO26" t="s">
        <v>144</v>
      </c>
      <c r="BP26" t="s">
        <v>143</v>
      </c>
      <c r="BQ26" s="62"/>
      <c r="BR26" s="9">
        <v>0</v>
      </c>
      <c r="BS26" s="9">
        <f t="shared" si="15"/>
        <v>0</v>
      </c>
    </row>
    <row r="27" spans="1:71" ht="18.5" x14ac:dyDescent="0.45">
      <c r="A27" s="1" t="s">
        <v>158</v>
      </c>
      <c r="B27" s="1">
        <v>50000</v>
      </c>
      <c r="C27" s="5">
        <f t="shared" si="6"/>
        <v>-50000</v>
      </c>
      <c r="D27" s="9">
        <v>50000</v>
      </c>
      <c r="E27" s="9">
        <v>0</v>
      </c>
      <c r="F27" s="9">
        <v>0</v>
      </c>
      <c r="G27" s="5">
        <v>0</v>
      </c>
      <c r="H27" s="10" t="str">
        <f t="shared" si="0"/>
        <v>BANQUE</v>
      </c>
      <c r="I27" s="10"/>
      <c r="J27" s="11">
        <v>1</v>
      </c>
      <c r="K27" s="11">
        <f t="shared" si="7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v>0</v>
      </c>
      <c r="Q27" s="2">
        <v>0</v>
      </c>
      <c r="R27" s="2">
        <v>0</v>
      </c>
      <c r="S27" s="20">
        <v>50000</v>
      </c>
      <c r="T27" s="12"/>
      <c r="U27" s="17">
        <f t="shared" si="8"/>
        <v>100000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Q27" s="6"/>
      <c r="BR27" s="9">
        <v>0</v>
      </c>
      <c r="BS27" s="9">
        <f t="shared" si="15"/>
        <v>0</v>
      </c>
    </row>
    <row r="28" spans="1:71" ht="18.5" x14ac:dyDescent="0.45">
      <c r="A28" s="1" t="s">
        <v>34</v>
      </c>
      <c r="B28" s="1">
        <v>125000</v>
      </c>
      <c r="C28" s="5">
        <f t="shared" si="6"/>
        <v>-27000</v>
      </c>
      <c r="D28" s="9">
        <v>125000</v>
      </c>
      <c r="E28" s="9">
        <v>0</v>
      </c>
      <c r="F28" s="9">
        <v>0</v>
      </c>
      <c r="G28" s="5">
        <v>0</v>
      </c>
      <c r="H28" s="10" t="str">
        <f t="shared" si="0"/>
        <v>BANQUE</v>
      </c>
      <c r="I28" s="10">
        <v>27000</v>
      </c>
      <c r="J28" s="11">
        <v>1</v>
      </c>
      <c r="K28" s="11">
        <f t="shared" si="7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v>0</v>
      </c>
      <c r="Q28" s="2">
        <v>0</v>
      </c>
      <c r="R28" s="2">
        <v>0</v>
      </c>
      <c r="S28" s="20"/>
      <c r="T28" s="12"/>
      <c r="U28" s="17">
        <f t="shared" si="8"/>
        <v>152000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9"/>
        <v>52000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O28" s="62" t="s">
        <v>142</v>
      </c>
      <c r="BQ28" s="62">
        <f>SUM(BQ24:BQ26)</f>
        <v>0</v>
      </c>
      <c r="BR28" s="9">
        <v>0</v>
      </c>
      <c r="BS28" s="9">
        <f t="shared" si="15"/>
        <v>0</v>
      </c>
    </row>
    <row r="29" spans="1:71" ht="18.5" x14ac:dyDescent="0.45">
      <c r="A29" s="1" t="s">
        <v>159</v>
      </c>
      <c r="B29" s="1">
        <v>50000</v>
      </c>
      <c r="C29" s="5">
        <f t="shared" si="6"/>
        <v>0</v>
      </c>
      <c r="D29" s="9">
        <v>110000</v>
      </c>
      <c r="E29" s="9">
        <v>0</v>
      </c>
      <c r="F29" s="9">
        <v>0</v>
      </c>
      <c r="G29" s="5">
        <v>0</v>
      </c>
      <c r="H29" s="10" t="str">
        <f t="shared" si="0"/>
        <v>BANQUE</v>
      </c>
      <c r="I29" s="10">
        <v>-1000</v>
      </c>
      <c r="J29" s="11">
        <v>1</v>
      </c>
      <c r="K29" s="11">
        <f t="shared" si="7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v>61000</v>
      </c>
      <c r="Q29" s="2">
        <v>0</v>
      </c>
      <c r="R29" s="2">
        <v>0</v>
      </c>
      <c r="S29" s="20"/>
      <c r="T29" s="12"/>
      <c r="U29" s="17">
        <f t="shared" si="8"/>
        <v>110000</v>
      </c>
      <c r="V29" s="12"/>
      <c r="W29" s="12"/>
      <c r="X29" s="12"/>
      <c r="Y29" s="12"/>
      <c r="Z29" s="12">
        <v>1000000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9"/>
        <v>24000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880000</v>
      </c>
      <c r="BA29" s="58"/>
      <c r="BB29" s="58"/>
      <c r="BC29" s="15"/>
      <c r="BD29" s="57">
        <f t="shared" si="14"/>
        <v>880000</v>
      </c>
      <c r="BE29" s="82"/>
      <c r="BF29" s="29">
        <f t="shared" si="5"/>
        <v>120000</v>
      </c>
      <c r="BG29" s="29">
        <v>12</v>
      </c>
      <c r="BH29" s="15"/>
      <c r="BI29" s="15"/>
      <c r="BJ29" s="15"/>
      <c r="BK29" s="15"/>
      <c r="BL29" s="61"/>
      <c r="BO29" s="62"/>
      <c r="BQ29" s="6"/>
      <c r="BR29" s="9">
        <v>60000</v>
      </c>
      <c r="BS29" s="9">
        <f t="shared" si="15"/>
        <v>60000</v>
      </c>
    </row>
    <row r="30" spans="1:71" ht="18.5" x14ac:dyDescent="0.45">
      <c r="A30" s="1" t="s">
        <v>35</v>
      </c>
      <c r="B30" s="1">
        <v>250000</v>
      </c>
      <c r="C30" s="5">
        <f t="shared" si="6"/>
        <v>0</v>
      </c>
      <c r="D30" s="9">
        <v>452000</v>
      </c>
      <c r="E30" s="9">
        <v>1000000</v>
      </c>
      <c r="F30" s="9">
        <v>0</v>
      </c>
      <c r="G30" s="5">
        <v>0</v>
      </c>
      <c r="H30" s="10" t="str">
        <f t="shared" si="0"/>
        <v>BANQUE</v>
      </c>
      <c r="I30" s="10"/>
      <c r="J30" s="11">
        <v>1</v>
      </c>
      <c r="K30" s="11">
        <f t="shared" si="7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v>0</v>
      </c>
      <c r="Q30" s="2">
        <v>0</v>
      </c>
      <c r="R30" s="2">
        <v>202000</v>
      </c>
      <c r="S30" s="20">
        <v>1000000</v>
      </c>
      <c r="T30" s="12"/>
      <c r="U30" s="17">
        <f t="shared" si="8"/>
        <v>1452000</v>
      </c>
      <c r="V30" s="12"/>
      <c r="W30" s="12"/>
      <c r="X30" s="12"/>
      <c r="Y30" s="12"/>
      <c r="Z30" s="12">
        <v>1000000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880000</v>
      </c>
      <c r="BA30" s="58"/>
      <c r="BB30" s="58"/>
      <c r="BC30" s="15"/>
      <c r="BD30" s="57">
        <f t="shared" si="14"/>
        <v>880000</v>
      </c>
      <c r="BE30" s="82"/>
      <c r="BF30" s="29">
        <f t="shared" si="5"/>
        <v>120000</v>
      </c>
      <c r="BG30" s="29">
        <v>12</v>
      </c>
      <c r="BH30" s="15"/>
      <c r="BI30" s="15"/>
      <c r="BJ30" s="15"/>
      <c r="BK30" s="15"/>
      <c r="BL30" s="61"/>
      <c r="BO30" t="s">
        <v>128</v>
      </c>
      <c r="BP30" t="s">
        <v>50</v>
      </c>
      <c r="BQ30" s="6"/>
      <c r="BR30" s="9">
        <v>0</v>
      </c>
      <c r="BS30" s="9">
        <f t="shared" si="15"/>
        <v>0</v>
      </c>
    </row>
    <row r="31" spans="1:71" ht="18.5" x14ac:dyDescent="0.45">
      <c r="A31" s="1" t="s">
        <v>37</v>
      </c>
      <c r="B31" s="1">
        <v>150000</v>
      </c>
      <c r="C31" s="5">
        <f t="shared" si="6"/>
        <v>0</v>
      </c>
      <c r="D31" s="9">
        <v>1150000</v>
      </c>
      <c r="E31" s="9">
        <v>0</v>
      </c>
      <c r="F31" s="9">
        <v>0</v>
      </c>
      <c r="G31" s="5">
        <v>0</v>
      </c>
      <c r="H31" s="10" t="str">
        <f t="shared" si="0"/>
        <v>BANQUE</v>
      </c>
      <c r="I31" s="10"/>
      <c r="J31" s="11">
        <v>1</v>
      </c>
      <c r="K31" s="11">
        <f t="shared" si="7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v>0</v>
      </c>
      <c r="Q31" s="2">
        <v>0</v>
      </c>
      <c r="R31" s="2">
        <v>0</v>
      </c>
      <c r="S31" s="20">
        <v>1000000</v>
      </c>
      <c r="T31" s="12"/>
      <c r="U31" s="17">
        <f t="shared" si="8"/>
        <v>1150000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880000</v>
      </c>
      <c r="BA31" s="58"/>
      <c r="BB31" s="58"/>
      <c r="BC31" s="15"/>
      <c r="BD31" s="57">
        <f t="shared" si="14"/>
        <v>880000</v>
      </c>
      <c r="BE31" s="82"/>
      <c r="BF31" s="29">
        <f t="shared" si="5"/>
        <v>120000</v>
      </c>
      <c r="BG31" s="29">
        <v>12</v>
      </c>
      <c r="BH31" s="15"/>
      <c r="BI31" s="15"/>
      <c r="BJ31" s="15"/>
      <c r="BK31" s="15"/>
      <c r="BL31" s="61"/>
      <c r="BO31" t="s">
        <v>129</v>
      </c>
      <c r="BP31" t="s">
        <v>50</v>
      </c>
      <c r="BQ31" s="6"/>
      <c r="BR31" s="9">
        <v>1000000</v>
      </c>
      <c r="BS31" s="9">
        <f t="shared" si="15"/>
        <v>1000000</v>
      </c>
    </row>
    <row r="32" spans="1:71" ht="18.5" x14ac:dyDescent="0.45">
      <c r="A32" s="1" t="s">
        <v>38</v>
      </c>
      <c r="B32" s="1">
        <v>125000</v>
      </c>
      <c r="C32" s="5">
        <f t="shared" si="6"/>
        <v>0</v>
      </c>
      <c r="D32" s="9">
        <v>327000</v>
      </c>
      <c r="E32" s="9">
        <v>0</v>
      </c>
      <c r="F32" s="9">
        <v>0</v>
      </c>
      <c r="G32" s="5">
        <v>0</v>
      </c>
      <c r="H32" s="10" t="str">
        <f t="shared" si="0"/>
        <v>BANQUE</v>
      </c>
      <c r="I32" s="10"/>
      <c r="J32" s="11">
        <v>1</v>
      </c>
      <c r="K32" s="11">
        <f t="shared" si="7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v>0</v>
      </c>
      <c r="Q32" s="2">
        <v>202000</v>
      </c>
      <c r="R32" s="2">
        <v>0</v>
      </c>
      <c r="S32" s="20"/>
      <c r="T32" s="12"/>
      <c r="U32" s="17">
        <f t="shared" si="8"/>
        <v>327000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880000</v>
      </c>
      <c r="BA32" s="58"/>
      <c r="BB32" s="58"/>
      <c r="BC32" s="15"/>
      <c r="BD32" s="57">
        <f t="shared" si="14"/>
        <v>880000</v>
      </c>
      <c r="BE32" s="82"/>
      <c r="BF32" s="29">
        <f t="shared" si="5"/>
        <v>120000</v>
      </c>
      <c r="BG32" s="29">
        <v>12</v>
      </c>
      <c r="BH32" s="15"/>
      <c r="BI32" s="15"/>
      <c r="BJ32" s="15"/>
      <c r="BK32" s="15"/>
      <c r="BL32" s="61"/>
      <c r="BO32" t="s">
        <v>203</v>
      </c>
      <c r="BR32" s="9">
        <v>0</v>
      </c>
      <c r="BS32" s="9">
        <f t="shared" si="15"/>
        <v>0</v>
      </c>
    </row>
    <row r="33" spans="1:71" ht="18.5" x14ac:dyDescent="0.45">
      <c r="A33" s="1" t="s">
        <v>194</v>
      </c>
      <c r="B33" s="1">
        <v>150000</v>
      </c>
      <c r="C33" s="5">
        <f t="shared" si="6"/>
        <v>0</v>
      </c>
      <c r="D33" s="9">
        <v>160000</v>
      </c>
      <c r="E33" s="9">
        <v>0</v>
      </c>
      <c r="F33" s="9">
        <v>0</v>
      </c>
      <c r="G33" s="5">
        <v>0</v>
      </c>
      <c r="H33" s="10" t="str">
        <f t="shared" si="0"/>
        <v>BANQUE</v>
      </c>
      <c r="I33" s="10">
        <v>10000</v>
      </c>
      <c r="J33" s="11">
        <v>1</v>
      </c>
      <c r="K33" s="11">
        <f t="shared" si="7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v>0</v>
      </c>
      <c r="Q33" s="2">
        <v>0</v>
      </c>
      <c r="R33" s="2">
        <v>0</v>
      </c>
      <c r="S33" s="20"/>
      <c r="T33" s="12"/>
      <c r="U33" s="17">
        <f t="shared" si="8"/>
        <v>160000</v>
      </c>
      <c r="V33" s="12"/>
      <c r="W33" s="12"/>
      <c r="X33" s="12"/>
      <c r="Y33" s="12"/>
      <c r="Z33" s="12">
        <v>1000000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9"/>
        <v>35000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880000</v>
      </c>
      <c r="BA33" s="58"/>
      <c r="BB33" s="58"/>
      <c r="BC33" s="15"/>
      <c r="BD33" s="57">
        <f t="shared" si="14"/>
        <v>880000</v>
      </c>
      <c r="BE33" s="82"/>
      <c r="BF33" s="29">
        <f t="shared" si="5"/>
        <v>120000</v>
      </c>
      <c r="BG33" s="29">
        <v>12</v>
      </c>
      <c r="BH33" s="15"/>
      <c r="BI33" s="15"/>
      <c r="BJ33" s="15"/>
      <c r="BK33" s="15"/>
      <c r="BL33" s="61"/>
      <c r="BO33" s="62" t="s">
        <v>142</v>
      </c>
      <c r="BQ33" s="62">
        <f>SUM(BQ30:BQ32)</f>
        <v>0</v>
      </c>
      <c r="BR33" s="9">
        <v>10000</v>
      </c>
      <c r="BS33" s="9">
        <f t="shared" si="15"/>
        <v>10000</v>
      </c>
    </row>
    <row r="34" spans="1:71" ht="18.5" x14ac:dyDescent="0.45">
      <c r="A34" s="1" t="s">
        <v>157</v>
      </c>
      <c r="B34" s="1">
        <v>50000</v>
      </c>
      <c r="C34" s="5">
        <f t="shared" si="6"/>
        <v>-297500</v>
      </c>
      <c r="D34" s="9">
        <v>0</v>
      </c>
      <c r="E34" s="9">
        <v>50000</v>
      </c>
      <c r="F34" s="9">
        <v>0</v>
      </c>
      <c r="G34" s="5">
        <v>0</v>
      </c>
      <c r="H34" s="10" t="str">
        <f t="shared" si="0"/>
        <v>ESPECES</v>
      </c>
      <c r="I34" s="10">
        <v>297500</v>
      </c>
      <c r="J34" s="11">
        <v>1</v>
      </c>
      <c r="K34" s="11">
        <f t="shared" si="7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v>0</v>
      </c>
      <c r="Q34" s="2">
        <v>0</v>
      </c>
      <c r="R34" s="2">
        <v>0</v>
      </c>
      <c r="S34" s="20"/>
      <c r="T34" s="12"/>
      <c r="U34" s="17">
        <f t="shared" si="8"/>
        <v>347500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9"/>
        <v>322500</v>
      </c>
      <c r="AT34" s="15"/>
      <c r="AV34" s="15"/>
      <c r="AW34" s="15">
        <f t="shared" si="10"/>
        <v>297500</v>
      </c>
      <c r="AX34" s="15">
        <f t="shared" si="11"/>
        <v>0</v>
      </c>
      <c r="AY34" s="15">
        <f t="shared" si="12"/>
        <v>0</v>
      </c>
      <c r="AZ34" s="16">
        <f t="shared" si="13"/>
        <v>297500</v>
      </c>
      <c r="BA34" s="58"/>
      <c r="BB34" s="58"/>
      <c r="BC34" s="15"/>
      <c r="BD34" s="57">
        <f t="shared" si="14"/>
        <v>297500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O34" s="62" t="s">
        <v>142</v>
      </c>
      <c r="BQ34" s="62">
        <f>SUM(BQ31:BQ33)</f>
        <v>0</v>
      </c>
      <c r="BR34" s="9">
        <v>0</v>
      </c>
      <c r="BS34" s="9">
        <f t="shared" si="15"/>
        <v>0</v>
      </c>
    </row>
    <row r="35" spans="1:71" ht="18.5" x14ac:dyDescent="0.45">
      <c r="A35" s="21" t="s">
        <v>160</v>
      </c>
      <c r="B35" s="1">
        <v>125000</v>
      </c>
      <c r="C35" s="5">
        <f t="shared" si="6"/>
        <v>0</v>
      </c>
      <c r="D35" s="9">
        <v>350000</v>
      </c>
      <c r="E35" s="9">
        <v>0</v>
      </c>
      <c r="F35" s="9">
        <v>0</v>
      </c>
      <c r="G35" s="5">
        <v>0</v>
      </c>
      <c r="H35" s="10" t="str">
        <f t="shared" si="0"/>
        <v>BANQUE</v>
      </c>
      <c r="I35" s="10"/>
      <c r="J35" s="11">
        <v>1</v>
      </c>
      <c r="K35" s="11">
        <f t="shared" si="7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v>0</v>
      </c>
      <c r="Q35" s="2">
        <v>0</v>
      </c>
      <c r="R35" s="2">
        <v>0</v>
      </c>
      <c r="S35" s="20">
        <v>300000</v>
      </c>
      <c r="T35" s="12"/>
      <c r="U35" s="17">
        <f t="shared" si="8"/>
        <v>350000</v>
      </c>
      <c r="V35" s="12"/>
      <c r="W35" s="12"/>
      <c r="X35" s="12"/>
      <c r="Y35" s="12"/>
      <c r="Z35" s="12">
        <v>1000000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9"/>
        <v>25000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880000</v>
      </c>
      <c r="BA35" s="58"/>
      <c r="BB35" s="58"/>
      <c r="BC35" s="15"/>
      <c r="BD35" s="57">
        <f t="shared" si="14"/>
        <v>880000</v>
      </c>
      <c r="BE35" s="82"/>
      <c r="BF35" s="29">
        <f t="shared" si="5"/>
        <v>120000</v>
      </c>
      <c r="BG35" s="29">
        <v>12</v>
      </c>
      <c r="BH35" s="15"/>
      <c r="BI35" s="15"/>
      <c r="BJ35" s="15"/>
      <c r="BK35" s="15"/>
      <c r="BL35" s="61"/>
      <c r="BR35" s="9">
        <v>290000</v>
      </c>
      <c r="BS35" s="9">
        <f t="shared" si="15"/>
        <v>290000</v>
      </c>
    </row>
    <row r="36" spans="1:71" ht="18.5" x14ac:dyDescent="0.45">
      <c r="A36" s="1" t="s">
        <v>40</v>
      </c>
      <c r="B36" s="1">
        <v>50000</v>
      </c>
      <c r="C36" s="5">
        <f t="shared" si="6"/>
        <v>0</v>
      </c>
      <c r="D36" s="9">
        <v>0</v>
      </c>
      <c r="E36" s="9">
        <v>50000</v>
      </c>
      <c r="F36" s="9">
        <v>0</v>
      </c>
      <c r="G36" s="5">
        <v>0</v>
      </c>
      <c r="H36" s="10" t="str">
        <f t="shared" si="0"/>
        <v>ESPECES</v>
      </c>
      <c r="I36" s="10"/>
      <c r="J36" s="11">
        <v>1</v>
      </c>
      <c r="K36" s="11">
        <f t="shared" si="7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v>0</v>
      </c>
      <c r="Q36" s="2">
        <v>0</v>
      </c>
      <c r="R36" s="2">
        <v>0</v>
      </c>
      <c r="S36" s="20"/>
      <c r="T36" s="12"/>
      <c r="U36" s="17">
        <f t="shared" si="8"/>
        <v>50000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9"/>
        <v>25000</v>
      </c>
      <c r="AT36" s="15"/>
      <c r="AV36" s="15"/>
      <c r="AW36" s="15">
        <f t="shared" si="10"/>
        <v>297500</v>
      </c>
      <c r="AX36" s="15">
        <f t="shared" si="11"/>
        <v>0</v>
      </c>
      <c r="AY36" s="15">
        <f t="shared" si="12"/>
        <v>0</v>
      </c>
      <c r="AZ36" s="16">
        <f t="shared" si="13"/>
        <v>297500</v>
      </c>
      <c r="BA36" s="58"/>
      <c r="BB36" s="58"/>
      <c r="BC36" s="15"/>
      <c r="BD36" s="57">
        <f t="shared" si="14"/>
        <v>297500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O36" t="s">
        <v>126</v>
      </c>
      <c r="BP36" t="s">
        <v>126</v>
      </c>
      <c r="BQ36" s="6"/>
      <c r="BR36" s="9">
        <v>0</v>
      </c>
      <c r="BS36" s="9">
        <f t="shared" si="15"/>
        <v>0</v>
      </c>
    </row>
    <row r="37" spans="1:71" ht="18.5" x14ac:dyDescent="0.45">
      <c r="A37" s="1" t="s">
        <v>193</v>
      </c>
      <c r="B37" s="1">
        <v>150000</v>
      </c>
      <c r="C37" s="5">
        <f t="shared" si="6"/>
        <v>0</v>
      </c>
      <c r="D37" s="9">
        <v>0</v>
      </c>
      <c r="E37" s="9">
        <v>150000</v>
      </c>
      <c r="F37" s="9">
        <v>0</v>
      </c>
      <c r="G37" s="5">
        <v>0</v>
      </c>
      <c r="H37" s="10" t="str">
        <f t="shared" si="0"/>
        <v>ESPECES</v>
      </c>
      <c r="I37" s="10"/>
      <c r="J37" s="11">
        <v>1</v>
      </c>
      <c r="K37" s="11">
        <f t="shared" si="7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v>0</v>
      </c>
      <c r="Q37" s="2">
        <v>0</v>
      </c>
      <c r="R37" s="2">
        <v>0</v>
      </c>
      <c r="S37" s="6"/>
      <c r="T37" s="12"/>
      <c r="U37" s="17">
        <f t="shared" si="8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9"/>
        <v>25000</v>
      </c>
      <c r="AT37" s="15"/>
      <c r="AV37" s="15"/>
      <c r="AW37" s="15">
        <f t="shared" si="10"/>
        <v>0</v>
      </c>
      <c r="AX37" s="15">
        <f t="shared" si="11"/>
        <v>0</v>
      </c>
      <c r="AY37" s="15">
        <f t="shared" si="12"/>
        <v>0</v>
      </c>
      <c r="AZ37" s="16">
        <f t="shared" si="13"/>
        <v>0</v>
      </c>
      <c r="BA37" s="58"/>
      <c r="BB37" s="58"/>
      <c r="BC37" s="15"/>
      <c r="BD37" s="57">
        <f t="shared" si="14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O37" t="s">
        <v>127</v>
      </c>
      <c r="BP37" t="s">
        <v>126</v>
      </c>
      <c r="BQ37" s="6"/>
      <c r="BR37" s="9">
        <v>0</v>
      </c>
      <c r="BS37" s="9">
        <f t="shared" si="15"/>
        <v>0</v>
      </c>
    </row>
    <row r="38" spans="1:71" ht="18.5" x14ac:dyDescent="0.45">
      <c r="A38" s="1" t="s">
        <v>41</v>
      </c>
      <c r="B38" s="1">
        <v>225000</v>
      </c>
      <c r="C38" s="5">
        <f t="shared" si="6"/>
        <v>0</v>
      </c>
      <c r="D38" s="9">
        <v>125000</v>
      </c>
      <c r="E38" s="9">
        <v>0</v>
      </c>
      <c r="F38" s="9">
        <v>0</v>
      </c>
      <c r="G38" s="5">
        <v>0</v>
      </c>
      <c r="H38" s="10" t="str">
        <f t="shared" si="0"/>
        <v>BANQUE</v>
      </c>
      <c r="I38" s="10"/>
      <c r="J38" s="11">
        <v>1</v>
      </c>
      <c r="K38" s="11">
        <f t="shared" si="7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v>0</v>
      </c>
      <c r="Q38" s="2">
        <v>0</v>
      </c>
      <c r="R38" s="2">
        <v>0</v>
      </c>
      <c r="S38" s="6"/>
      <c r="T38" s="12"/>
      <c r="U38" s="17">
        <f t="shared" si="8"/>
        <v>125000</v>
      </c>
      <c r="V38" s="12"/>
      <c r="W38" s="12"/>
      <c r="X38" s="12"/>
      <c r="Y38" s="12"/>
      <c r="Z38" s="12">
        <v>500000</v>
      </c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3"/>
        <v>485000</v>
      </c>
      <c r="BA38" s="58"/>
      <c r="BB38" s="58"/>
      <c r="BC38" s="15"/>
      <c r="BD38" s="57">
        <f t="shared" si="14"/>
        <v>485000</v>
      </c>
      <c r="BE38" s="82"/>
      <c r="BF38" s="29">
        <f t="shared" si="5"/>
        <v>15000</v>
      </c>
      <c r="BG38" s="29">
        <v>3</v>
      </c>
      <c r="BH38" s="15"/>
      <c r="BI38" s="15"/>
      <c r="BJ38" s="15"/>
      <c r="BK38" s="15"/>
      <c r="BL38" s="15"/>
      <c r="BO38" t="s">
        <v>127</v>
      </c>
      <c r="BP38" t="s">
        <v>126</v>
      </c>
      <c r="BQ38" s="6"/>
      <c r="BR38" s="9">
        <v>0</v>
      </c>
      <c r="BS38" s="9">
        <f t="shared" si="15"/>
        <v>0</v>
      </c>
    </row>
    <row r="39" spans="1:71" ht="18.5" x14ac:dyDescent="0.45">
      <c r="P39" s="6"/>
      <c r="Q39" s="6"/>
      <c r="R39" s="6"/>
      <c r="S39" s="6"/>
      <c r="AW39" s="15"/>
      <c r="AX39" s="15"/>
      <c r="AY39" s="15"/>
      <c r="AZ39" s="16"/>
      <c r="BF39" s="29"/>
    </row>
    <row r="40" spans="1:71" ht="18.5" x14ac:dyDescent="0.45">
      <c r="B40" s="1" t="s">
        <v>44</v>
      </c>
      <c r="C40" s="5">
        <f t="shared" ref="C40:S40" si="16">SUM(C6:C39)</f>
        <v>-1335000</v>
      </c>
      <c r="D40" s="5">
        <f t="shared" si="16"/>
        <v>9103000</v>
      </c>
      <c r="E40" s="5">
        <f t="shared" si="16"/>
        <v>9052000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790500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315000</v>
      </c>
      <c r="Q40" s="5">
        <f t="shared" si="16"/>
        <v>942500</v>
      </c>
      <c r="R40" s="5">
        <f t="shared" si="16"/>
        <v>2025500</v>
      </c>
      <c r="S40" s="5">
        <f t="shared" si="16"/>
        <v>10817500</v>
      </c>
      <c r="T40" s="5"/>
      <c r="U40" s="5">
        <f t="shared" ref="U40:AA40" si="17">SUM(U6:U39)</f>
        <v>19491000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15400000</v>
      </c>
      <c r="AA40" s="5">
        <f t="shared" si="17"/>
        <v>0</v>
      </c>
      <c r="AB40" s="5"/>
      <c r="AC40" s="5">
        <f>SUM(AC6:AC39)</f>
        <v>7500</v>
      </c>
      <c r="AD40" s="5">
        <f>SUM(AD6:AD39)</f>
        <v>7500</v>
      </c>
      <c r="AE40" s="5">
        <f>SUM(AE6:AE39)</f>
        <v>10000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1529500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892500</v>
      </c>
      <c r="AX40" s="5">
        <f t="shared" si="18"/>
        <v>892500</v>
      </c>
      <c r="AY40" s="5">
        <f t="shared" si="18"/>
        <v>1190000</v>
      </c>
      <c r="AZ40" s="5">
        <f t="shared" si="18"/>
        <v>16842000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16842000</v>
      </c>
      <c r="BE40" s="5">
        <f t="shared" si="18"/>
        <v>0</v>
      </c>
      <c r="BF40" s="5">
        <f t="shared" si="18"/>
        <v>1533000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5"/>
      <c r="BO40" s="62" t="s">
        <v>142</v>
      </c>
      <c r="BQ40" s="62">
        <f>SUM(BQ36:BQ38)</f>
        <v>0</v>
      </c>
    </row>
    <row r="41" spans="1:71" ht="18.5" x14ac:dyDescent="0.45">
      <c r="AW41" s="15"/>
      <c r="AX41" s="15"/>
      <c r="AY41" s="15"/>
      <c r="AZ41" s="16"/>
    </row>
    <row r="42" spans="1:71" ht="18.5" x14ac:dyDescent="0.45">
      <c r="Z42" s="12"/>
      <c r="AW42" s="15"/>
      <c r="AX42" s="15"/>
      <c r="AY42" s="15"/>
      <c r="AZ42" s="16"/>
      <c r="BA42" s="6"/>
    </row>
    <row r="43" spans="1:71" ht="18.5" x14ac:dyDescent="0.45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O43" t="s">
        <v>129</v>
      </c>
      <c r="BP43" t="s">
        <v>50</v>
      </c>
    </row>
    <row r="44" spans="1:71" ht="18.5" x14ac:dyDescent="0.45">
      <c r="C44" s="3" t="s">
        <v>8</v>
      </c>
      <c r="D44" s="89"/>
      <c r="E44" s="89"/>
      <c r="F44" s="3" t="s">
        <v>9</v>
      </c>
      <c r="G44" s="89"/>
      <c r="H44" s="89"/>
      <c r="I44" s="89"/>
      <c r="Z44" s="12"/>
      <c r="AI44" s="5"/>
      <c r="AV44" s="3"/>
      <c r="AW44" s="89"/>
      <c r="AX44" s="15"/>
      <c r="AY44" s="15"/>
      <c r="AZ44" s="16"/>
    </row>
    <row r="45" spans="1:71" ht="18.5" x14ac:dyDescent="0.45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O45" s="62" t="s">
        <v>142</v>
      </c>
      <c r="BQ45" s="62">
        <f>SUM(BQ42:BQ44)</f>
        <v>0</v>
      </c>
    </row>
    <row r="46" spans="1:71" ht="18.5" x14ac:dyDescent="0.45">
      <c r="B46" s="1" t="s">
        <v>78</v>
      </c>
      <c r="AW46" s="15"/>
      <c r="AX46" s="15"/>
      <c r="AY46" s="15"/>
      <c r="AZ46" s="16"/>
    </row>
    <row r="47" spans="1:71" ht="18.5" x14ac:dyDescent="0.45">
      <c r="B47" s="1" t="s">
        <v>79</v>
      </c>
      <c r="C47" s="14">
        <f>AZ40</f>
        <v>16842000</v>
      </c>
      <c r="D47" s="9">
        <f>SUMIFS(D8:D40,H8:H40,"BANQUE")</f>
        <v>8928000</v>
      </c>
      <c r="F47" s="9">
        <f>E40</f>
        <v>9052000</v>
      </c>
      <c r="G47" s="14"/>
      <c r="J47" s="5"/>
      <c r="AW47" s="15"/>
      <c r="AX47" s="15"/>
      <c r="AY47" s="15"/>
      <c r="AZ47" s="16"/>
    </row>
    <row r="48" spans="1:71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2" spans="49:52" ht="18.5" x14ac:dyDescent="0.45">
      <c r="AW82" s="15"/>
      <c r="AX82" s="15"/>
      <c r="AY82" s="15"/>
      <c r="AZ82" s="16"/>
    </row>
    <row r="83" spans="49:52" ht="18.5" x14ac:dyDescent="0.45">
      <c r="AW83" s="15"/>
      <c r="AX83" s="15"/>
      <c r="AY83" s="15"/>
      <c r="AZ83" s="16"/>
    </row>
    <row r="85" spans="49:52" ht="17.5" x14ac:dyDescent="0.35">
      <c r="AW85" s="5"/>
      <c r="AX85" s="5"/>
      <c r="AY85" s="5"/>
      <c r="AZ85" s="5">
        <f>SUM(AZ8:AZ84)</f>
        <v>31601500</v>
      </c>
    </row>
  </sheetData>
  <autoFilter ref="A5:AF38" xr:uid="{00000000-0009-0000-0000-00000F000000}"/>
  <mergeCells count="1">
    <mergeCell ref="B4:M4"/>
  </mergeCells>
  <dataValidations count="1">
    <dataValidation type="list" allowBlank="1" showInputMessage="1" showErrorMessage="1" sqref="T6:T38 AP6:AP38 AF6:AF38 AA6:AA38" xr:uid="{ED66262E-82F1-43B7-9820-7AA18BF3399B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3" max="23" width="12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2.81640625" bestFit="1" customWidth="1"/>
    <col min="54" max="55" width="12.453125" customWidth="1"/>
    <col min="56" max="56" width="16.81640625" bestFit="1" customWidth="1"/>
    <col min="57" max="57" width="17.1796875" customWidth="1"/>
    <col min="58" max="58" width="15" bestFit="1" customWidth="1"/>
    <col min="63" max="64" width="12.453125" bestFit="1" customWidth="1"/>
    <col min="65" max="65" width="14.81640625" customWidth="1"/>
    <col min="66" max="66" width="20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9" x14ac:dyDescent="0.35">
      <c r="A1" s="1" t="s">
        <v>2</v>
      </c>
      <c r="B1" s="1" t="s">
        <v>3</v>
      </c>
      <c r="C1" s="1"/>
    </row>
    <row r="2" spans="1:69" x14ac:dyDescent="0.35">
      <c r="A2" s="1" t="s">
        <v>4</v>
      </c>
      <c r="B2" s="1">
        <v>2023</v>
      </c>
      <c r="C2" s="1"/>
    </row>
    <row r="3" spans="1:6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5" x14ac:dyDescent="0.45">
      <c r="A7" s="1" t="s">
        <v>161</v>
      </c>
      <c r="B7" s="1" t="s">
        <v>234</v>
      </c>
      <c r="C7" s="9">
        <f t="shared" si="0"/>
        <v>0</v>
      </c>
      <c r="D7" s="9">
        <v>0</v>
      </c>
      <c r="E7" s="9">
        <v>104000</v>
      </c>
      <c r="F7" s="9"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5" x14ac:dyDescent="0.45">
      <c r="A8" s="1" t="s">
        <v>12</v>
      </c>
      <c r="B8" s="1" t="s">
        <v>235</v>
      </c>
      <c r="C8" s="5">
        <f t="shared" si="0"/>
        <v>0</v>
      </c>
      <c r="D8" s="9">
        <v>105000</v>
      </c>
      <c r="E8" s="9">
        <v>10000</v>
      </c>
      <c r="F8" s="9"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5" x14ac:dyDescent="0.45">
      <c r="A9" s="1" t="s">
        <v>13</v>
      </c>
      <c r="B9" s="1" t="s">
        <v>236</v>
      </c>
      <c r="C9" s="5">
        <f t="shared" si="0"/>
        <v>0</v>
      </c>
      <c r="D9" s="9">
        <v>160000</v>
      </c>
      <c r="E9" s="9">
        <v>0</v>
      </c>
      <c r="F9" s="9"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5" x14ac:dyDescent="0.45">
      <c r="A10" s="1" t="s">
        <v>14</v>
      </c>
      <c r="B10" s="1" t="s">
        <v>237</v>
      </c>
      <c r="C10" s="5">
        <f t="shared" si="0"/>
        <v>0</v>
      </c>
      <c r="D10" s="9">
        <v>40000</v>
      </c>
      <c r="E10" s="9">
        <v>0</v>
      </c>
      <c r="F10" s="9"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5" x14ac:dyDescent="0.45">
      <c r="A11" s="1" t="s">
        <v>15</v>
      </c>
      <c r="B11" s="1" t="s">
        <v>238</v>
      </c>
      <c r="C11" s="5">
        <f t="shared" si="0"/>
        <v>0</v>
      </c>
      <c r="D11" s="9">
        <v>115000</v>
      </c>
      <c r="E11" s="9">
        <v>0</v>
      </c>
      <c r="F11" s="9"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5" x14ac:dyDescent="0.45">
      <c r="A12" s="1" t="s">
        <v>16</v>
      </c>
      <c r="B12" s="1" t="s">
        <v>239</v>
      </c>
      <c r="C12" s="5">
        <f t="shared" si="0"/>
        <v>0</v>
      </c>
      <c r="D12" s="9">
        <v>320000</v>
      </c>
      <c r="E12" s="9">
        <v>0</v>
      </c>
      <c r="F12" s="9"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0</v>
      </c>
      <c r="F16" s="9"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5" x14ac:dyDescent="0.45">
      <c r="A18" s="1" t="s">
        <v>23</v>
      </c>
      <c r="B18" s="1" t="s">
        <v>244</v>
      </c>
      <c r="C18" s="5">
        <f t="shared" si="0"/>
        <v>0</v>
      </c>
      <c r="D18" s="9">
        <v>180000</v>
      </c>
      <c r="E18" s="9">
        <v>35000</v>
      </c>
      <c r="F18" s="9"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5" x14ac:dyDescent="0.45">
      <c r="A20" s="1" t="s">
        <v>25</v>
      </c>
      <c r="B20" s="1" t="s">
        <v>246</v>
      </c>
      <c r="C20" s="5">
        <f t="shared" si="0"/>
        <v>0</v>
      </c>
      <c r="D20" s="9">
        <v>215000</v>
      </c>
      <c r="E20" s="9">
        <v>0</v>
      </c>
      <c r="F20" s="9"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5" x14ac:dyDescent="0.45">
      <c r="A23" s="1" t="s">
        <v>28</v>
      </c>
      <c r="B23" s="1" t="s">
        <v>249</v>
      </c>
      <c r="C23" s="5">
        <f t="shared" si="0"/>
        <v>0</v>
      </c>
      <c r="D23" s="9">
        <v>250000</v>
      </c>
      <c r="E23" s="9">
        <v>0</v>
      </c>
      <c r="F23" s="9"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5" x14ac:dyDescent="0.45">
      <c r="A24" s="1" t="s">
        <v>29</v>
      </c>
      <c r="B24" s="1" t="s">
        <v>250</v>
      </c>
      <c r="C24" s="5">
        <f t="shared" si="0"/>
        <v>0</v>
      </c>
      <c r="D24" s="9">
        <v>210000</v>
      </c>
      <c r="E24" s="9">
        <v>5000</v>
      </c>
      <c r="F24" s="9"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5" x14ac:dyDescent="0.45">
      <c r="A25" s="1" t="s">
        <v>30</v>
      </c>
      <c r="B25" s="1" t="s">
        <v>251</v>
      </c>
      <c r="C25" s="5">
        <f t="shared" si="0"/>
        <v>0</v>
      </c>
      <c r="D25" s="9">
        <v>280000</v>
      </c>
      <c r="E25" s="9">
        <v>10000</v>
      </c>
      <c r="F25" s="9"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40000</v>
      </c>
      <c r="F26" s="9"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5" x14ac:dyDescent="0.45">
      <c r="A27" s="1" t="s">
        <v>158</v>
      </c>
      <c r="B27" s="1" t="s">
        <v>253</v>
      </c>
      <c r="C27" s="5">
        <f t="shared" si="0"/>
        <v>0</v>
      </c>
      <c r="D27" s="9">
        <v>0</v>
      </c>
      <c r="E27" s="9">
        <v>65000</v>
      </c>
      <c r="F27" s="9"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5" x14ac:dyDescent="0.45">
      <c r="A29" s="1" t="s">
        <v>159</v>
      </c>
      <c r="B29" s="1" t="s">
        <v>255</v>
      </c>
      <c r="C29" s="5">
        <f t="shared" si="0"/>
        <v>0</v>
      </c>
      <c r="D29" s="9">
        <v>0</v>
      </c>
      <c r="E29" s="9">
        <v>65000</v>
      </c>
      <c r="F29" s="9"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5" x14ac:dyDescent="0.45">
      <c r="A30" s="1" t="s">
        <v>35</v>
      </c>
      <c r="B30" s="1" t="s">
        <v>256</v>
      </c>
      <c r="C30" s="5">
        <f t="shared" si="0"/>
        <v>0</v>
      </c>
      <c r="D30" s="9">
        <v>0</v>
      </c>
      <c r="E30" s="9">
        <v>115000</v>
      </c>
      <c r="F30" s="9"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5" x14ac:dyDescent="0.45">
      <c r="A31" s="1" t="s">
        <v>37</v>
      </c>
      <c r="B31" s="1" t="s">
        <v>257</v>
      </c>
      <c r="C31" s="5">
        <f t="shared" si="0"/>
        <v>0</v>
      </c>
      <c r="D31" s="9">
        <v>250000</v>
      </c>
      <c r="E31" s="9">
        <v>0</v>
      </c>
      <c r="F31" s="9"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5" x14ac:dyDescent="0.45">
      <c r="A32" s="1" t="s">
        <v>38</v>
      </c>
      <c r="B32" s="1" t="s">
        <v>258</v>
      </c>
      <c r="C32" s="5">
        <f t="shared" si="0"/>
        <v>0</v>
      </c>
      <c r="D32" s="9">
        <v>115000</v>
      </c>
      <c r="E32" s="9">
        <v>0</v>
      </c>
      <c r="F32" s="9"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0</v>
      </c>
      <c r="E33" s="9">
        <v>40000</v>
      </c>
      <c r="F33" s="9"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69">
        <f t="shared" si="0"/>
        <v>35000</v>
      </c>
      <c r="D34" s="9">
        <v>0</v>
      </c>
      <c r="E34" s="9">
        <v>100000</v>
      </c>
      <c r="F34" s="9"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40000</v>
      </c>
      <c r="E35" s="9">
        <v>0</v>
      </c>
      <c r="F35" s="9"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5" x14ac:dyDescent="0.45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5" x14ac:dyDescent="0.45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5" x14ac:dyDescent="0.45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5" x14ac:dyDescent="0.45">
      <c r="B44" s="1" t="s">
        <v>78</v>
      </c>
      <c r="AW44" s="15"/>
      <c r="AX44" s="15"/>
      <c r="AY44" s="15"/>
      <c r="AZ44" s="16"/>
    </row>
    <row r="45" spans="1:68" ht="18.5" x14ac:dyDescent="0.45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0" spans="49:52" ht="18.5" x14ac:dyDescent="0.45">
      <c r="AW80" s="15"/>
      <c r="AX80" s="15"/>
      <c r="AY80" s="15"/>
      <c r="AZ80" s="16"/>
    </row>
    <row r="81" spans="49:52" ht="18.5" x14ac:dyDescent="0.45">
      <c r="AW81" s="15"/>
      <c r="AX81" s="15"/>
      <c r="AY81" s="15"/>
      <c r="AZ81" s="16"/>
    </row>
    <row r="83" spans="49:52" ht="17.5" x14ac:dyDescent="0.35">
      <c r="AW83" s="5"/>
      <c r="AX83" s="5"/>
      <c r="AY83" s="5"/>
      <c r="AZ83" s="5">
        <f>SUM(AZ8:AZ82)</f>
        <v>15710000</v>
      </c>
    </row>
  </sheetData>
  <autoFilter ref="A5:AF36" xr:uid="{00000000-0009-0000-0000-000011000000}"/>
  <mergeCells count="1">
    <mergeCell ref="B4:M4"/>
  </mergeCells>
  <dataValidations count="1">
    <dataValidation type="list" allowBlank="1" showInputMessage="1" showErrorMessage="1" sqref="T6:T36 AP6:AP36 AF6:AF36 AA6:AA36" xr:uid="{00000000-0002-0000-11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7.7265625" customWidth="1"/>
    <col min="58" max="58" width="15" bestFit="1" customWidth="1"/>
    <col min="62" max="62" width="15" bestFit="1" customWidth="1"/>
    <col min="64" max="64" width="12.453125" bestFit="1" customWidth="1"/>
    <col min="65" max="65" width="14.81640625" customWidth="1"/>
    <col min="66" max="66" width="27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0</v>
      </c>
      <c r="E7" s="9">
        <v>40000</v>
      </c>
      <c r="F7" s="9"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615000</v>
      </c>
      <c r="E8" s="9">
        <v>0</v>
      </c>
      <c r="F8" s="9"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120000</v>
      </c>
      <c r="E9" s="9">
        <v>80000</v>
      </c>
      <c r="F9" s="9"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103000</v>
      </c>
      <c r="E10" s="9">
        <v>0</v>
      </c>
      <c r="F10" s="9"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177000</v>
      </c>
      <c r="E11" s="9">
        <v>0</v>
      </c>
      <c r="F11" s="9"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62000</v>
      </c>
      <c r="Q11" s="2"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320000</v>
      </c>
      <c r="E12" s="9">
        <v>0</v>
      </c>
      <c r="F12" s="9"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0</v>
      </c>
      <c r="E13" s="9">
        <v>40000</v>
      </c>
      <c r="F13" s="9"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0</v>
      </c>
      <c r="F16" s="9"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5" x14ac:dyDescent="0.45">
      <c r="A17" s="1" t="s">
        <v>22</v>
      </c>
      <c r="B17" s="1" t="s">
        <v>222</v>
      </c>
      <c r="C17" s="9">
        <f t="shared" si="0"/>
        <v>-70000</v>
      </c>
      <c r="D17" s="9">
        <v>140000</v>
      </c>
      <c r="E17" s="9">
        <v>0</v>
      </c>
      <c r="F17" s="9"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5" x14ac:dyDescent="0.45">
      <c r="A18" s="1" t="s">
        <v>23</v>
      </c>
      <c r="B18" s="1" t="s">
        <v>244</v>
      </c>
      <c r="C18" s="5">
        <f t="shared" si="0"/>
        <v>0</v>
      </c>
      <c r="D18" s="9">
        <v>51000</v>
      </c>
      <c r="E18" s="9">
        <v>266000</v>
      </c>
      <c r="F18" s="9"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102000</v>
      </c>
      <c r="R18" s="2"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5" x14ac:dyDescent="0.45">
      <c r="A19" s="1" t="s">
        <v>24</v>
      </c>
      <c r="B19" s="1" t="s">
        <v>245</v>
      </c>
      <c r="C19" s="5">
        <f t="shared" si="0"/>
        <v>0</v>
      </c>
      <c r="D19" s="9">
        <v>0</v>
      </c>
      <c r="E19" s="9">
        <v>40000</v>
      </c>
      <c r="F19" s="9"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5" x14ac:dyDescent="0.45">
      <c r="A20" s="1" t="s">
        <v>25</v>
      </c>
      <c r="B20" s="1" t="s">
        <v>246</v>
      </c>
      <c r="C20" s="5">
        <f t="shared" si="0"/>
        <v>0</v>
      </c>
      <c r="D20" s="9">
        <v>107000</v>
      </c>
      <c r="E20" s="9">
        <v>215000</v>
      </c>
      <c r="F20" s="9"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107000</v>
      </c>
      <c r="R20" s="2"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5" x14ac:dyDescent="0.45">
      <c r="A23" s="1" t="s">
        <v>28</v>
      </c>
      <c r="B23" s="1" t="s">
        <v>249</v>
      </c>
      <c r="C23" s="5">
        <f t="shared" si="0"/>
        <v>0</v>
      </c>
      <c r="D23" s="9">
        <v>250000</v>
      </c>
      <c r="E23" s="9">
        <v>0</v>
      </c>
      <c r="F23" s="9"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">
        <v>250</v>
      </c>
      <c r="C24" s="5">
        <f t="shared" si="0"/>
        <v>0</v>
      </c>
      <c r="D24" s="9">
        <v>551000</v>
      </c>
      <c r="E24" s="9">
        <v>0</v>
      </c>
      <c r="F24" s="9"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26000</v>
      </c>
      <c r="Q24" s="2">
        <v>102000</v>
      </c>
      <c r="R24" s="2"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5" x14ac:dyDescent="0.45">
      <c r="A25" s="1" t="s">
        <v>30</v>
      </c>
      <c r="B25" s="1" t="s">
        <v>251</v>
      </c>
      <c r="C25" s="5">
        <f t="shared" si="0"/>
        <v>0</v>
      </c>
      <c r="D25" s="9">
        <v>451000</v>
      </c>
      <c r="E25" s="9">
        <v>50000</v>
      </c>
      <c r="F25" s="9"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31000</v>
      </c>
      <c r="Q25" s="2">
        <v>102000</v>
      </c>
      <c r="R25" s="2"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102000</v>
      </c>
      <c r="F26" s="9"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5" x14ac:dyDescent="0.45">
      <c r="A27" s="1" t="s">
        <v>158</v>
      </c>
      <c r="B27" s="1" t="s">
        <v>253</v>
      </c>
      <c r="C27" s="5">
        <f t="shared" si="0"/>
        <v>0</v>
      </c>
      <c r="D27" s="9">
        <v>40000</v>
      </c>
      <c r="E27" s="9">
        <v>0</v>
      </c>
      <c r="F27" s="9"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5" x14ac:dyDescent="0.45">
      <c r="A31" s="1" t="s">
        <v>37</v>
      </c>
      <c r="B31" s="1" t="s">
        <v>257</v>
      </c>
      <c r="C31" s="5">
        <f t="shared" si="0"/>
        <v>0</v>
      </c>
      <c r="D31" s="9">
        <v>0</v>
      </c>
      <c r="E31" s="9">
        <v>140000</v>
      </c>
      <c r="F31" s="9"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5" x14ac:dyDescent="0.45">
      <c r="A32" s="1" t="s">
        <v>38</v>
      </c>
      <c r="B32" s="1" t="s">
        <v>258</v>
      </c>
      <c r="C32" s="5">
        <f t="shared" si="0"/>
        <v>0</v>
      </c>
      <c r="D32" s="9">
        <v>115000</v>
      </c>
      <c r="E32" s="9">
        <v>0</v>
      </c>
      <c r="F32" s="9"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0</v>
      </c>
      <c r="E33" s="9">
        <v>40000</v>
      </c>
      <c r="F33" s="9"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5" x14ac:dyDescent="0.45">
      <c r="A34" s="21" t="s">
        <v>160</v>
      </c>
      <c r="B34" s="1" t="s">
        <v>260</v>
      </c>
      <c r="C34" s="9">
        <f t="shared" si="0"/>
        <v>60000</v>
      </c>
      <c r="D34" s="9">
        <v>100000</v>
      </c>
      <c r="E34" s="9">
        <v>0</v>
      </c>
      <c r="F34" s="9"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9">
        <f t="shared" si="0"/>
        <v>0</v>
      </c>
      <c r="D35" s="9">
        <v>40000</v>
      </c>
      <c r="E35" s="9">
        <v>0</v>
      </c>
      <c r="F35" s="9"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  <c r="BO45">
        <v>640700</v>
      </c>
      <c r="BP45" t="s">
        <v>167</v>
      </c>
    </row>
    <row r="46" spans="1:68" ht="18.5" x14ac:dyDescent="0.45">
      <c r="AW46" s="15"/>
      <c r="AX46" s="15"/>
      <c r="AY46" s="15"/>
      <c r="AZ46" s="16"/>
      <c r="BO46">
        <v>560000</v>
      </c>
      <c r="BP46" t="s">
        <v>168</v>
      </c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7680500</v>
      </c>
    </row>
  </sheetData>
  <autoFilter ref="A5:AF36" xr:uid="{00000000-0009-0000-0000-000012000000}"/>
  <mergeCells count="1">
    <mergeCell ref="B4:M4"/>
  </mergeCells>
  <dataValidations count="1">
    <dataValidation type="list" allowBlank="1" showInputMessage="1" showErrorMessage="1" sqref="T6:T36 AP6:AP36 AF6:AF36 AA6:AA36" xr:uid="{00000000-0002-0000-12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6.54296875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115000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140000</v>
      </c>
      <c r="E9" s="9">
        <v>0</v>
      </c>
      <c r="F9" s="9"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82000</v>
      </c>
      <c r="E10" s="9">
        <v>0</v>
      </c>
      <c r="F10" s="9"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9">
        <f t="shared" si="0"/>
        <v>-100000</v>
      </c>
      <c r="D11" s="9">
        <v>912500</v>
      </c>
      <c r="E11" s="9">
        <v>0</v>
      </c>
      <c r="F11" s="9"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320000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5" x14ac:dyDescent="0.45">
      <c r="A18" s="1" t="s">
        <v>23</v>
      </c>
      <c r="B18" s="1" t="s">
        <v>244</v>
      </c>
      <c r="C18" s="9">
        <f t="shared" si="0"/>
        <v>1000</v>
      </c>
      <c r="D18" s="9">
        <v>215000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5" x14ac:dyDescent="0.45">
      <c r="A20" s="73" t="s">
        <v>25</v>
      </c>
      <c r="B20" s="73" t="s">
        <v>246</v>
      </c>
      <c r="C20" s="14">
        <f t="shared" si="0"/>
        <v>93000</v>
      </c>
      <c r="D20" s="14">
        <v>403500</v>
      </c>
      <c r="E20" s="14">
        <v>0</v>
      </c>
      <c r="F20" s="14"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v>32500</v>
      </c>
      <c r="Q20" s="76">
        <v>0</v>
      </c>
      <c r="R20" s="76"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5" x14ac:dyDescent="0.45">
      <c r="A23" s="1" t="s">
        <v>28</v>
      </c>
      <c r="B23" s="1" t="s">
        <v>249</v>
      </c>
      <c r="C23" s="5">
        <f t="shared" si="0"/>
        <v>0</v>
      </c>
      <c r="D23" s="9">
        <v>250000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5" x14ac:dyDescent="0.45">
      <c r="A24" s="1" t="s">
        <v>29</v>
      </c>
      <c r="B24" s="1" t="s">
        <v>250</v>
      </c>
      <c r="C24" s="9">
        <f t="shared" si="0"/>
        <v>-3000</v>
      </c>
      <c r="D24" s="9">
        <v>0</v>
      </c>
      <c r="E24" s="9">
        <v>215000</v>
      </c>
      <c r="F24" s="9"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5" x14ac:dyDescent="0.45">
      <c r="A25" s="1" t="s">
        <v>30</v>
      </c>
      <c r="B25" s="1" t="s">
        <v>251</v>
      </c>
      <c r="C25" s="9">
        <f t="shared" si="0"/>
        <v>-10000</v>
      </c>
      <c r="D25" s="9">
        <v>280000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84000</v>
      </c>
      <c r="F26" s="9"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5" x14ac:dyDescent="0.45">
      <c r="A27" s="1" t="s">
        <v>158</v>
      </c>
      <c r="B27" s="1" t="s">
        <v>253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5" x14ac:dyDescent="0.45">
      <c r="A31" s="1" t="s">
        <v>37</v>
      </c>
      <c r="B31" s="1" t="s">
        <v>257</v>
      </c>
      <c r="C31" s="9">
        <f t="shared" si="0"/>
        <v>-70000</v>
      </c>
      <c r="D31" s="9">
        <v>140000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5" x14ac:dyDescent="0.45">
      <c r="A32" s="73" t="s">
        <v>38</v>
      </c>
      <c r="B32" s="73" t="s">
        <v>258</v>
      </c>
      <c r="C32" s="14">
        <f t="shared" si="0"/>
        <v>0</v>
      </c>
      <c r="D32" s="14">
        <v>115000</v>
      </c>
      <c r="E32" s="14">
        <v>0</v>
      </c>
      <c r="F32" s="14"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v>0</v>
      </c>
      <c r="Q32" s="76"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40000</v>
      </c>
      <c r="E33" s="9">
        <v>0</v>
      </c>
      <c r="F33" s="9"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9">
        <f t="shared" si="0"/>
        <v>25000</v>
      </c>
      <c r="D34" s="9">
        <v>100000</v>
      </c>
      <c r="E34" s="9">
        <v>0</v>
      </c>
      <c r="F34" s="9"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9">
        <f t="shared" si="0"/>
        <v>-6000</v>
      </c>
      <c r="D35" s="9">
        <v>34000</v>
      </c>
      <c r="E35" s="9">
        <v>0</v>
      </c>
      <c r="F35" s="9"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  <c r="BD39" t="s">
        <v>184</v>
      </c>
      <c r="BE39" s="70">
        <v>1750000</v>
      </c>
    </row>
    <row r="40" spans="1:68" ht="18.5" x14ac:dyDescent="0.45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9183000</v>
      </c>
    </row>
  </sheetData>
  <autoFilter ref="A5:AF36" xr:uid="{00000000-0009-0000-0000-000013000000}"/>
  <mergeCells count="1">
    <mergeCell ref="B4:M4"/>
  </mergeCells>
  <dataValidations count="1">
    <dataValidation type="list" allowBlank="1" showInputMessage="1" showErrorMessage="1" sqref="T6:T36 AP6:AP36 AF6:AF36 AA6:AA36" xr:uid="{00000000-0002-0000-13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6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7.81640625" customWidth="1"/>
    <col min="58" max="58" width="15" bestFit="1" customWidth="1"/>
    <col min="63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115000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145000</v>
      </c>
      <c r="E9" s="9">
        <v>0</v>
      </c>
      <c r="F9" s="9"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9">
        <f t="shared" si="0"/>
        <v>-70000</v>
      </c>
      <c r="D10" s="9">
        <v>0</v>
      </c>
      <c r="E10" s="9">
        <v>43000</v>
      </c>
      <c r="F10" s="9"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9">
        <f t="shared" si="0"/>
        <v>-157500</v>
      </c>
      <c r="D11" s="9">
        <v>115000</v>
      </c>
      <c r="E11" s="9">
        <v>0</v>
      </c>
      <c r="F11" s="9"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320000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415000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342000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5" x14ac:dyDescent="0.45">
      <c r="A18" s="1" t="s">
        <v>23</v>
      </c>
      <c r="B18" s="1" t="s">
        <v>244</v>
      </c>
      <c r="C18" s="5">
        <f>D18+E18+F18-U18-BB18</f>
        <v>0</v>
      </c>
      <c r="D18" s="9">
        <v>419000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9">
        <f t="shared" si="0"/>
        <v>-1000000</v>
      </c>
      <c r="D19" s="9">
        <v>40000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422000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0</v>
      </c>
      <c r="R20" s="2"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452000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">
        <v>250</v>
      </c>
      <c r="C24" s="5">
        <f t="shared" si="0"/>
        <v>0</v>
      </c>
      <c r="D24" s="9">
        <v>220000</v>
      </c>
      <c r="E24" s="9">
        <v>0</v>
      </c>
      <c r="F24" s="9"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280000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43000</v>
      </c>
      <c r="F26" s="9"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">
        <v>253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">
        <v>255</v>
      </c>
      <c r="C29" s="9">
        <f t="shared" si="0"/>
        <v>120000</v>
      </c>
      <c r="D29" s="9">
        <v>160000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140000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9">
        <f t="shared" si="0"/>
        <v>-200000</v>
      </c>
      <c r="D32" s="9">
        <v>115000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0</v>
      </c>
      <c r="E33" s="9">
        <v>43000</v>
      </c>
      <c r="F33" s="9"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0</v>
      </c>
      <c r="E34" s="9">
        <v>100000</v>
      </c>
      <c r="F34" s="9"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0</v>
      </c>
      <c r="E35" s="9">
        <v>40000</v>
      </c>
      <c r="F35" s="9"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10382000</v>
      </c>
    </row>
  </sheetData>
  <autoFilter ref="A5:AF36" xr:uid="{00000000-0009-0000-0000-000014000000}"/>
  <mergeCells count="1">
    <mergeCell ref="B4:M4"/>
  </mergeCells>
  <dataValidations disablePrompts="1" count="1">
    <dataValidation type="list" allowBlank="1" showInputMessage="1" showErrorMessage="1" sqref="T6:T36 AP6:AP36 AF6:AF36 AA6:AA36" xr:uid="{00000000-0002-0000-14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6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115000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145000</v>
      </c>
      <c r="E9" s="9">
        <v>23000</v>
      </c>
      <c r="F9" s="9"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23000</v>
      </c>
      <c r="Q9" s="2"/>
      <c r="R9" s="2"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0</v>
      </c>
      <c r="E10" s="9">
        <v>105000</v>
      </c>
      <c r="F10" s="9"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267000</v>
      </c>
      <c r="E11" s="9">
        <v>0</v>
      </c>
      <c r="F11" s="9"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420000</v>
      </c>
      <c r="E12" s="9">
        <v>0</v>
      </c>
      <c r="F12" s="9"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0</v>
      </c>
      <c r="E15" s="9">
        <v>118000</v>
      </c>
      <c r="F15" s="9"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230000</v>
      </c>
      <c r="E16" s="9">
        <v>0</v>
      </c>
      <c r="F16" s="9"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9">
        <f t="shared" si="0"/>
        <v>0</v>
      </c>
      <c r="D18" s="9">
        <v>315000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101000</v>
      </c>
      <c r="R18" s="2"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215000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0</v>
      </c>
      <c r="R20" s="2"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250000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">
        <v>250</v>
      </c>
      <c r="C24" s="5">
        <f t="shared" si="0"/>
        <v>0</v>
      </c>
      <c r="D24" s="9">
        <v>210000</v>
      </c>
      <c r="E24" s="9">
        <v>0</v>
      </c>
      <c r="F24" s="9"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407000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104000</v>
      </c>
      <c r="F26" s="9"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">
        <v>253</v>
      </c>
      <c r="C27" s="9">
        <f t="shared" si="0"/>
        <v>120000</v>
      </c>
      <c r="D27" s="9">
        <v>560000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140000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5">
        <f t="shared" si="0"/>
        <v>0</v>
      </c>
      <c r="D32" s="9">
        <v>255000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9">
        <f t="shared" si="0"/>
        <v>-3000</v>
      </c>
      <c r="D33" s="9">
        <v>0</v>
      </c>
      <c r="E33" s="9">
        <v>40000</v>
      </c>
      <c r="F33" s="9"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100000</v>
      </c>
      <c r="E34" s="9">
        <v>0</v>
      </c>
      <c r="F34" s="9"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9">
        <f t="shared" si="0"/>
        <v>43000</v>
      </c>
      <c r="D35" s="9">
        <v>0</v>
      </c>
      <c r="E35" s="9">
        <v>86000</v>
      </c>
      <c r="F35" s="9"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8931000</v>
      </c>
    </row>
  </sheetData>
  <autoFilter ref="A5:AF36" xr:uid="{00000000-0009-0000-0000-000015000000}"/>
  <mergeCells count="1">
    <mergeCell ref="B4:M4"/>
  </mergeCells>
  <dataValidations count="1">
    <dataValidation type="list" allowBlank="1" showInputMessage="1" showErrorMessage="1" sqref="T6:T36 AP6:AP36 AF6:AF36 AA6:AA36" xr:uid="{00000000-0002-0000-15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0" width="15" customWidth="1"/>
    <col min="51" max="51" width="8.45312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615000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191000</v>
      </c>
      <c r="E9" s="9">
        <v>0</v>
      </c>
      <c r="F9" s="9"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0</v>
      </c>
      <c r="E10" s="9">
        <v>43000</v>
      </c>
      <c r="F10" s="9"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-500</v>
      </c>
      <c r="D11" s="9">
        <v>251500</v>
      </c>
      <c r="E11" s="9">
        <v>0</v>
      </c>
      <c r="F11" s="9"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31000</v>
      </c>
      <c r="Q11" s="2"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590500</v>
      </c>
      <c r="E12" s="9">
        <v>0</v>
      </c>
      <c r="F12" s="9"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39000</v>
      </c>
      <c r="R12" s="2"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0"/>
        <v>0</v>
      </c>
      <c r="D18" s="9">
        <v>1215000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>D20+E20+F20-U20-BB20-202000-81500-500000</f>
        <v>0</v>
      </c>
      <c r="D20" s="9">
        <v>997500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0</v>
      </c>
      <c r="R20" s="2"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452000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">
        <v>250</v>
      </c>
      <c r="C24" s="5">
        <f t="shared" si="0"/>
        <v>0</v>
      </c>
      <c r="D24" s="9">
        <v>215000</v>
      </c>
      <c r="E24" s="9">
        <v>0</v>
      </c>
      <c r="F24" s="9"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350000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51000</v>
      </c>
      <c r="R25" s="2"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">
        <v>252</v>
      </c>
      <c r="C26" s="5">
        <f t="shared" si="0"/>
        <v>0</v>
      </c>
      <c r="D26" s="9">
        <v>40000</v>
      </c>
      <c r="E26" s="9">
        <v>0</v>
      </c>
      <c r="F26" s="9"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5" x14ac:dyDescent="0.45">
      <c r="A27" s="1" t="s">
        <v>158</v>
      </c>
      <c r="B27" s="1" t="s">
        <v>253</v>
      </c>
      <c r="C27" s="5">
        <f t="shared" si="0"/>
        <v>0</v>
      </c>
      <c r="D27" s="9">
        <v>45000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140000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5">
        <f t="shared" si="0"/>
        <v>0</v>
      </c>
      <c r="D32" s="9">
        <v>217000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40000</v>
      </c>
      <c r="E33" s="9">
        <v>0</v>
      </c>
      <c r="F33" s="9"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100000</v>
      </c>
      <c r="E34" s="9">
        <v>0</v>
      </c>
      <c r="F34" s="9"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40000</v>
      </c>
      <c r="E35" s="9">
        <v>0</v>
      </c>
      <c r="F35" s="9"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 t="s">
        <v>180</v>
      </c>
      <c r="BA39" s="5">
        <v>94000</v>
      </c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10365600</v>
      </c>
    </row>
  </sheetData>
  <autoFilter ref="A5:AF36" xr:uid="{00000000-0009-0000-0000-000016000000}"/>
  <mergeCells count="1">
    <mergeCell ref="B4:M4"/>
  </mergeCells>
  <dataValidations count="1">
    <dataValidation type="list" allowBlank="1" showInputMessage="1" showErrorMessage="1" sqref="T6:T36 AP6:AP36 AF6:AF36 AA6:AA36" xr:uid="{00000000-0002-0000-16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4.81640625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33500</v>
      </c>
      <c r="F7" s="9"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115000</v>
      </c>
      <c r="E8" s="9">
        <v>0</v>
      </c>
      <c r="F8" s="9"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241000</v>
      </c>
      <c r="E9" s="9">
        <v>87500</v>
      </c>
      <c r="F9" s="9"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14">
        <f t="shared" si="0"/>
        <v>0</v>
      </c>
      <c r="D10" s="9">
        <v>0</v>
      </c>
      <c r="E10" s="9">
        <v>43000</v>
      </c>
      <c r="F10" s="9"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165000</v>
      </c>
      <c r="E11" s="9">
        <v>85500</v>
      </c>
      <c r="F11" s="9"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30500</v>
      </c>
      <c r="Q11" s="2"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360000</v>
      </c>
      <c r="E12" s="9">
        <v>0</v>
      </c>
      <c r="F12" s="9"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30500</v>
      </c>
      <c r="Q12" s="2">
        <v>0</v>
      </c>
      <c r="R12" s="2"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0</v>
      </c>
      <c r="F16" s="9"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0"/>
        <v>0</v>
      </c>
      <c r="D18" s="9">
        <v>215000</v>
      </c>
      <c r="E18" s="9">
        <v>0</v>
      </c>
      <c r="F18" s="9"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519000</v>
      </c>
      <c r="E20" s="9">
        <v>0</v>
      </c>
      <c r="F20" s="9"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102000</v>
      </c>
      <c r="R20" s="2"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452000</v>
      </c>
      <c r="E23" s="9">
        <v>0</v>
      </c>
      <c r="F23" s="9"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5" x14ac:dyDescent="0.45">
      <c r="A24" s="1" t="s">
        <v>29</v>
      </c>
      <c r="B24" s="1" t="s">
        <v>250</v>
      </c>
      <c r="C24" s="9">
        <f t="shared" si="0"/>
        <v>-122000</v>
      </c>
      <c r="D24" s="9">
        <v>159000</v>
      </c>
      <c r="E24" s="9">
        <v>0</v>
      </c>
      <c r="F24" s="9"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61000</v>
      </c>
      <c r="Q24" s="2">
        <v>0</v>
      </c>
      <c r="R24" s="2"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400000</v>
      </c>
      <c r="E25" s="9">
        <v>0</v>
      </c>
      <c r="F25" s="9"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102000</v>
      </c>
      <c r="R25" s="2"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43000</v>
      </c>
      <c r="F26" s="9"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5" x14ac:dyDescent="0.45">
      <c r="A27" s="1" t="s">
        <v>158</v>
      </c>
      <c r="B27" s="1" t="s">
        <v>253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140000</v>
      </c>
      <c r="E31" s="9">
        <v>0</v>
      </c>
      <c r="F31" s="9"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5">
        <f t="shared" si="0"/>
        <v>0</v>
      </c>
      <c r="D32" s="9">
        <v>365000</v>
      </c>
      <c r="E32" s="9">
        <v>102000</v>
      </c>
      <c r="F32" s="9"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40000</v>
      </c>
      <c r="E33" s="9">
        <v>0</v>
      </c>
      <c r="F33" s="9"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100000</v>
      </c>
      <c r="E34" s="9">
        <v>0</v>
      </c>
      <c r="F34" s="9"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40000</v>
      </c>
      <c r="E35" s="9">
        <v>0</v>
      </c>
      <c r="F35" s="9"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7121000</v>
      </c>
    </row>
  </sheetData>
  <autoFilter ref="A5:AF36" xr:uid="{00000000-0009-0000-0000-000017000000}"/>
  <mergeCells count="1">
    <mergeCell ref="B4:M4"/>
  </mergeCells>
  <dataValidations count="1">
    <dataValidation type="list" allowBlank="1" showInputMessage="1" showErrorMessage="1" sqref="T6:T36 AP6:AP36 AF6:AF36 AA6:AA36" xr:uid="{00000000-0002-0000-17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6.26953125" customWidth="1"/>
    <col min="58" max="58" width="15" bestFit="1" customWidth="1"/>
    <col min="63" max="63" width="14.453125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115000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5" x14ac:dyDescent="0.45">
      <c r="A9" s="73" t="s">
        <v>13</v>
      </c>
      <c r="B9" s="73" t="s">
        <v>236</v>
      </c>
      <c r="C9" s="14">
        <f t="shared" si="0"/>
        <v>0</v>
      </c>
      <c r="D9" s="14">
        <v>140000</v>
      </c>
      <c r="E9" s="14">
        <v>202000</v>
      </c>
      <c r="F9" s="14"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v>0</v>
      </c>
      <c r="Q9" s="76"/>
      <c r="R9" s="76"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0</v>
      </c>
      <c r="E10" s="9">
        <v>43000</v>
      </c>
      <c r="F10" s="9"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115000</v>
      </c>
      <c r="E11" s="9">
        <v>0</v>
      </c>
      <c r="F11" s="9"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320000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241000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0"/>
        <v>0</v>
      </c>
      <c r="D18" s="9">
        <v>215000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340000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586500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76000</v>
      </c>
      <c r="R20" s="2"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69">
        <f t="shared" si="0"/>
        <v>-576000</v>
      </c>
      <c r="D23" s="9">
        <v>270000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5" x14ac:dyDescent="0.45">
      <c r="A24" s="1" t="s">
        <v>29</v>
      </c>
      <c r="B24" s="1" t="s">
        <v>250</v>
      </c>
      <c r="C24" s="69">
        <f t="shared" si="0"/>
        <v>-230000</v>
      </c>
      <c r="D24" s="9">
        <v>320000</v>
      </c>
      <c r="E24" s="9">
        <v>0</v>
      </c>
      <c r="F24" s="9"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61000</v>
      </c>
      <c r="Q24" s="2">
        <v>169000</v>
      </c>
      <c r="R24" s="2"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400000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">
        <v>252</v>
      </c>
      <c r="C26" s="69">
        <f t="shared" si="0"/>
        <v>-1000000</v>
      </c>
      <c r="D26" s="9">
        <v>40000</v>
      </c>
      <c r="E26" s="9">
        <v>0</v>
      </c>
      <c r="F26" s="9"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5" x14ac:dyDescent="0.45">
      <c r="A27" s="1" t="s">
        <v>158</v>
      </c>
      <c r="B27" s="1" t="s">
        <v>253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140000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5" x14ac:dyDescent="0.45">
      <c r="A32" s="73" t="s">
        <v>38</v>
      </c>
      <c r="B32" s="73" t="s">
        <v>258</v>
      </c>
      <c r="C32" s="14">
        <f t="shared" si="0"/>
        <v>0</v>
      </c>
      <c r="D32" s="14">
        <v>441000</v>
      </c>
      <c r="E32" s="14">
        <v>0</v>
      </c>
      <c r="F32" s="14"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v>0</v>
      </c>
      <c r="Q32" s="76"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40000</v>
      </c>
      <c r="E33" s="9">
        <v>0</v>
      </c>
      <c r="F33" s="9"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100000</v>
      </c>
      <c r="E34" s="9">
        <v>0</v>
      </c>
      <c r="F34" s="9"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40000</v>
      </c>
      <c r="E35" s="9">
        <v>0</v>
      </c>
      <c r="F35" s="9"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290000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5" x14ac:dyDescent="0.45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5" x14ac:dyDescent="0.45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12480000</v>
      </c>
    </row>
  </sheetData>
  <autoFilter ref="A5:AF36" xr:uid="{00000000-0009-0000-0000-000018000000}"/>
  <mergeCells count="1">
    <mergeCell ref="B4:M4"/>
  </mergeCells>
  <dataValidations count="1">
    <dataValidation type="list" allowBlank="1" showInputMessage="1" showErrorMessage="1" sqref="T6:T36 AP6:AP36 AF6:AF36 AA6:AA36" xr:uid="{00000000-0002-0000-18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8" customWidth="1"/>
    <col min="58" max="58" width="15" bestFit="1" customWidth="1"/>
    <col min="64" max="64" width="12.453125" bestFit="1" customWidth="1"/>
    <col min="65" max="65" width="14.81640625" customWidth="1"/>
    <col min="66" max="66" width="14.4531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115000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441000</v>
      </c>
      <c r="E9" s="9">
        <v>0</v>
      </c>
      <c r="F9" s="9"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40000</v>
      </c>
      <c r="E10" s="9">
        <v>0</v>
      </c>
      <c r="F10" s="9"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347000</v>
      </c>
      <c r="E11" s="9">
        <v>0</v>
      </c>
      <c r="F11" s="9"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62500</v>
      </c>
      <c r="Q11" s="2"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320000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0"/>
        <v>0</v>
      </c>
      <c r="D18" s="9">
        <v>215000</v>
      </c>
      <c r="E18" s="9">
        <v>100000</v>
      </c>
      <c r="F18" s="9"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528500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61000</v>
      </c>
      <c r="Q20" s="2">
        <v>152000</v>
      </c>
      <c r="R20" s="2"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250000</v>
      </c>
      <c r="E23" s="9">
        <v>0</v>
      </c>
      <c r="F23" s="9"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">
        <v>250</v>
      </c>
      <c r="C24" s="5">
        <f t="shared" si="0"/>
        <v>-171000</v>
      </c>
      <c r="D24" s="9">
        <v>215000</v>
      </c>
      <c r="E24" s="9">
        <v>0</v>
      </c>
      <c r="F24" s="9"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171000</v>
      </c>
      <c r="R24" s="2"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440000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5" x14ac:dyDescent="0.45">
      <c r="A26" s="73" t="s">
        <v>31</v>
      </c>
      <c r="B26" s="73" t="s">
        <v>252</v>
      </c>
      <c r="C26" s="14">
        <f t="shared" si="0"/>
        <v>40000</v>
      </c>
      <c r="D26" s="14">
        <v>50000</v>
      </c>
      <c r="E26" s="14">
        <v>94000</v>
      </c>
      <c r="F26" s="14"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5" x14ac:dyDescent="0.45">
      <c r="A27" s="1" t="s">
        <v>158</v>
      </c>
      <c r="B27" s="1" t="s">
        <v>253</v>
      </c>
      <c r="C27" s="9">
        <f t="shared" si="0"/>
        <v>-127500</v>
      </c>
      <c r="D27" s="9">
        <v>50000</v>
      </c>
      <c r="E27" s="9">
        <v>0</v>
      </c>
      <c r="F27" s="9"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">
        <v>255</v>
      </c>
      <c r="C29" s="9">
        <f t="shared" si="0"/>
        <v>-177500</v>
      </c>
      <c r="D29" s="9">
        <v>40000</v>
      </c>
      <c r="E29" s="9"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140000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5">
        <f t="shared" si="0"/>
        <v>0</v>
      </c>
      <c r="D32" s="9">
        <v>191000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40000</v>
      </c>
      <c r="E33" s="9">
        <v>0</v>
      </c>
      <c r="F33" s="9"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40000</v>
      </c>
      <c r="E34" s="9">
        <v>0</v>
      </c>
      <c r="F34" s="9"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40000</v>
      </c>
      <c r="E35" s="9">
        <v>0</v>
      </c>
      <c r="F35" s="9"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 t="shared" si="0"/>
        <v>0</v>
      </c>
      <c r="D36" s="9">
        <v>400000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6266000</v>
      </c>
    </row>
  </sheetData>
  <autoFilter ref="A5:AF36" xr:uid="{00000000-0009-0000-0000-000019000000}"/>
  <mergeCells count="1">
    <mergeCell ref="B4:M4"/>
  </mergeCells>
  <dataValidations count="1">
    <dataValidation type="list" allowBlank="1" showInputMessage="1" showErrorMessage="1" sqref="T6:T36 AP6:AP36 AF6:AF36 AA6:AA36" xr:uid="{00000000-0002-0000-19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35" width="16" customWidth="1"/>
    <col min="36" max="36" width="13" customWidth="1"/>
    <col min="37" max="37" width="15.1796875" customWidth="1"/>
    <col min="38" max="38" width="11.54296875" customWidth="1"/>
    <col min="39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7" max="57" width="15.81640625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5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40000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0</v>
      </c>
      <c r="E8" s="9">
        <v>115000</v>
      </c>
      <c r="F8" s="9"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342000</v>
      </c>
      <c r="E9" s="9">
        <v>0</v>
      </c>
      <c r="F9" s="9"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40000</v>
      </c>
      <c r="E10" s="9">
        <v>0</v>
      </c>
      <c r="F10" s="9"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115000</v>
      </c>
      <c r="E11" s="9">
        <v>59000</v>
      </c>
      <c r="F11" s="9"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522000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136500</v>
      </c>
      <c r="D16" s="9">
        <v>452000</v>
      </c>
      <c r="E16" s="9">
        <v>136500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0"/>
        <v>0</v>
      </c>
      <c r="D18" s="9">
        <v>456000</v>
      </c>
      <c r="E18" s="14">
        <v>10000</v>
      </c>
      <c r="F18" s="9"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0</v>
      </c>
      <c r="R18" s="2"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417000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0</v>
      </c>
      <c r="R20" s="2"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351000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5" x14ac:dyDescent="0.45">
      <c r="A24" s="1" t="s">
        <v>29</v>
      </c>
      <c r="B24" s="1" t="s">
        <v>250</v>
      </c>
      <c r="C24" s="5">
        <f t="shared" si="0"/>
        <v>0</v>
      </c>
      <c r="D24" s="9">
        <v>400000</v>
      </c>
      <c r="E24" s="9">
        <v>17000</v>
      </c>
      <c r="F24" s="9"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500000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5" x14ac:dyDescent="0.45">
      <c r="A26" s="1" t="s">
        <v>31</v>
      </c>
      <c r="B26" s="1" t="s">
        <v>252</v>
      </c>
      <c r="C26" s="9">
        <f t="shared" si="0"/>
        <v>101000</v>
      </c>
      <c r="D26" s="9">
        <v>0</v>
      </c>
      <c r="E26" s="9">
        <v>158500</v>
      </c>
      <c r="F26" s="9"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">
        <v>253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171000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5">
        <f t="shared" si="0"/>
        <v>0</v>
      </c>
      <c r="D32" s="9">
        <v>115000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5">
        <f t="shared" si="0"/>
        <v>0</v>
      </c>
      <c r="D33" s="9">
        <v>40000</v>
      </c>
      <c r="E33" s="9">
        <v>0</v>
      </c>
      <c r="F33" s="9"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9">
        <f t="shared" si="0"/>
        <v>-227500</v>
      </c>
      <c r="D34" s="9">
        <v>80000</v>
      </c>
      <c r="E34" s="9">
        <v>0</v>
      </c>
      <c r="F34" s="9"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0</v>
      </c>
      <c r="E35" s="9">
        <v>40000</v>
      </c>
      <c r="F35" s="9"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5" x14ac:dyDescent="0.45">
      <c r="A36" s="1" t="s">
        <v>41</v>
      </c>
      <c r="B36" s="1" t="s">
        <v>262</v>
      </c>
      <c r="C36" s="5">
        <f>D36+E36+F36-U36-BB36</f>
        <v>0</v>
      </c>
      <c r="D36" s="9">
        <v>880000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8001000</v>
      </c>
    </row>
  </sheetData>
  <autoFilter ref="A5:AF36" xr:uid="{00000000-0009-0000-0000-00001A000000}"/>
  <mergeCells count="1">
    <mergeCell ref="B4:M4"/>
  </mergeCells>
  <dataValidations count="1">
    <dataValidation type="list" allowBlank="1" showInputMessage="1" showErrorMessage="1" sqref="T6:T36 AP6:AP36 AA6:AA36 AF6:AF33 AF35:AF36" xr:uid="{00000000-0002-0000-1A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68000</v>
      </c>
      <c r="E7" s="9">
        <v>0</v>
      </c>
      <c r="F7" s="9"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5">
        <f t="shared" si="0"/>
        <v>0</v>
      </c>
      <c r="D8" s="9">
        <v>115000</v>
      </c>
      <c r="E8" s="9">
        <v>0</v>
      </c>
      <c r="F8" s="9"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">
        <v>236</v>
      </c>
      <c r="C9" s="5">
        <f t="shared" si="0"/>
        <v>0</v>
      </c>
      <c r="D9" s="9">
        <v>342000</v>
      </c>
      <c r="E9" s="9">
        <v>0</v>
      </c>
      <c r="F9" s="9"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5">
        <f t="shared" si="0"/>
        <v>0</v>
      </c>
      <c r="D10" s="9">
        <v>40000</v>
      </c>
      <c r="E10" s="9">
        <v>0</v>
      </c>
      <c r="F10" s="9"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191000</v>
      </c>
      <c r="E11" s="9">
        <v>0</v>
      </c>
      <c r="F11" s="9"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522000</v>
      </c>
      <c r="E12" s="9">
        <v>0</v>
      </c>
      <c r="F12" s="9"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0</v>
      </c>
      <c r="R12" s="2"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40000</v>
      </c>
      <c r="E13" s="9">
        <v>0</v>
      </c>
      <c r="F13" s="9"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9">
        <f t="shared" si="0"/>
        <v>-70000</v>
      </c>
      <c r="D14" s="9">
        <v>40000</v>
      </c>
      <c r="E14" s="9">
        <v>0</v>
      </c>
      <c r="F14" s="9"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-136500</v>
      </c>
      <c r="D16" s="9">
        <v>452000</v>
      </c>
      <c r="E16" s="9">
        <v>0</v>
      </c>
      <c r="F16" s="9"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140000</v>
      </c>
      <c r="E17" s="9">
        <v>0</v>
      </c>
      <c r="F17" s="9"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0"/>
        <v>0</v>
      </c>
      <c r="D18" s="9">
        <v>367000</v>
      </c>
      <c r="E18" s="9">
        <v>0</v>
      </c>
      <c r="F18" s="9"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0</v>
      </c>
      <c r="Q18" s="2">
        <v>152000</v>
      </c>
      <c r="R18" s="2"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599500</v>
      </c>
      <c r="E20" s="9">
        <v>0</v>
      </c>
      <c r="F20" s="9"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30500</v>
      </c>
      <c r="Q20" s="2">
        <v>152000</v>
      </c>
      <c r="R20" s="2"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40000</v>
      </c>
      <c r="E21" s="9">
        <v>0</v>
      </c>
      <c r="F21" s="9"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5">
        <f t="shared" si="0"/>
        <v>0</v>
      </c>
      <c r="D22" s="9">
        <v>115000</v>
      </c>
      <c r="E22" s="9">
        <v>0</v>
      </c>
      <c r="F22" s="9"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250000</v>
      </c>
      <c r="E23" s="9">
        <v>0</v>
      </c>
      <c r="F23" s="9"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">
        <v>250</v>
      </c>
      <c r="C24" s="5">
        <f t="shared" si="0"/>
        <v>0</v>
      </c>
      <c r="D24" s="9">
        <v>420000</v>
      </c>
      <c r="E24" s="9">
        <v>0</v>
      </c>
      <c r="F24" s="9"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500000</v>
      </c>
      <c r="E25" s="9">
        <v>0</v>
      </c>
      <c r="F25" s="9"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102000</v>
      </c>
      <c r="F26" s="9"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">
        <v>253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9">
        <f t="shared" si="0"/>
        <v>-70000</v>
      </c>
      <c r="D28" s="9">
        <v>115000</v>
      </c>
      <c r="E28" s="9">
        <v>0</v>
      </c>
      <c r="F28" s="9"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 t="shared" si="0"/>
        <v>0</v>
      </c>
      <c r="D30" s="9">
        <v>115000</v>
      </c>
      <c r="E30" s="9">
        <v>0</v>
      </c>
      <c r="F30" s="9"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171000</v>
      </c>
      <c r="E31" s="9">
        <v>0</v>
      </c>
      <c r="F31" s="9"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30500</v>
      </c>
      <c r="Q31" s="2"/>
      <c r="R31" s="2"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5">
        <f t="shared" si="0"/>
        <v>0</v>
      </c>
      <c r="D32" s="9">
        <v>115000</v>
      </c>
      <c r="E32" s="9">
        <v>0</v>
      </c>
      <c r="F32" s="9"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9">
        <f t="shared" si="0"/>
        <v>80000</v>
      </c>
      <c r="D33" s="9">
        <v>120000</v>
      </c>
      <c r="E33" s="9">
        <v>0</v>
      </c>
      <c r="F33" s="9"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70000</v>
      </c>
      <c r="E34" s="9">
        <v>0</v>
      </c>
      <c r="F34" s="9"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 t="shared" si="0"/>
        <v>0</v>
      </c>
      <c r="D35" s="9">
        <v>0</v>
      </c>
      <c r="E35" s="9">
        <v>40000</v>
      </c>
      <c r="F35" s="9"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5" x14ac:dyDescent="0.45">
      <c r="A36" s="1" t="s">
        <v>41</v>
      </c>
      <c r="B36" s="1" t="s">
        <v>262</v>
      </c>
      <c r="C36" s="9">
        <f t="shared" si="0"/>
        <v>-70000</v>
      </c>
      <c r="D36" s="9">
        <v>593000</v>
      </c>
      <c r="E36" s="9">
        <v>0</v>
      </c>
      <c r="F36" s="9"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5011000</v>
      </c>
    </row>
  </sheetData>
  <autoFilter ref="A5:AF36" xr:uid="{00000000-0009-0000-0000-00001B000000}"/>
  <mergeCells count="1">
    <mergeCell ref="B4:M4"/>
  </mergeCells>
  <dataValidations count="1">
    <dataValidation type="list" allowBlank="1" showInputMessage="1" showErrorMessage="1" sqref="T6:T36 AP6:AP36 AF6:AF36 AA6:AA36" xr:uid="{00000000-0002-0000-1B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5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8" max="58" width="15" bestFit="1" customWidth="1"/>
    <col min="64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 t="shared" ref="C6:C36" si="0">D6+E6+F6-U6-BB6</f>
        <v>0</v>
      </c>
      <c r="D6" s="9">
        <v>175000</v>
      </c>
      <c r="E6" s="9">
        <v>0</v>
      </c>
      <c r="F6" s="9"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v>0</v>
      </c>
      <c r="R6" s="2"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5" x14ac:dyDescent="0.45">
      <c r="A7" s="1" t="s">
        <v>161</v>
      </c>
      <c r="B7" s="1" t="s">
        <v>234</v>
      </c>
      <c r="C7" s="5">
        <f t="shared" si="0"/>
        <v>0</v>
      </c>
      <c r="D7" s="9">
        <v>0</v>
      </c>
      <c r="E7" s="9">
        <v>669000</v>
      </c>
      <c r="F7" s="9"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5" x14ac:dyDescent="0.45">
      <c r="A8" s="1" t="s">
        <v>12</v>
      </c>
      <c r="B8" s="1" t="s">
        <v>235</v>
      </c>
      <c r="C8" s="69">
        <f t="shared" si="0"/>
        <v>0</v>
      </c>
      <c r="D8" s="9">
        <v>115000</v>
      </c>
      <c r="E8" s="9">
        <v>0</v>
      </c>
      <c r="F8" s="9"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v>0</v>
      </c>
      <c r="Q8" s="2"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5" x14ac:dyDescent="0.45">
      <c r="A9" s="1" t="s">
        <v>13</v>
      </c>
      <c r="B9" s="1" t="s">
        <v>236</v>
      </c>
      <c r="C9" s="69">
        <f>D9+E9+F9-U9-BB9</f>
        <v>221000</v>
      </c>
      <c r="D9" s="9">
        <v>386000</v>
      </c>
      <c r="E9" s="9">
        <v>1000000</v>
      </c>
      <c r="F9" s="9"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v>0</v>
      </c>
      <c r="Q9" s="2"/>
      <c r="R9" s="2"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5" x14ac:dyDescent="0.45">
      <c r="A10" s="1" t="s">
        <v>14</v>
      </c>
      <c r="B10" s="1" t="s">
        <v>237</v>
      </c>
      <c r="C10" s="69">
        <f t="shared" si="0"/>
        <v>0</v>
      </c>
      <c r="D10" s="9">
        <v>0</v>
      </c>
      <c r="E10" s="9">
        <v>40000</v>
      </c>
      <c r="F10" s="9"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5" x14ac:dyDescent="0.45">
      <c r="A11" s="1" t="s">
        <v>15</v>
      </c>
      <c r="B11" s="1" t="s">
        <v>238</v>
      </c>
      <c r="C11" s="5">
        <f t="shared" si="0"/>
        <v>0</v>
      </c>
      <c r="D11" s="9">
        <v>115000</v>
      </c>
      <c r="E11" s="9">
        <v>1077000</v>
      </c>
      <c r="F11" s="9"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v>0</v>
      </c>
      <c r="Q11" s="2"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5" x14ac:dyDescent="0.45">
      <c r="A12" s="1" t="s">
        <v>16</v>
      </c>
      <c r="B12" s="1" t="s">
        <v>239</v>
      </c>
      <c r="C12" s="5">
        <f t="shared" si="0"/>
        <v>0</v>
      </c>
      <c r="D12" s="9">
        <v>1040000</v>
      </c>
      <c r="E12" s="9">
        <v>257000</v>
      </c>
      <c r="F12" s="9"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v>0</v>
      </c>
      <c r="Q12" s="2">
        <v>51000</v>
      </c>
      <c r="R12" s="2"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5" x14ac:dyDescent="0.45">
      <c r="A13" s="1" t="s">
        <v>17</v>
      </c>
      <c r="B13" s="1" t="s">
        <v>240</v>
      </c>
      <c r="C13" s="5">
        <f t="shared" si="0"/>
        <v>0</v>
      </c>
      <c r="D13" s="9">
        <v>1040000</v>
      </c>
      <c r="E13" s="9">
        <v>0</v>
      </c>
      <c r="F13" s="9"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5" x14ac:dyDescent="0.45">
      <c r="A14" s="1" t="s">
        <v>18</v>
      </c>
      <c r="B14" s="1" t="s">
        <v>241</v>
      </c>
      <c r="C14" s="5">
        <f t="shared" si="0"/>
        <v>0</v>
      </c>
      <c r="D14" s="9">
        <v>40000</v>
      </c>
      <c r="E14" s="9">
        <v>0</v>
      </c>
      <c r="F14" s="9"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5" x14ac:dyDescent="0.45">
      <c r="A15" s="1" t="s">
        <v>20</v>
      </c>
      <c r="B15" s="1" t="s">
        <v>242</v>
      </c>
      <c r="C15" s="5">
        <f t="shared" si="0"/>
        <v>0</v>
      </c>
      <c r="D15" s="9">
        <v>115000</v>
      </c>
      <c r="E15" s="9">
        <v>0</v>
      </c>
      <c r="F15" s="9"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v>0</v>
      </c>
      <c r="Q15" s="2"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5" x14ac:dyDescent="0.45">
      <c r="A16" s="1" t="s">
        <v>21</v>
      </c>
      <c r="B16" s="1" t="s">
        <v>243</v>
      </c>
      <c r="C16" s="5">
        <f t="shared" si="0"/>
        <v>0</v>
      </c>
      <c r="D16" s="9">
        <v>250000</v>
      </c>
      <c r="E16" s="9">
        <v>569500</v>
      </c>
      <c r="F16" s="9"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v>0</v>
      </c>
      <c r="Q16" s="2">
        <v>0</v>
      </c>
      <c r="R16" s="2"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5" x14ac:dyDescent="0.45">
      <c r="A17" s="1" t="s">
        <v>22</v>
      </c>
      <c r="B17" s="1" t="s">
        <v>222</v>
      </c>
      <c r="C17" s="5">
        <f t="shared" si="0"/>
        <v>0</v>
      </c>
      <c r="D17" s="9">
        <v>1140000</v>
      </c>
      <c r="E17" s="9">
        <v>0</v>
      </c>
      <c r="F17" s="9"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v>0</v>
      </c>
      <c r="Q17" s="2"/>
      <c r="R17" s="2"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 t="shared" si="0"/>
        <v>0</v>
      </c>
      <c r="D18" s="9">
        <v>1000000</v>
      </c>
      <c r="E18" s="9">
        <v>447500</v>
      </c>
      <c r="F18" s="9"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v>30500</v>
      </c>
      <c r="Q18" s="2">
        <v>202000</v>
      </c>
      <c r="R18" s="2"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5" x14ac:dyDescent="0.45">
      <c r="A19" s="1" t="s">
        <v>24</v>
      </c>
      <c r="B19" s="1" t="s">
        <v>245</v>
      </c>
      <c r="C19" s="5">
        <f t="shared" si="0"/>
        <v>0</v>
      </c>
      <c r="D19" s="9">
        <v>40000</v>
      </c>
      <c r="E19" s="9">
        <v>0</v>
      </c>
      <c r="F19" s="9"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5" x14ac:dyDescent="0.45">
      <c r="A20" s="1" t="s">
        <v>25</v>
      </c>
      <c r="B20" s="1" t="s">
        <v>246</v>
      </c>
      <c r="C20" s="5">
        <f t="shared" si="0"/>
        <v>0</v>
      </c>
      <c r="D20" s="9">
        <v>0</v>
      </c>
      <c r="E20" s="9">
        <v>1829000</v>
      </c>
      <c r="F20" s="9"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v>0</v>
      </c>
      <c r="Q20" s="2">
        <v>307000</v>
      </c>
      <c r="R20" s="2"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5" x14ac:dyDescent="0.45">
      <c r="A21" s="1" t="s">
        <v>26</v>
      </c>
      <c r="B21" s="1" t="s">
        <v>247</v>
      </c>
      <c r="C21" s="5">
        <f t="shared" si="0"/>
        <v>0</v>
      </c>
      <c r="D21" s="9">
        <v>540000</v>
      </c>
      <c r="E21" s="9">
        <v>0</v>
      </c>
      <c r="F21" s="9"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5" x14ac:dyDescent="0.45">
      <c r="A22" s="1" t="s">
        <v>27</v>
      </c>
      <c r="B22" s="1" t="s">
        <v>248</v>
      </c>
      <c r="C22" s="69">
        <f t="shared" si="0"/>
        <v>0</v>
      </c>
      <c r="D22" s="9">
        <v>222500</v>
      </c>
      <c r="E22" s="9">
        <v>0</v>
      </c>
      <c r="F22" s="9"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v>0</v>
      </c>
      <c r="Q22" s="2"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5" x14ac:dyDescent="0.45">
      <c r="A23" s="1" t="s">
        <v>28</v>
      </c>
      <c r="B23" s="1" t="s">
        <v>249</v>
      </c>
      <c r="C23" s="5">
        <f t="shared" si="0"/>
        <v>0</v>
      </c>
      <c r="D23" s="9">
        <v>850000</v>
      </c>
      <c r="E23" s="9">
        <v>0</v>
      </c>
      <c r="F23" s="9"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v>0</v>
      </c>
      <c r="Q23" s="2"/>
      <c r="R23" s="2"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5" x14ac:dyDescent="0.45">
      <c r="A24" s="1" t="s">
        <v>29</v>
      </c>
      <c r="B24" s="1" t="s">
        <v>250</v>
      </c>
      <c r="C24" s="5">
        <f t="shared" si="0"/>
        <v>0</v>
      </c>
      <c r="D24" s="9">
        <v>1215000</v>
      </c>
      <c r="E24" s="9">
        <v>202000</v>
      </c>
      <c r="F24" s="9"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v>0</v>
      </c>
      <c r="Q24" s="2">
        <v>0</v>
      </c>
      <c r="R24" s="2"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5" x14ac:dyDescent="0.45">
      <c r="A25" s="1" t="s">
        <v>30</v>
      </c>
      <c r="B25" s="1" t="s">
        <v>251</v>
      </c>
      <c r="C25" s="5">
        <f t="shared" si="0"/>
        <v>0</v>
      </c>
      <c r="D25" s="9">
        <v>600000</v>
      </c>
      <c r="E25" s="9">
        <v>1000000</v>
      </c>
      <c r="F25" s="9"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v>0</v>
      </c>
      <c r="Q25" s="2">
        <v>0</v>
      </c>
      <c r="R25" s="2"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5" x14ac:dyDescent="0.45">
      <c r="A26" s="1" t="s">
        <v>31</v>
      </c>
      <c r="B26" s="1" t="s">
        <v>252</v>
      </c>
      <c r="C26" s="5">
        <f t="shared" si="0"/>
        <v>0</v>
      </c>
      <c r="D26" s="9">
        <v>0</v>
      </c>
      <c r="E26" s="9">
        <v>1040000</v>
      </c>
      <c r="F26" s="9"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5" x14ac:dyDescent="0.45">
      <c r="A27" s="1" t="s">
        <v>158</v>
      </c>
      <c r="B27" s="1" t="s">
        <v>253</v>
      </c>
      <c r="C27" s="5">
        <f t="shared" si="0"/>
        <v>0</v>
      </c>
      <c r="D27" s="9">
        <v>50000</v>
      </c>
      <c r="E27" s="9">
        <v>0</v>
      </c>
      <c r="F27" s="9"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5" x14ac:dyDescent="0.45">
      <c r="A28" s="1" t="s">
        <v>34</v>
      </c>
      <c r="B28" s="1" t="s">
        <v>254</v>
      </c>
      <c r="C28" s="5">
        <f t="shared" si="0"/>
        <v>0</v>
      </c>
      <c r="D28" s="9">
        <v>115000</v>
      </c>
      <c r="E28" s="9">
        <v>0</v>
      </c>
      <c r="F28" s="9"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v>0</v>
      </c>
      <c r="Q28" s="2"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5" x14ac:dyDescent="0.45">
      <c r="A29" s="1" t="s">
        <v>159</v>
      </c>
      <c r="B29" s="1" t="s">
        <v>255</v>
      </c>
      <c r="C29" s="5">
        <f t="shared" si="0"/>
        <v>0</v>
      </c>
      <c r="D29" s="9">
        <v>40000</v>
      </c>
      <c r="E29" s="9">
        <v>0</v>
      </c>
      <c r="F29" s="9"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5" x14ac:dyDescent="0.45">
      <c r="A30" s="1" t="s">
        <v>35</v>
      </c>
      <c r="B30" s="1" t="s">
        <v>256</v>
      </c>
      <c r="C30" s="69">
        <f t="shared" si="0"/>
        <v>0</v>
      </c>
      <c r="D30" s="9">
        <v>115000</v>
      </c>
      <c r="E30" s="9">
        <v>0</v>
      </c>
      <c r="F30" s="9"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v>0</v>
      </c>
      <c r="Q30" s="2"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5" x14ac:dyDescent="0.45">
      <c r="A31" s="1" t="s">
        <v>37</v>
      </c>
      <c r="B31" s="1" t="s">
        <v>257</v>
      </c>
      <c r="C31" s="5">
        <f t="shared" si="0"/>
        <v>0</v>
      </c>
      <c r="D31" s="9">
        <v>1171000</v>
      </c>
      <c r="E31" s="9">
        <v>0</v>
      </c>
      <c r="F31" s="9"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v>0</v>
      </c>
      <c r="Q31" s="2"/>
      <c r="R31" s="2"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5" x14ac:dyDescent="0.45">
      <c r="A32" s="1" t="s">
        <v>38</v>
      </c>
      <c r="B32" s="1" t="s">
        <v>258</v>
      </c>
      <c r="C32" s="5">
        <f t="shared" si="0"/>
        <v>0</v>
      </c>
      <c r="D32" s="9">
        <v>416000</v>
      </c>
      <c r="E32" s="9">
        <v>0</v>
      </c>
      <c r="F32" s="9"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v>0</v>
      </c>
      <c r="Q32" s="2"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5" x14ac:dyDescent="0.45">
      <c r="A33" s="1" t="s">
        <v>157</v>
      </c>
      <c r="B33" s="1" t="s">
        <v>259</v>
      </c>
      <c r="C33" s="69">
        <f>D33+E33+F33-U33-BB33+70000</f>
        <v>40000</v>
      </c>
      <c r="D33" s="9">
        <v>90000</v>
      </c>
      <c r="E33" s="9">
        <v>0</v>
      </c>
      <c r="F33" s="9"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5" x14ac:dyDescent="0.45">
      <c r="A34" s="21" t="s">
        <v>160</v>
      </c>
      <c r="B34" s="1" t="s">
        <v>260</v>
      </c>
      <c r="C34" s="5">
        <f t="shared" si="0"/>
        <v>0</v>
      </c>
      <c r="D34" s="9">
        <v>40000</v>
      </c>
      <c r="E34" s="9">
        <v>0</v>
      </c>
      <c r="F34" s="9"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5" x14ac:dyDescent="0.45">
      <c r="A35" s="1" t="s">
        <v>40</v>
      </c>
      <c r="B35" s="1" t="s">
        <v>261</v>
      </c>
      <c r="C35" s="5">
        <f>D35+E35+F35-U35-BB35+70000</f>
        <v>0</v>
      </c>
      <c r="D35" s="9">
        <v>227500</v>
      </c>
      <c r="E35" s="9">
        <v>40000</v>
      </c>
      <c r="F35" s="9"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5" x14ac:dyDescent="0.45">
      <c r="A36" s="1" t="s">
        <v>41</v>
      </c>
      <c r="B36" s="1" t="s">
        <v>262</v>
      </c>
      <c r="C36" s="69">
        <f t="shared" si="0"/>
        <v>0</v>
      </c>
      <c r="D36" s="9">
        <v>290000</v>
      </c>
      <c r="E36" s="9">
        <v>0</v>
      </c>
      <c r="F36" s="9"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v>0</v>
      </c>
      <c r="Q36" s="2">
        <v>0</v>
      </c>
      <c r="R36" s="2"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29454500</v>
      </c>
    </row>
  </sheetData>
  <autoFilter ref="A5:AF36" xr:uid="{00000000-0009-0000-0000-00001C000000}"/>
  <mergeCells count="1">
    <mergeCell ref="B4:M4"/>
  </mergeCells>
  <dataValidations count="1">
    <dataValidation type="list" allowBlank="1" showInputMessage="1" showErrorMessage="1" sqref="T6:T36 AP6:AP36 AF6:AF36 AA6:AA36" xr:uid="{00000000-0002-0000-1C00-000000000000}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20" customWidth="1"/>
    <col min="4" max="4" width="17.54296875" bestFit="1" customWidth="1"/>
    <col min="5" max="7" width="17.54296875" customWidth="1"/>
    <col min="8" max="9" width="16.26953125" customWidth="1"/>
    <col min="10" max="10" width="14.1796875" bestFit="1" customWidth="1"/>
    <col min="11" max="11" width="15" bestFit="1" customWidth="1"/>
    <col min="12" max="12" width="11.26953125" customWidth="1"/>
    <col min="13" max="13" width="15" bestFit="1" customWidth="1"/>
    <col min="14" max="14" width="11.26953125" customWidth="1"/>
    <col min="15" max="15" width="15" bestFit="1" customWidth="1"/>
    <col min="16" max="16" width="16" customWidth="1"/>
    <col min="17" max="17" width="19.453125" customWidth="1"/>
    <col min="18" max="18" width="16" customWidth="1"/>
    <col min="19" max="19" width="15.1796875" bestFit="1" customWidth="1"/>
    <col min="20" max="20" width="16.1796875" customWidth="1"/>
    <col min="21" max="21" width="20.453125" customWidth="1"/>
    <col min="22" max="22" width="14.453125" bestFit="1" customWidth="1"/>
    <col min="24" max="25" width="13.81640625" customWidth="1"/>
    <col min="26" max="26" width="16.26953125" customWidth="1"/>
    <col min="27" max="27" width="13.81640625" customWidth="1"/>
    <col min="28" max="28" width="18.26953125" bestFit="1" customWidth="1"/>
    <col min="29" max="29" width="22.54296875" customWidth="1"/>
    <col min="30" max="31" width="19" customWidth="1"/>
    <col min="32" max="34" width="16.1796875" customWidth="1"/>
    <col min="35" max="40" width="16" customWidth="1"/>
    <col min="41" max="41" width="15.26953125" customWidth="1"/>
    <col min="45" max="46" width="12.453125" bestFit="1" customWidth="1"/>
    <col min="49" max="51" width="15" customWidth="1"/>
    <col min="52" max="52" width="16.81640625" bestFit="1" customWidth="1"/>
    <col min="53" max="53" width="15" bestFit="1" customWidth="1"/>
    <col min="54" max="55" width="12.453125" customWidth="1"/>
    <col min="56" max="56" width="16.81640625" bestFit="1" customWidth="1"/>
    <col min="58" max="58" width="15" bestFit="1" customWidth="1"/>
    <col min="60" max="60" width="12.453125" bestFit="1" customWidth="1"/>
    <col min="61" max="62" width="15" bestFit="1" customWidth="1"/>
    <col min="63" max="64" width="12.453125" bestFit="1" customWidth="1"/>
    <col min="65" max="65" width="14.81640625" customWidth="1"/>
    <col min="67" max="67" width="28.453125" bestFit="1" customWidth="1"/>
    <col min="68" max="68" width="27.81640625" bestFit="1" customWidth="1"/>
    <col min="69" max="69" width="21.453125" bestFit="1" customWidth="1"/>
  </cols>
  <sheetData>
    <row r="1" spans="1:68" x14ac:dyDescent="0.35">
      <c r="A1" s="1" t="s">
        <v>2</v>
      </c>
      <c r="B1" s="1" t="s">
        <v>3</v>
      </c>
      <c r="C1" s="1"/>
    </row>
    <row r="2" spans="1:68" x14ac:dyDescent="0.35">
      <c r="A2" s="1" t="s">
        <v>4</v>
      </c>
      <c r="B2" s="1">
        <v>2023</v>
      </c>
      <c r="C2" s="1"/>
    </row>
    <row r="3" spans="1:6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65">
      <c r="B4" s="120" t="s">
        <v>43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3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5" x14ac:dyDescent="0.45">
      <c r="A6" s="1" t="s">
        <v>108</v>
      </c>
      <c r="B6" s="1" t="s">
        <v>3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5" x14ac:dyDescent="0.45">
      <c r="A7" s="1" t="s">
        <v>161</v>
      </c>
      <c r="B7" s="1" t="s">
        <v>234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5" x14ac:dyDescent="0.45">
      <c r="A8" s="1" t="s">
        <v>12</v>
      </c>
      <c r="B8" s="1" t="s">
        <v>235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5" x14ac:dyDescent="0.45">
      <c r="A9" s="1" t="s">
        <v>13</v>
      </c>
      <c r="B9" s="1" t="s">
        <v>236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5" x14ac:dyDescent="0.45">
      <c r="A10" s="1" t="s">
        <v>14</v>
      </c>
      <c r="B10" s="1" t="s">
        <v>237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5" x14ac:dyDescent="0.45">
      <c r="A11" s="1" t="s">
        <v>15</v>
      </c>
      <c r="B11" s="1" t="s">
        <v>238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5" x14ac:dyDescent="0.45">
      <c r="A12" s="1" t="s">
        <v>16</v>
      </c>
      <c r="B12" s="1" t="s">
        <v>239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5" x14ac:dyDescent="0.45">
      <c r="A13" s="1" t="s">
        <v>17</v>
      </c>
      <c r="B13" s="1" t="s">
        <v>240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5" x14ac:dyDescent="0.45">
      <c r="A14" s="1" t="s">
        <v>18</v>
      </c>
      <c r="B14" s="1" t="s">
        <v>241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5" x14ac:dyDescent="0.45">
      <c r="A15" s="1" t="s">
        <v>20</v>
      </c>
      <c r="B15" s="1" t="s">
        <v>242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5" x14ac:dyDescent="0.45">
      <c r="A16" s="1" t="s">
        <v>21</v>
      </c>
      <c r="B16" s="1" t="s">
        <v>243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5" x14ac:dyDescent="0.45">
      <c r="A17" s="1" t="s">
        <v>22</v>
      </c>
      <c r="B17" s="1" t="s">
        <v>222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5" x14ac:dyDescent="0.45">
      <c r="A18" s="1" t="s">
        <v>23</v>
      </c>
      <c r="B18" s="1" t="s">
        <v>244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5" x14ac:dyDescent="0.45">
      <c r="A19" s="1" t="s">
        <v>24</v>
      </c>
      <c r="B19" s="1" t="s">
        <v>245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5" x14ac:dyDescent="0.45">
      <c r="A20" s="1" t="s">
        <v>25</v>
      </c>
      <c r="B20" s="1" t="s">
        <v>246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5" x14ac:dyDescent="0.45">
      <c r="A21" s="1" t="s">
        <v>26</v>
      </c>
      <c r="B21" s="1" t="s">
        <v>247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5" x14ac:dyDescent="0.45">
      <c r="A22" s="1" t="s">
        <v>27</v>
      </c>
      <c r="B22" s="1" t="s">
        <v>248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5" x14ac:dyDescent="0.45">
      <c r="A23" s="1" t="s">
        <v>28</v>
      </c>
      <c r="B23" s="1" t="s">
        <v>249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5" x14ac:dyDescent="0.45">
      <c r="A24" s="1" t="s">
        <v>29</v>
      </c>
      <c r="B24" s="1" t="s">
        <v>250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5" x14ac:dyDescent="0.45">
      <c r="A25" s="1" t="s">
        <v>30</v>
      </c>
      <c r="B25" s="1" t="s">
        <v>251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5" x14ac:dyDescent="0.45">
      <c r="A26" s="1" t="s">
        <v>31</v>
      </c>
      <c r="B26" s="1" t="s">
        <v>252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5" x14ac:dyDescent="0.45">
      <c r="A27" s="1" t="s">
        <v>158</v>
      </c>
      <c r="B27" s="1" t="s">
        <v>253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5" x14ac:dyDescent="0.45">
      <c r="A28" s="1" t="s">
        <v>34</v>
      </c>
      <c r="B28" s="1" t="s">
        <v>254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5" x14ac:dyDescent="0.45">
      <c r="A29" s="1" t="s">
        <v>159</v>
      </c>
      <c r="B29" s="1" t="s">
        <v>255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5" x14ac:dyDescent="0.45">
      <c r="A30" s="1" t="s">
        <v>35</v>
      </c>
      <c r="B30" s="1" t="s">
        <v>256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5" x14ac:dyDescent="0.45">
      <c r="A31" s="1" t="s">
        <v>37</v>
      </c>
      <c r="B31" s="1" t="s">
        <v>257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5" x14ac:dyDescent="0.45">
      <c r="A32" s="1" t="s">
        <v>38</v>
      </c>
      <c r="B32" s="1" t="s">
        <v>258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5" x14ac:dyDescent="0.45">
      <c r="A33" s="1" t="s">
        <v>157</v>
      </c>
      <c r="B33" s="1" t="s">
        <v>259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5" x14ac:dyDescent="0.45">
      <c r="A34" s="21" t="s">
        <v>160</v>
      </c>
      <c r="B34" s="1" t="s">
        <v>260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5" x14ac:dyDescent="0.45">
      <c r="A35" s="1" t="s">
        <v>40</v>
      </c>
      <c r="B35" s="1" t="s">
        <v>261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5" x14ac:dyDescent="0.45">
      <c r="A36" s="1" t="s">
        <v>41</v>
      </c>
      <c r="B36" s="1" t="s">
        <v>262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5" x14ac:dyDescent="0.45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5" x14ac:dyDescent="0.45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5" x14ac:dyDescent="0.45">
      <c r="AW39" s="15"/>
      <c r="AX39" s="15"/>
      <c r="AY39" s="15"/>
      <c r="AZ39" s="16"/>
    </row>
    <row r="40" spans="1:68" ht="18.5" x14ac:dyDescent="0.45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5" x14ac:dyDescent="0.45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5" x14ac:dyDescent="0.45">
      <c r="B42" s="1" t="s">
        <v>78</v>
      </c>
      <c r="AW42" s="15"/>
      <c r="AX42" s="15"/>
      <c r="AY42" s="15"/>
      <c r="AZ42" s="16"/>
    </row>
    <row r="43" spans="1:68" ht="18.5" x14ac:dyDescent="0.45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5" x14ac:dyDescent="0.45">
      <c r="AW44" s="15"/>
      <c r="AX44" s="15"/>
      <c r="AY44" s="15"/>
      <c r="AZ44" s="16"/>
    </row>
    <row r="45" spans="1:68" ht="18.5" x14ac:dyDescent="0.45">
      <c r="AW45" s="15"/>
      <c r="AX45" s="15"/>
      <c r="AY45" s="15"/>
      <c r="AZ45" s="16"/>
    </row>
    <row r="46" spans="1:68" ht="18.5" x14ac:dyDescent="0.45">
      <c r="AW46" s="15"/>
      <c r="AX46" s="15"/>
      <c r="AY46" s="15"/>
      <c r="AZ46" s="16"/>
    </row>
    <row r="47" spans="1:68" ht="18.5" x14ac:dyDescent="0.45">
      <c r="AW47" s="15"/>
      <c r="AX47" s="15"/>
      <c r="AY47" s="15"/>
      <c r="AZ47" s="16"/>
    </row>
    <row r="48" spans="1:68" ht="18.5" x14ac:dyDescent="0.45">
      <c r="AW48" s="15"/>
      <c r="AX48" s="15"/>
      <c r="AY48" s="15"/>
      <c r="AZ48" s="16"/>
    </row>
    <row r="49" spans="49:52" ht="18.5" x14ac:dyDescent="0.45">
      <c r="AW49" s="15"/>
      <c r="AX49" s="15"/>
      <c r="AY49" s="15"/>
      <c r="AZ49" s="16"/>
    </row>
    <row r="50" spans="49:52" ht="18.5" x14ac:dyDescent="0.45">
      <c r="AW50" s="15"/>
      <c r="AX50" s="15"/>
      <c r="AY50" s="15"/>
      <c r="AZ50" s="16"/>
    </row>
    <row r="51" spans="49:52" ht="18.5" x14ac:dyDescent="0.45">
      <c r="AW51" s="15"/>
      <c r="AX51" s="15"/>
      <c r="AY51" s="15"/>
      <c r="AZ51" s="16"/>
    </row>
    <row r="52" spans="49:52" ht="18.5" x14ac:dyDescent="0.45">
      <c r="AW52" s="15"/>
      <c r="AX52" s="15"/>
      <c r="AY52" s="15"/>
      <c r="AZ52" s="16"/>
    </row>
    <row r="53" spans="49:52" ht="18.5" x14ac:dyDescent="0.45">
      <c r="AW53" s="15"/>
      <c r="AX53" s="15"/>
      <c r="AY53" s="15"/>
      <c r="AZ53" s="16"/>
    </row>
    <row r="54" spans="49:52" ht="18.5" x14ac:dyDescent="0.45">
      <c r="AW54" s="15"/>
      <c r="AX54" s="15"/>
      <c r="AY54" s="15"/>
      <c r="AZ54" s="16"/>
    </row>
    <row r="55" spans="49:52" ht="18.5" x14ac:dyDescent="0.45">
      <c r="AW55" s="15"/>
      <c r="AX55" s="15"/>
      <c r="AY55" s="15"/>
      <c r="AZ55" s="16"/>
    </row>
    <row r="56" spans="49:52" ht="18.5" x14ac:dyDescent="0.45">
      <c r="AW56" s="15"/>
      <c r="AX56" s="15"/>
      <c r="AY56" s="15"/>
      <c r="AZ56" s="16"/>
    </row>
    <row r="57" spans="49:52" ht="18.5" x14ac:dyDescent="0.45">
      <c r="AW57" s="15"/>
      <c r="AX57" s="15"/>
      <c r="AY57" s="15"/>
      <c r="AZ57" s="16"/>
    </row>
    <row r="58" spans="49:52" ht="18.5" x14ac:dyDescent="0.45">
      <c r="AW58" s="15"/>
      <c r="AX58" s="15"/>
      <c r="AY58" s="15"/>
      <c r="AZ58" s="16"/>
    </row>
    <row r="59" spans="49:52" ht="18.5" x14ac:dyDescent="0.45">
      <c r="AW59" s="15"/>
      <c r="AX59" s="15"/>
      <c r="AY59" s="15"/>
      <c r="AZ59" s="16"/>
    </row>
    <row r="60" spans="49:52" ht="18.5" x14ac:dyDescent="0.45">
      <c r="AW60" s="15"/>
      <c r="AX60" s="15"/>
      <c r="AY60" s="15"/>
      <c r="AZ60" s="16"/>
    </row>
    <row r="61" spans="49:52" ht="18.5" x14ac:dyDescent="0.45">
      <c r="AW61" s="15"/>
      <c r="AX61" s="15"/>
      <c r="AY61" s="15"/>
      <c r="AZ61" s="16"/>
    </row>
    <row r="62" spans="49:52" ht="18.5" x14ac:dyDescent="0.45">
      <c r="AW62" s="15"/>
      <c r="AX62" s="15"/>
      <c r="AY62" s="15"/>
      <c r="AZ62" s="16"/>
    </row>
    <row r="63" spans="49:52" ht="18.5" x14ac:dyDescent="0.45">
      <c r="AW63" s="15"/>
      <c r="AX63" s="15"/>
      <c r="AY63" s="15"/>
      <c r="AZ63" s="16"/>
    </row>
    <row r="64" spans="49:52" ht="18.5" x14ac:dyDescent="0.45">
      <c r="AW64" s="15"/>
      <c r="AX64" s="15"/>
      <c r="AY64" s="15"/>
      <c r="AZ64" s="16"/>
    </row>
    <row r="65" spans="49:52" ht="18.5" x14ac:dyDescent="0.45">
      <c r="AW65" s="15"/>
      <c r="AX65" s="15"/>
      <c r="AY65" s="15"/>
      <c r="AZ65" s="16"/>
    </row>
    <row r="66" spans="49:52" ht="18.5" x14ac:dyDescent="0.45">
      <c r="AW66" s="15"/>
      <c r="AX66" s="15"/>
      <c r="AY66" s="15"/>
      <c r="AZ66" s="16"/>
    </row>
    <row r="67" spans="49:52" ht="18.5" x14ac:dyDescent="0.45">
      <c r="AW67" s="15"/>
      <c r="AX67" s="15"/>
      <c r="AY67" s="15"/>
      <c r="AZ67" s="16"/>
    </row>
    <row r="68" spans="49:52" ht="18.5" x14ac:dyDescent="0.45">
      <c r="AW68" s="15"/>
      <c r="AX68" s="15"/>
      <c r="AY68" s="15"/>
      <c r="AZ68" s="16"/>
    </row>
    <row r="69" spans="49:52" ht="18.5" x14ac:dyDescent="0.45">
      <c r="AW69" s="15"/>
      <c r="AX69" s="15"/>
      <c r="AY69" s="15"/>
      <c r="AZ69" s="16"/>
    </row>
    <row r="70" spans="49:52" ht="18.5" x14ac:dyDescent="0.45">
      <c r="AW70" s="15"/>
      <c r="AX70" s="15"/>
      <c r="AY70" s="15"/>
      <c r="AZ70" s="16"/>
    </row>
    <row r="71" spans="49:52" ht="18.5" x14ac:dyDescent="0.45">
      <c r="AW71" s="15"/>
      <c r="AX71" s="15"/>
      <c r="AY71" s="15"/>
      <c r="AZ71" s="16"/>
    </row>
    <row r="72" spans="49:52" ht="18.5" x14ac:dyDescent="0.45">
      <c r="AW72" s="15"/>
      <c r="AX72" s="15"/>
      <c r="AY72" s="15"/>
      <c r="AZ72" s="16"/>
    </row>
    <row r="73" spans="49:52" ht="18.5" x14ac:dyDescent="0.45">
      <c r="AW73" s="15"/>
      <c r="AX73" s="15"/>
      <c r="AY73" s="15"/>
      <c r="AZ73" s="16"/>
    </row>
    <row r="74" spans="49:52" ht="18.5" x14ac:dyDescent="0.45">
      <c r="AW74" s="15"/>
      <c r="AX74" s="15"/>
      <c r="AY74" s="15"/>
      <c r="AZ74" s="16"/>
    </row>
    <row r="75" spans="49:52" ht="18.5" x14ac:dyDescent="0.45">
      <c r="AW75" s="15"/>
      <c r="AX75" s="15"/>
      <c r="AY75" s="15"/>
      <c r="AZ75" s="16"/>
    </row>
    <row r="76" spans="49:52" ht="18.5" x14ac:dyDescent="0.45">
      <c r="AW76" s="15"/>
      <c r="AX76" s="15"/>
      <c r="AY76" s="15"/>
      <c r="AZ76" s="16"/>
    </row>
    <row r="77" spans="49:52" ht="18.5" x14ac:dyDescent="0.45">
      <c r="AW77" s="15"/>
      <c r="AX77" s="15"/>
      <c r="AY77" s="15"/>
      <c r="AZ77" s="16"/>
    </row>
    <row r="78" spans="49:52" ht="18.5" x14ac:dyDescent="0.45">
      <c r="AW78" s="15"/>
      <c r="AX78" s="15"/>
      <c r="AY78" s="15"/>
      <c r="AZ78" s="16"/>
    </row>
    <row r="79" spans="49:52" ht="18.5" x14ac:dyDescent="0.45">
      <c r="AW79" s="15"/>
      <c r="AX79" s="15"/>
      <c r="AY79" s="15"/>
      <c r="AZ79" s="16"/>
    </row>
    <row r="81" spans="49:52" ht="17.5" x14ac:dyDescent="0.35">
      <c r="AW81" s="5"/>
      <c r="AX81" s="5"/>
      <c r="AY81" s="5"/>
      <c r="AZ81" s="5">
        <f>SUM(AZ8:AZ80)</f>
        <v>125561600</v>
      </c>
    </row>
  </sheetData>
  <autoFilter ref="A5:AF36" xr:uid="{00000000-0009-0000-0000-00001D000000}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>
      <selection activeCell="I16" sqref="I16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47</vt:i4>
      </vt:variant>
      <vt:variant>
        <vt:lpstr>Plages nommées</vt:lpstr>
      </vt:variant>
      <vt:variant>
        <vt:i4>1</vt:i4>
      </vt:variant>
    </vt:vector>
  </HeadingPairs>
  <TitlesOfParts>
    <vt:vector size="48" baseType="lpstr">
      <vt:lpstr>MODETABORD</vt:lpstr>
      <vt:lpstr>HISTOMVTDEPENSE</vt:lpstr>
      <vt:lpstr>COMPTE BANQUE</vt:lpstr>
      <vt:lpstr>HISTODEC22</vt:lpstr>
      <vt:lpstr>HISTODEC24</vt:lpstr>
      <vt:lpstr>HISTOJANV25</vt:lpstr>
      <vt:lpstr>HISTOFEV25</vt:lpstr>
      <vt:lpstr>HISTOMARS25</vt:lpstr>
      <vt:lpstr>HISTOAVRIL25</vt:lpstr>
      <vt:lpstr>HISTOMAI25</vt:lpstr>
      <vt:lpstr>HISTOJUIN25</vt:lpstr>
      <vt:lpstr>HISTOJUIL25</vt:lpstr>
      <vt:lpstr>HISTOAOUT25</vt:lpstr>
      <vt:lpstr>HISTOSEPT25</vt:lpstr>
      <vt:lpstr>HISTOOCT25</vt:lpstr>
      <vt:lpstr>HISTONOV25</vt:lpstr>
      <vt:lpstr>HISTODEC25</vt:lpstr>
      <vt:lpstr>HISTORESUME25</vt:lpstr>
      <vt:lpstr>HISTODEC25 (2)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HISTODEC244</vt:lpstr>
      <vt:lpstr>HISTORESUME24</vt:lpstr>
      <vt:lpstr>HISTODEC24BB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dcterms:created xsi:type="dcterms:W3CDTF">2020-11-14T09:26:22Z</dcterms:created>
  <dcterms:modified xsi:type="dcterms:W3CDTF">2026-02-10T12:04:34Z</dcterms:modified>
</cp:coreProperties>
</file>