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T13" i="1"/>
  <c r="T15"/>
  <c r="T9"/>
  <c r="T8"/>
  <c r="T6"/>
  <c r="T5"/>
  <c r="V8"/>
  <c r="V6"/>
  <c r="V5"/>
  <c r="U9"/>
  <c r="S9"/>
  <c r="S8"/>
  <c r="S6"/>
  <c r="S5"/>
  <c r="L6"/>
  <c r="M6"/>
  <c r="N6"/>
  <c r="O6"/>
  <c r="P6"/>
  <c r="L7"/>
  <c r="M7"/>
  <c r="N7"/>
  <c r="O7"/>
  <c r="P7"/>
  <c r="L8"/>
  <c r="M8"/>
  <c r="N8"/>
  <c r="O8"/>
  <c r="P8"/>
  <c r="L9"/>
  <c r="M9"/>
  <c r="N9"/>
  <c r="O9"/>
  <c r="P9"/>
  <c r="L10"/>
  <c r="M10"/>
  <c r="N10"/>
  <c r="O10"/>
  <c r="P10"/>
  <c r="L11"/>
  <c r="M11"/>
  <c r="N11"/>
  <c r="O11"/>
  <c r="P11"/>
  <c r="L12"/>
  <c r="M12"/>
  <c r="N12"/>
  <c r="O12"/>
  <c r="P12"/>
  <c r="L13"/>
  <c r="M13"/>
  <c r="N13"/>
  <c r="O13"/>
  <c r="P13"/>
  <c r="L14"/>
  <c r="M14"/>
  <c r="N14"/>
  <c r="O14"/>
  <c r="P14"/>
  <c r="L15"/>
  <c r="M15"/>
  <c r="N15"/>
  <c r="O15"/>
  <c r="P15"/>
  <c r="L16"/>
  <c r="M16"/>
  <c r="N16"/>
  <c r="O16"/>
  <c r="P16"/>
  <c r="L17"/>
  <c r="M17"/>
  <c r="N17"/>
  <c r="O17"/>
  <c r="P17"/>
  <c r="P5"/>
  <c r="O5"/>
  <c r="N5"/>
  <c r="M5"/>
  <c r="K6"/>
  <c r="K7"/>
  <c r="K8"/>
  <c r="K9"/>
  <c r="K10"/>
  <c r="K11"/>
  <c r="K12"/>
  <c r="K13"/>
  <c r="K14"/>
  <c r="K15"/>
  <c r="K16"/>
  <c r="K17"/>
  <c r="L5"/>
  <c r="K5"/>
  <c r="J6"/>
  <c r="J7"/>
  <c r="J8"/>
  <c r="J9"/>
  <c r="J10"/>
  <c r="J11"/>
  <c r="J12"/>
  <c r="J13"/>
  <c r="J14"/>
  <c r="J15"/>
  <c r="J16"/>
  <c r="J17"/>
  <c r="J5"/>
  <c r="I6"/>
  <c r="I7"/>
  <c r="I8"/>
  <c r="I9"/>
  <c r="I10"/>
  <c r="I11"/>
  <c r="I12"/>
  <c r="I13"/>
  <c r="I14"/>
  <c r="I15"/>
  <c r="I16"/>
  <c r="I17"/>
  <c r="I5"/>
  <c r="H6"/>
  <c r="H7"/>
  <c r="H8"/>
  <c r="H9"/>
  <c r="H10"/>
  <c r="H11"/>
  <c r="H12"/>
  <c r="H13"/>
  <c r="H14"/>
  <c r="H15"/>
  <c r="H16"/>
  <c r="H17"/>
  <c r="H5"/>
  <c r="G9"/>
  <c r="G10"/>
  <c r="G11"/>
  <c r="G12"/>
  <c r="G13"/>
  <c r="G19" s="1"/>
  <c r="G14"/>
  <c r="G15"/>
  <c r="G16"/>
  <c r="G17"/>
  <c r="G5"/>
  <c r="G6"/>
  <c r="G7"/>
  <c r="G8"/>
  <c r="F17"/>
  <c r="D17"/>
  <c r="D10"/>
  <c r="F10" s="1"/>
  <c r="D8"/>
  <c r="F8" s="1"/>
  <c r="D9"/>
  <c r="F9" s="1"/>
  <c r="D11"/>
  <c r="F11" s="1"/>
  <c r="D12"/>
  <c r="F12" s="1"/>
  <c r="D13"/>
  <c r="F13" s="1"/>
  <c r="F19" s="1"/>
  <c r="D14"/>
  <c r="F14" s="1"/>
  <c r="D15"/>
  <c r="F15" s="1"/>
  <c r="D16"/>
  <c r="F16" s="1"/>
  <c r="D6"/>
  <c r="F6" s="1"/>
  <c r="D7"/>
  <c r="F7" s="1"/>
  <c r="D5"/>
  <c r="F5" s="1"/>
  <c r="G21" l="1"/>
  <c r="G20"/>
  <c r="T19"/>
  <c r="V19"/>
  <c r="U19" s="1"/>
  <c r="P19"/>
  <c r="K19"/>
  <c r="M19"/>
  <c r="J19"/>
  <c r="I19"/>
  <c r="H19"/>
  <c r="I20" l="1"/>
  <c r="I21"/>
  <c r="P20"/>
  <c r="P21"/>
  <c r="H20"/>
  <c r="H21"/>
  <c r="K20"/>
  <c r="K21"/>
  <c r="M21"/>
  <c r="M20"/>
  <c r="J21"/>
  <c r="J20"/>
  <c r="W19"/>
  <c r="N19"/>
  <c r="L19"/>
  <c r="O19"/>
  <c r="N21" l="1"/>
  <c r="N20"/>
  <c r="L20"/>
  <c r="L21"/>
  <c r="O20"/>
  <c r="O21"/>
</calcChain>
</file>

<file path=xl/sharedStrings.xml><?xml version="1.0" encoding="utf-8"?>
<sst xmlns="http://schemas.openxmlformats.org/spreadsheetml/2006/main" count="66" uniqueCount="58">
  <si>
    <t>HY-SRF05</t>
  </si>
  <si>
    <t>Компонент</t>
  </si>
  <si>
    <t xml:space="preserve">Количество на 1 компл. </t>
  </si>
  <si>
    <t>Количество в 1 лоте</t>
  </si>
  <si>
    <t>Стоимость 1 лота</t>
  </si>
  <si>
    <t>Цена за 1 шт.</t>
  </si>
  <si>
    <t>Стоимость 1 компл.</t>
  </si>
  <si>
    <t>Arduino-nano USB</t>
  </si>
  <si>
    <t>3A DC-DC конвертер</t>
  </si>
  <si>
    <t>HD74ls04</t>
  </si>
  <si>
    <t>Затраты на 1 компл.</t>
  </si>
  <si>
    <t>TIP122 транзистор</t>
  </si>
  <si>
    <t>BC547 транзистор</t>
  </si>
  <si>
    <t>10K резистор</t>
  </si>
  <si>
    <t>1К резистор</t>
  </si>
  <si>
    <t>A103J SIP-9 матрица</t>
  </si>
  <si>
    <t>TLC5940NT драйвер</t>
  </si>
  <si>
    <t>47.0 мкФ 16В конденсатор</t>
  </si>
  <si>
    <t>Радиатор и изолятор ТО220</t>
  </si>
  <si>
    <t>ВСЕГО:</t>
  </si>
  <si>
    <t>Печатная плата</t>
  </si>
  <si>
    <t>Затраты на 2 компл.</t>
  </si>
  <si>
    <t>Затраты на 3 компл.</t>
  </si>
  <si>
    <t>Затраты на 4 компл.</t>
  </si>
  <si>
    <t>Затраты на 5 компл.</t>
  </si>
  <si>
    <t>Затраты на 6 компл.</t>
  </si>
  <si>
    <t>Затраты на 7 компл.</t>
  </si>
  <si>
    <t>Затраты на 8 компл.</t>
  </si>
  <si>
    <t>Затраты на 9 компл.</t>
  </si>
  <si>
    <t>Затраты на 10 компл.</t>
  </si>
  <si>
    <t>Цена компонентов 1 компл.:</t>
  </si>
  <si>
    <t>Полная цена 1 комплекта:</t>
  </si>
  <si>
    <t>Закуплено</t>
  </si>
  <si>
    <t>Цена</t>
  </si>
  <si>
    <t>Оплачено</t>
  </si>
  <si>
    <t>Продавец</t>
  </si>
  <si>
    <t>satisfyelectronics</t>
  </si>
  <si>
    <t>lovesell2013</t>
  </si>
  <si>
    <t>caelectronics8</t>
  </si>
  <si>
    <t>cayin3</t>
  </si>
  <si>
    <t>gowin_electronic</t>
  </si>
  <si>
    <t>wahhing88</t>
  </si>
  <si>
    <t>survy2014</t>
  </si>
  <si>
    <t>smallpartsbigdifference</t>
  </si>
  <si>
    <t>ascend-mall</t>
  </si>
  <si>
    <t>sensesmart</t>
  </si>
  <si>
    <t>2012-boutique</t>
  </si>
  <si>
    <t>на 3 компл.</t>
  </si>
  <si>
    <t>Примечание</t>
  </si>
  <si>
    <t>на 2 компл.</t>
  </si>
  <si>
    <t>на 5 компл.</t>
  </si>
  <si>
    <t>на 20 компл.</t>
  </si>
  <si>
    <t>на 10 компл.</t>
  </si>
  <si>
    <t>=</t>
  </si>
  <si>
    <t>DirtyPCBs.com</t>
  </si>
  <si>
    <t>PayPal</t>
  </si>
  <si>
    <t>курс доллара USA (на 03.03.17):</t>
  </si>
  <si>
    <t>на 3+ компл.</t>
  </si>
</sst>
</file>

<file path=xl/styles.xml><?xml version="1.0" encoding="utf-8"?>
<styleSheet xmlns="http://schemas.openxmlformats.org/spreadsheetml/2006/main">
  <numFmts count="4">
    <numFmt numFmtId="164" formatCode="[$$-409]#,##0.00"/>
    <numFmt numFmtId="165" formatCode="#,##0.00\ &quot;₽&quot;"/>
    <numFmt numFmtId="166" formatCode="[$C$-4C0A]\ #,##0.00"/>
    <numFmt numFmtId="167" formatCode="#,##0.00\ [$GBP]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165" fontId="0" fillId="2" borderId="0" xfId="0" applyNumberFormat="1" applyFill="1"/>
    <xf numFmtId="0" fontId="2" fillId="0" borderId="0" xfId="1" applyAlignment="1" applyProtection="1">
      <alignment horizontal="center"/>
    </xf>
    <xf numFmtId="0" fontId="2" fillId="3" borderId="0" xfId="1" applyFill="1" applyAlignment="1" applyProtection="1">
      <alignment horizontal="center"/>
    </xf>
    <xf numFmtId="0" fontId="1" fillId="0" borderId="0" xfId="0" applyFont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0" xfId="1" applyFill="1" applyAlignment="1" applyProtection="1"/>
    <xf numFmtId="0" fontId="0" fillId="0" borderId="0" xfId="0" applyAlignment="1">
      <alignment horizontal="right"/>
    </xf>
    <xf numFmtId="164" fontId="0" fillId="0" borderId="0" xfId="0" quotePrefix="1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100pcs-1K-1000ohm-1-4W-1-accuracy-Metal-Film-Resistors-NEW-CA-/141976454381?hash=item210e74c4ed:g:PGsAAOSwosFUWZAS" TargetMode="External"/><Relationship Id="rId13" Type="http://schemas.openxmlformats.org/officeDocument/2006/relationships/hyperlink" Target="http://www.ebay.com/usr/satisfyelectronics?_trksid=p2055359.m2763.l2754" TargetMode="External"/><Relationship Id="rId18" Type="http://schemas.openxmlformats.org/officeDocument/2006/relationships/hyperlink" Target="http://www.ebay.com/usr/gowin_electronic?_trksid=p2055359.m2763.l2754" TargetMode="External"/><Relationship Id="rId26" Type="http://schemas.openxmlformats.org/officeDocument/2006/relationships/hyperlink" Target="http://dirtypcbs.com/store/order/2031936/db93a4c873c9deb36e2745064a9bf68fafb098eb" TargetMode="External"/><Relationship Id="rId3" Type="http://schemas.openxmlformats.org/officeDocument/2006/relationships/hyperlink" Target="http://www.ebay.com/itm/251890804519?afsrc=1&amp;rmvSB=true" TargetMode="External"/><Relationship Id="rId21" Type="http://schemas.openxmlformats.org/officeDocument/2006/relationships/hyperlink" Target="http://www.ebay.com/usr/smallpartsbigdifference?_trksid=p2057872.m2749.l2754" TargetMode="External"/><Relationship Id="rId7" Type="http://schemas.openxmlformats.org/officeDocument/2006/relationships/hyperlink" Target="http://www.ebay.com/itm/381374783687?afsrc=1&amp;rmvSB=true" TargetMode="External"/><Relationship Id="rId12" Type="http://schemas.openxmlformats.org/officeDocument/2006/relationships/hyperlink" Target="http://www.ebay.com/itm/222361604475" TargetMode="External"/><Relationship Id="rId17" Type="http://schemas.openxmlformats.org/officeDocument/2006/relationships/hyperlink" Target="http://www.ebay.com/usr/lovesell2013?_trksid=p2055359.m2763.l2754" TargetMode="External"/><Relationship Id="rId25" Type="http://schemas.openxmlformats.org/officeDocument/2006/relationships/hyperlink" Target="http://dirtypcbs.com/store" TargetMode="External"/><Relationship Id="rId2" Type="http://schemas.openxmlformats.org/officeDocument/2006/relationships/hyperlink" Target="http://www.ebay.com/itm/MINI-USB-Nano-V3-0-ATmega328P-CH340G-5V-16M-Micro-controller-board-Arduino-T1-/182330727079?" TargetMode="External"/><Relationship Id="rId16" Type="http://schemas.openxmlformats.org/officeDocument/2006/relationships/hyperlink" Target="http://www.ebay.com/usr/lovesell2013?_trksid=p2055359.m2763.l2754" TargetMode="External"/><Relationship Id="rId20" Type="http://schemas.openxmlformats.org/officeDocument/2006/relationships/hyperlink" Target="http://www.ebay.com/usr/survy2014?_trksid=p2057872.m2749.l2754" TargetMode="External"/><Relationship Id="rId1" Type="http://schemas.openxmlformats.org/officeDocument/2006/relationships/hyperlink" Target="http://www.ebay.com/itm/172257978706?afsrc=1&amp;rmvSB=true" TargetMode="External"/><Relationship Id="rId6" Type="http://schemas.openxmlformats.org/officeDocument/2006/relationships/hyperlink" Target="http://www.ebay.com/itm/10PCS-Genuine-NEW-BC547-C-PH-TO-92/171396668978?_trksid=p2047675.c100011.m1850&amp;_trkparms=aid%3D222007%26algo%3DSIC.MBE%26ao%3D1%26asc%3D41376%26meid%3Db723dc87bafc4047a99c9e427df150b7%26pid%3D100011%26rk%3D2%26rkt%3D11%26sd%3D18153" TargetMode="External"/><Relationship Id="rId11" Type="http://schemas.openxmlformats.org/officeDocument/2006/relationships/hyperlink" Target="http://www.ebay.com/itm/10x-16v-47uf-5x12-Aluminum-Radial-Electrolytic-Capacitor-47uf-16v/222229270612?_trksid=p2047675.c100011.m1850&amp;_trkparms=aid%3D222007%26algo%3DSIC.MBE%26ao%3D1%26asc%3D41376%26meid%3Db8f7095eb1a544699a2ebab7e6e2f739%26pid%3D100011%252" TargetMode="External"/><Relationship Id="rId24" Type="http://schemas.openxmlformats.org/officeDocument/2006/relationships/hyperlink" Target="http://www.ebay.com/usr/2012-boutique?_trksid=p2057872.m2749.l2754" TargetMode="External"/><Relationship Id="rId5" Type="http://schemas.openxmlformats.org/officeDocument/2006/relationships/hyperlink" Target="http://www.ebay.com/itm/171531398180?afsrc=1&amp;rmvSB=true" TargetMode="External"/><Relationship Id="rId15" Type="http://schemas.openxmlformats.org/officeDocument/2006/relationships/hyperlink" Target="http://www.ebay.com/usr/cayin35?_trksid=p2055359.m2763.l2754" TargetMode="External"/><Relationship Id="rId23" Type="http://schemas.openxmlformats.org/officeDocument/2006/relationships/hyperlink" Target="http://www.ebay.com/usr/sensesmart?_trksid=p2057872.m2749.l2754" TargetMode="External"/><Relationship Id="rId10" Type="http://schemas.openxmlformats.org/officeDocument/2006/relationships/hyperlink" Target="http://www.ebay.com/itm/5PCS-IC-LED-DRIVER-PWM-CONTROL-28-DIP-TLC5940NT-TLC5940-/191797111101?hash=item2ca7ffa93d:g:rBgAAOSw5dNWsICy" TargetMode="External"/><Relationship Id="rId19" Type="http://schemas.openxmlformats.org/officeDocument/2006/relationships/hyperlink" Target="http://www.ebay.com/usr/wahhing88?_trksid=p2057872.m2749.l2754" TargetMode="External"/><Relationship Id="rId4" Type="http://schemas.openxmlformats.org/officeDocument/2006/relationships/hyperlink" Target="http://www.ebay.com/itm/251904816063?afsrc=1&amp;rmvSB=true" TargetMode="External"/><Relationship Id="rId9" Type="http://schemas.openxmlformats.org/officeDocument/2006/relationships/hyperlink" Target="http://www.ebay.com/itm/10PCS-10K-A09-103-Row-Resistor-SIP-RESISTOR-DIP-9-/171324143477?hash=item27e3b6f775:g:BpQAAOSw1vlUwMr~" TargetMode="External"/><Relationship Id="rId14" Type="http://schemas.openxmlformats.org/officeDocument/2006/relationships/hyperlink" Target="http://www.ebay.com/usr/caelectronics8?_trksid=p2055359.m2763.l2754" TargetMode="External"/><Relationship Id="rId22" Type="http://schemas.openxmlformats.org/officeDocument/2006/relationships/hyperlink" Target="http://www.ebay.com/usr/ascend-mall?_trksid=p2057872.m2749.l2754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zoomScaleNormal="100" workbookViewId="0">
      <pane xSplit="5" ySplit="1" topLeftCell="L5" activePane="bottomRight" state="frozen"/>
      <selection pane="topRight" activeCell="F1" sqref="F1"/>
      <selection pane="bottomLeft" activeCell="A2" sqref="A2"/>
      <selection pane="bottomRight" activeCell="R23" sqref="R23"/>
    </sheetView>
  </sheetViews>
  <sheetFormatPr defaultRowHeight="15"/>
  <cols>
    <col min="1" max="1" width="29.7109375" customWidth="1"/>
    <col min="2" max="2" width="12.140625" style="3" customWidth="1"/>
    <col min="3" max="3" width="10.85546875" style="3" customWidth="1"/>
    <col min="4" max="4" width="10.140625" style="3" customWidth="1"/>
    <col min="5" max="5" width="12.5703125" style="3" customWidth="1"/>
    <col min="6" max="16" width="11.5703125" style="3" customWidth="1"/>
    <col min="17" max="17" width="11.28515625" style="3" customWidth="1"/>
    <col min="18" max="18" width="16.28515625" style="3" customWidth="1"/>
    <col min="19" max="19" width="10.7109375" customWidth="1"/>
    <col min="20" max="20" width="11.140625" customWidth="1"/>
    <col min="21" max="21" width="11.5703125" customWidth="1"/>
    <col min="22" max="22" width="11" customWidth="1"/>
    <col min="23" max="23" width="23.140625" style="3" customWidth="1"/>
  </cols>
  <sheetData>
    <row r="1" spans="1:23" s="2" customFormat="1" ht="30.75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10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32</v>
      </c>
      <c r="R1" s="13" t="s">
        <v>48</v>
      </c>
      <c r="S1" s="15" t="s">
        <v>33</v>
      </c>
      <c r="T1" s="15"/>
      <c r="U1" s="15" t="s">
        <v>34</v>
      </c>
      <c r="V1" s="15"/>
      <c r="W1" s="2" t="s">
        <v>35</v>
      </c>
    </row>
    <row r="2" spans="1:23">
      <c r="C2" s="4"/>
      <c r="D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S2" s="3"/>
      <c r="U2" s="3"/>
    </row>
    <row r="3" spans="1:23"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S3" s="3"/>
      <c r="T3" s="8"/>
      <c r="U3" s="3"/>
    </row>
    <row r="4" spans="1:23">
      <c r="C4" s="4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S4" s="3"/>
      <c r="T4" s="8"/>
      <c r="U4" s="3"/>
    </row>
    <row r="5" spans="1:23">
      <c r="A5" s="16" t="s">
        <v>7</v>
      </c>
      <c r="B5" s="3">
        <v>1</v>
      </c>
      <c r="C5" s="4">
        <v>2.57</v>
      </c>
      <c r="D5" s="4">
        <f>IF(B5&lt;&gt;0,C5/B5,0)</f>
        <v>2.57</v>
      </c>
      <c r="E5" s="3">
        <v>1</v>
      </c>
      <c r="F5" s="4">
        <f t="shared" ref="F5:F17" si="0">D5*E5</f>
        <v>2.57</v>
      </c>
      <c r="G5" s="4">
        <f t="shared" ref="G5:G17" si="1">ROUNDUP(E5/B5,0)*C5</f>
        <v>2.57</v>
      </c>
      <c r="H5" s="4">
        <f>ROUNDUP(2*E5/B5,0)*C5</f>
        <v>5.14</v>
      </c>
      <c r="I5" s="4">
        <f>ROUNDUP(3*E5/B5,0)*C5</f>
        <v>7.7099999999999991</v>
      </c>
      <c r="J5" s="4">
        <f>ROUNDUP(4*E5/B5,0)*C5</f>
        <v>10.28</v>
      </c>
      <c r="K5" s="4">
        <f>ROUNDUP(5*E5/B5,0)*C5</f>
        <v>12.85</v>
      </c>
      <c r="L5" s="4">
        <f>ROUNDUP(6*E5/B5,0)*C5</f>
        <v>15.419999999999998</v>
      </c>
      <c r="M5" s="4">
        <f>ROUNDUP(7*E5/B5,0)*C5</f>
        <v>17.989999999999998</v>
      </c>
      <c r="N5" s="4">
        <f>ROUNDUP(8*E5/B5,0)*C5</f>
        <v>20.56</v>
      </c>
      <c r="O5" s="4">
        <f>ROUNDUP(9*E5/B5,0)*C5</f>
        <v>23.13</v>
      </c>
      <c r="P5" s="4">
        <f>ROUNDUP(10*E5/B5,0)*C5</f>
        <v>25.7</v>
      </c>
      <c r="Q5" s="7">
        <v>3</v>
      </c>
      <c r="R5" s="7" t="s">
        <v>47</v>
      </c>
      <c r="S5" s="14">
        <f>3*2.57</f>
        <v>7.7099999999999991</v>
      </c>
      <c r="T5" s="10">
        <f>S5*D23</f>
        <v>461.75235087719244</v>
      </c>
      <c r="U5" s="14">
        <v>7.68</v>
      </c>
      <c r="V5" s="10">
        <f>U5*D23</f>
        <v>459.95564912280651</v>
      </c>
      <c r="W5" s="11" t="s">
        <v>36</v>
      </c>
    </row>
    <row r="6" spans="1:23">
      <c r="A6" s="16" t="s">
        <v>8</v>
      </c>
      <c r="B6" s="3">
        <v>1</v>
      </c>
      <c r="C6" s="4">
        <v>0.99</v>
      </c>
      <c r="D6" s="4">
        <f t="shared" ref="D6:D17" si="2">IF(B6&lt;&gt;0,C6/B6,0)</f>
        <v>0.99</v>
      </c>
      <c r="E6" s="3">
        <v>1</v>
      </c>
      <c r="F6" s="4">
        <f t="shared" si="0"/>
        <v>0.99</v>
      </c>
      <c r="G6" s="4">
        <f t="shared" si="1"/>
        <v>0.99</v>
      </c>
      <c r="H6" s="4">
        <f t="shared" ref="H6:H17" si="3">ROUNDUP(2*E6/B6,0)*C6</f>
        <v>1.98</v>
      </c>
      <c r="I6" s="4">
        <f t="shared" ref="I6:I17" si="4">ROUNDUP(3*E6/B6,0)*C6</f>
        <v>2.9699999999999998</v>
      </c>
      <c r="J6" s="4">
        <f t="shared" ref="J6:J17" si="5">ROUNDUP(4*E6/B6,0)*C6</f>
        <v>3.96</v>
      </c>
      <c r="K6" s="4">
        <f t="shared" ref="K6:K17" si="6">ROUNDUP(5*E6/B6,0)*C6</f>
        <v>4.95</v>
      </c>
      <c r="L6" s="4">
        <f t="shared" ref="L6:L17" si="7">ROUNDUP(6*E6/B6,0)*C6</f>
        <v>5.9399999999999995</v>
      </c>
      <c r="M6" s="4">
        <f t="shared" ref="M6:M17" si="8">ROUNDUP(7*E6/B6,0)*C6</f>
        <v>6.93</v>
      </c>
      <c r="N6" s="4">
        <f t="shared" ref="N6:N17" si="9">ROUNDUP(8*E6/B6,0)*C6</f>
        <v>7.92</v>
      </c>
      <c r="O6" s="4">
        <f t="shared" ref="O6:O17" si="10">ROUNDUP(9*E6/B6,0)*C6</f>
        <v>8.91</v>
      </c>
      <c r="P6" s="4">
        <f t="shared" ref="P6:P17" si="11">ROUNDUP(10*E6/B6,0)*C6</f>
        <v>9.9</v>
      </c>
      <c r="Q6" s="7">
        <v>3</v>
      </c>
      <c r="R6" s="7" t="s">
        <v>47</v>
      </c>
      <c r="S6" s="14">
        <f>3*0.99</f>
        <v>2.9699999999999998</v>
      </c>
      <c r="T6" s="10">
        <f>S6*D23</f>
        <v>177.87347368421032</v>
      </c>
      <c r="U6" s="14">
        <v>2.94</v>
      </c>
      <c r="V6" s="10">
        <f>U6*D23</f>
        <v>176.07677192982436</v>
      </c>
      <c r="W6" s="12" t="s">
        <v>37</v>
      </c>
    </row>
    <row r="7" spans="1:23">
      <c r="A7" s="16" t="s">
        <v>0</v>
      </c>
      <c r="B7" s="3">
        <v>1</v>
      </c>
      <c r="C7" s="4">
        <v>1.24</v>
      </c>
      <c r="D7" s="4">
        <f t="shared" si="2"/>
        <v>1.24</v>
      </c>
      <c r="E7" s="3">
        <v>2</v>
      </c>
      <c r="F7" s="4">
        <f>D7*E7</f>
        <v>2.48</v>
      </c>
      <c r="G7" s="4">
        <f t="shared" si="1"/>
        <v>2.48</v>
      </c>
      <c r="H7" s="4">
        <f t="shared" si="3"/>
        <v>4.96</v>
      </c>
      <c r="I7" s="4">
        <f t="shared" si="4"/>
        <v>7.4399999999999995</v>
      </c>
      <c r="J7" s="4">
        <f t="shared" si="5"/>
        <v>9.92</v>
      </c>
      <c r="K7" s="4">
        <f t="shared" si="6"/>
        <v>12.4</v>
      </c>
      <c r="L7" s="4">
        <f t="shared" si="7"/>
        <v>14.879999999999999</v>
      </c>
      <c r="M7" s="4">
        <f t="shared" si="8"/>
        <v>17.36</v>
      </c>
      <c r="N7" s="4">
        <f t="shared" si="9"/>
        <v>19.84</v>
      </c>
      <c r="O7" s="4">
        <f t="shared" si="10"/>
        <v>22.32</v>
      </c>
      <c r="P7" s="4">
        <f t="shared" si="11"/>
        <v>24.8</v>
      </c>
      <c r="Q7" s="7">
        <v>4</v>
      </c>
      <c r="R7" s="7" t="s">
        <v>49</v>
      </c>
      <c r="S7" s="14">
        <v>4.96</v>
      </c>
      <c r="T7" s="10">
        <v>295.57</v>
      </c>
      <c r="U7" s="14">
        <v>4.96</v>
      </c>
      <c r="V7" s="10">
        <v>295.57</v>
      </c>
      <c r="W7" s="11" t="s">
        <v>45</v>
      </c>
    </row>
    <row r="8" spans="1:23">
      <c r="A8" s="16" t="s">
        <v>9</v>
      </c>
      <c r="B8" s="3">
        <v>5</v>
      </c>
      <c r="C8" s="4">
        <v>1.88</v>
      </c>
      <c r="D8" s="4">
        <f t="shared" si="2"/>
        <v>0.376</v>
      </c>
      <c r="E8" s="3">
        <v>3</v>
      </c>
      <c r="F8" s="4">
        <f t="shared" si="0"/>
        <v>1.1280000000000001</v>
      </c>
      <c r="G8" s="4">
        <f>ROUNDUP(E8/B8,0)*C8</f>
        <v>1.88</v>
      </c>
      <c r="H8" s="4">
        <f t="shared" si="3"/>
        <v>3.76</v>
      </c>
      <c r="I8" s="4">
        <f t="shared" si="4"/>
        <v>3.76</v>
      </c>
      <c r="J8" s="4">
        <f t="shared" si="5"/>
        <v>5.64</v>
      </c>
      <c r="K8" s="4">
        <f t="shared" si="6"/>
        <v>5.64</v>
      </c>
      <c r="L8" s="4">
        <f t="shared" si="7"/>
        <v>7.52</v>
      </c>
      <c r="M8" s="4">
        <f t="shared" si="8"/>
        <v>9.3999999999999986</v>
      </c>
      <c r="N8" s="4">
        <f t="shared" si="9"/>
        <v>9.3999999999999986</v>
      </c>
      <c r="O8" s="4">
        <f t="shared" si="10"/>
        <v>11.28</v>
      </c>
      <c r="P8" s="4">
        <f t="shared" si="11"/>
        <v>11.28</v>
      </c>
      <c r="Q8" s="7">
        <v>15</v>
      </c>
      <c r="R8" s="7" t="s">
        <v>47</v>
      </c>
      <c r="S8" s="14">
        <f>3*1.88</f>
        <v>5.64</v>
      </c>
      <c r="T8" s="10">
        <f>S8*D23</f>
        <v>337.77992982456101</v>
      </c>
      <c r="U8" s="14">
        <v>5.61</v>
      </c>
      <c r="V8" s="10">
        <f>U8*D23</f>
        <v>335.98322807017513</v>
      </c>
      <c r="W8" s="12" t="s">
        <v>37</v>
      </c>
    </row>
    <row r="9" spans="1:23">
      <c r="A9" s="16" t="s">
        <v>11</v>
      </c>
      <c r="B9" s="3">
        <v>10</v>
      </c>
      <c r="C9" s="4">
        <v>1.27</v>
      </c>
      <c r="D9" s="4">
        <f t="shared" si="2"/>
        <v>0.127</v>
      </c>
      <c r="E9" s="3">
        <v>16</v>
      </c>
      <c r="F9" s="4">
        <f t="shared" si="0"/>
        <v>2.032</v>
      </c>
      <c r="G9" s="4">
        <f t="shared" si="1"/>
        <v>2.54</v>
      </c>
      <c r="H9" s="4">
        <f t="shared" si="3"/>
        <v>5.08</v>
      </c>
      <c r="I9" s="4">
        <f t="shared" si="4"/>
        <v>6.35</v>
      </c>
      <c r="J9" s="4">
        <f t="shared" si="5"/>
        <v>8.89</v>
      </c>
      <c r="K9" s="4">
        <f t="shared" si="6"/>
        <v>10.16</v>
      </c>
      <c r="L9" s="4">
        <f t="shared" si="7"/>
        <v>12.7</v>
      </c>
      <c r="M9" s="4">
        <f t="shared" si="8"/>
        <v>15.24</v>
      </c>
      <c r="N9" s="4">
        <f t="shared" si="9"/>
        <v>16.510000000000002</v>
      </c>
      <c r="O9" s="4">
        <f t="shared" si="10"/>
        <v>19.05</v>
      </c>
      <c r="P9" s="4">
        <f t="shared" si="11"/>
        <v>20.32</v>
      </c>
      <c r="Q9" s="7">
        <v>50</v>
      </c>
      <c r="R9" s="7" t="s">
        <v>57</v>
      </c>
      <c r="S9" s="14">
        <f>5*1.27</f>
        <v>6.35</v>
      </c>
      <c r="T9" s="10">
        <f>S9*V9/U9</f>
        <v>380.30149999999992</v>
      </c>
      <c r="U9" s="14">
        <f>5*1</f>
        <v>5</v>
      </c>
      <c r="V9" s="10">
        <v>299.45</v>
      </c>
      <c r="W9" s="11" t="s">
        <v>40</v>
      </c>
    </row>
    <row r="10" spans="1:23">
      <c r="A10" s="16" t="s">
        <v>18</v>
      </c>
      <c r="B10" s="3">
        <v>10</v>
      </c>
      <c r="C10" s="4">
        <v>1.29</v>
      </c>
      <c r="D10" s="4">
        <f t="shared" si="2"/>
        <v>0.129</v>
      </c>
      <c r="E10" s="3">
        <v>16</v>
      </c>
      <c r="F10" s="4">
        <f t="shared" si="0"/>
        <v>2.0640000000000001</v>
      </c>
      <c r="G10" s="4">
        <f t="shared" si="1"/>
        <v>2.58</v>
      </c>
      <c r="H10" s="4">
        <f t="shared" si="3"/>
        <v>5.16</v>
      </c>
      <c r="I10" s="4">
        <f t="shared" si="4"/>
        <v>6.45</v>
      </c>
      <c r="J10" s="4">
        <f t="shared" si="5"/>
        <v>9.0300000000000011</v>
      </c>
      <c r="K10" s="4">
        <f t="shared" si="6"/>
        <v>10.32</v>
      </c>
      <c r="L10" s="4">
        <f t="shared" si="7"/>
        <v>12.9</v>
      </c>
      <c r="M10" s="4">
        <f t="shared" si="8"/>
        <v>15.48</v>
      </c>
      <c r="N10" s="4">
        <f t="shared" si="9"/>
        <v>16.77</v>
      </c>
      <c r="O10" s="4">
        <f t="shared" si="10"/>
        <v>19.350000000000001</v>
      </c>
      <c r="P10" s="4">
        <f t="shared" si="11"/>
        <v>20.64</v>
      </c>
      <c r="Q10" s="7">
        <v>50</v>
      </c>
      <c r="R10" s="7" t="s">
        <v>57</v>
      </c>
      <c r="S10" s="14">
        <v>5.95</v>
      </c>
      <c r="T10" s="10">
        <v>352.51</v>
      </c>
      <c r="U10" s="14">
        <v>5.95</v>
      </c>
      <c r="V10" s="10">
        <v>354.56</v>
      </c>
      <c r="W10" s="11" t="s">
        <v>46</v>
      </c>
    </row>
    <row r="11" spans="1:23">
      <c r="A11" s="16" t="s">
        <v>12</v>
      </c>
      <c r="B11" s="3">
        <v>10</v>
      </c>
      <c r="C11" s="4">
        <v>4.47</v>
      </c>
      <c r="D11" s="4">
        <f t="shared" si="2"/>
        <v>0.44699999999999995</v>
      </c>
      <c r="E11" s="3">
        <v>2</v>
      </c>
      <c r="F11" s="4">
        <f t="shared" si="0"/>
        <v>0.89399999999999991</v>
      </c>
      <c r="G11" s="4">
        <f t="shared" si="1"/>
        <v>4.47</v>
      </c>
      <c r="H11" s="4">
        <f t="shared" si="3"/>
        <v>4.47</v>
      </c>
      <c r="I11" s="4">
        <f t="shared" si="4"/>
        <v>4.47</v>
      </c>
      <c r="J11" s="4">
        <f t="shared" si="5"/>
        <v>4.47</v>
      </c>
      <c r="K11" s="4">
        <f t="shared" si="6"/>
        <v>4.47</v>
      </c>
      <c r="L11" s="4">
        <f t="shared" si="7"/>
        <v>8.94</v>
      </c>
      <c r="M11" s="4">
        <f t="shared" si="8"/>
        <v>8.94</v>
      </c>
      <c r="N11" s="4">
        <f t="shared" si="9"/>
        <v>8.94</v>
      </c>
      <c r="O11" s="4">
        <f t="shared" si="10"/>
        <v>8.94</v>
      </c>
      <c r="P11" s="4">
        <f t="shared" si="11"/>
        <v>8.94</v>
      </c>
      <c r="Q11" s="7">
        <v>10</v>
      </c>
      <c r="R11" s="7" t="s">
        <v>50</v>
      </c>
      <c r="S11" s="14">
        <v>4.47</v>
      </c>
      <c r="T11" s="10">
        <v>260.66000000000003</v>
      </c>
      <c r="U11" s="14">
        <v>4.47</v>
      </c>
      <c r="V11" s="10">
        <v>260.66000000000003</v>
      </c>
      <c r="W11" s="1" t="s">
        <v>43</v>
      </c>
    </row>
    <row r="12" spans="1:23">
      <c r="A12" s="16" t="s">
        <v>13</v>
      </c>
      <c r="B12" s="3">
        <v>100</v>
      </c>
      <c r="C12" s="4">
        <v>0.99</v>
      </c>
      <c r="D12" s="4">
        <f t="shared" si="2"/>
        <v>9.8999999999999991E-3</v>
      </c>
      <c r="E12" s="3">
        <v>19</v>
      </c>
      <c r="F12" s="4">
        <f t="shared" si="0"/>
        <v>0.18809999999999999</v>
      </c>
      <c r="G12" s="4">
        <f t="shared" si="1"/>
        <v>0.99</v>
      </c>
      <c r="H12" s="4">
        <f t="shared" si="3"/>
        <v>0.99</v>
      </c>
      <c r="I12" s="4">
        <f t="shared" si="4"/>
        <v>0.99</v>
      </c>
      <c r="J12" s="4">
        <f t="shared" si="5"/>
        <v>0.99</v>
      </c>
      <c r="K12" s="4">
        <f t="shared" si="6"/>
        <v>0.99</v>
      </c>
      <c r="L12" s="4">
        <f t="shared" si="7"/>
        <v>1.98</v>
      </c>
      <c r="M12" s="4">
        <f t="shared" si="8"/>
        <v>1.98</v>
      </c>
      <c r="N12" s="4">
        <f t="shared" si="9"/>
        <v>1.98</v>
      </c>
      <c r="O12" s="4">
        <f t="shared" si="10"/>
        <v>1.98</v>
      </c>
      <c r="P12" s="4">
        <f t="shared" si="11"/>
        <v>1.98</v>
      </c>
      <c r="Q12" s="7">
        <v>100</v>
      </c>
      <c r="R12" s="7" t="s">
        <v>50</v>
      </c>
      <c r="S12" s="14">
        <v>0.99</v>
      </c>
      <c r="T12" s="10">
        <v>58.99</v>
      </c>
      <c r="U12" s="14">
        <v>0.99</v>
      </c>
      <c r="V12" s="10">
        <v>58.99</v>
      </c>
      <c r="W12" s="11" t="s">
        <v>42</v>
      </c>
    </row>
    <row r="13" spans="1:23">
      <c r="A13" s="16" t="s">
        <v>14</v>
      </c>
      <c r="B13" s="3">
        <v>100</v>
      </c>
      <c r="C13" s="4">
        <v>0.99</v>
      </c>
      <c r="D13" s="4">
        <f t="shared" si="2"/>
        <v>9.8999999999999991E-3</v>
      </c>
      <c r="E13" s="3">
        <v>20</v>
      </c>
      <c r="F13" s="4">
        <f t="shared" si="0"/>
        <v>0.19799999999999998</v>
      </c>
      <c r="G13" s="4">
        <f t="shared" si="1"/>
        <v>0.99</v>
      </c>
      <c r="H13" s="4">
        <f t="shared" si="3"/>
        <v>0.99</v>
      </c>
      <c r="I13" s="4">
        <f t="shared" si="4"/>
        <v>0.99</v>
      </c>
      <c r="J13" s="4">
        <f t="shared" si="5"/>
        <v>0.99</v>
      </c>
      <c r="K13" s="4">
        <f t="shared" si="6"/>
        <v>0.99</v>
      </c>
      <c r="L13" s="4">
        <f t="shared" si="7"/>
        <v>1.98</v>
      </c>
      <c r="M13" s="4">
        <f t="shared" si="8"/>
        <v>1.98</v>
      </c>
      <c r="N13" s="4">
        <f t="shared" si="9"/>
        <v>1.98</v>
      </c>
      <c r="O13" s="4">
        <f t="shared" si="10"/>
        <v>1.98</v>
      </c>
      <c r="P13" s="4">
        <f t="shared" si="11"/>
        <v>1.98</v>
      </c>
      <c r="Q13" s="7">
        <v>100</v>
      </c>
      <c r="R13" s="7" t="s">
        <v>50</v>
      </c>
      <c r="S13" s="20">
        <v>1.29</v>
      </c>
      <c r="T13" s="10">
        <f>S13*V13/U13</f>
        <v>59.148515624999995</v>
      </c>
      <c r="U13" s="20">
        <v>1.28</v>
      </c>
      <c r="V13" s="10">
        <v>58.69</v>
      </c>
      <c r="W13" s="11" t="s">
        <v>38</v>
      </c>
    </row>
    <row r="14" spans="1:23">
      <c r="A14" s="16" t="s">
        <v>15</v>
      </c>
      <c r="B14" s="3">
        <v>10</v>
      </c>
      <c r="C14" s="4">
        <v>1.08</v>
      </c>
      <c r="D14" s="4">
        <f t="shared" si="2"/>
        <v>0.10800000000000001</v>
      </c>
      <c r="E14" s="3">
        <v>2</v>
      </c>
      <c r="F14" s="4">
        <f t="shared" si="0"/>
        <v>0.21600000000000003</v>
      </c>
      <c r="G14" s="4">
        <f t="shared" si="1"/>
        <v>1.08</v>
      </c>
      <c r="H14" s="4">
        <f t="shared" si="3"/>
        <v>1.08</v>
      </c>
      <c r="I14" s="4">
        <f t="shared" si="4"/>
        <v>1.08</v>
      </c>
      <c r="J14" s="4">
        <f t="shared" si="5"/>
        <v>1.08</v>
      </c>
      <c r="K14" s="4">
        <f t="shared" si="6"/>
        <v>1.08</v>
      </c>
      <c r="L14" s="4">
        <f t="shared" si="7"/>
        <v>2.16</v>
      </c>
      <c r="M14" s="4">
        <f t="shared" si="8"/>
        <v>2.16</v>
      </c>
      <c r="N14" s="4">
        <f t="shared" si="9"/>
        <v>2.16</v>
      </c>
      <c r="O14" s="4">
        <f t="shared" si="10"/>
        <v>2.16</v>
      </c>
      <c r="P14" s="4">
        <f t="shared" si="11"/>
        <v>2.16</v>
      </c>
      <c r="Q14" s="7">
        <v>10</v>
      </c>
      <c r="R14" s="7" t="s">
        <v>50</v>
      </c>
      <c r="S14" s="14">
        <v>1.39</v>
      </c>
      <c r="T14" s="10">
        <v>82.83</v>
      </c>
      <c r="U14" s="14">
        <v>1.39</v>
      </c>
      <c r="V14" s="10">
        <v>82.83</v>
      </c>
      <c r="W14" s="11" t="s">
        <v>44</v>
      </c>
    </row>
    <row r="15" spans="1:23">
      <c r="A15" s="16" t="s">
        <v>16</v>
      </c>
      <c r="B15" s="3">
        <v>5</v>
      </c>
      <c r="C15" s="4">
        <v>6</v>
      </c>
      <c r="D15" s="4">
        <f t="shared" si="2"/>
        <v>1.2</v>
      </c>
      <c r="E15" s="3">
        <v>1</v>
      </c>
      <c r="F15" s="4">
        <f t="shared" si="0"/>
        <v>1.2</v>
      </c>
      <c r="G15" s="4">
        <f t="shared" si="1"/>
        <v>6</v>
      </c>
      <c r="H15" s="4">
        <f t="shared" si="3"/>
        <v>6</v>
      </c>
      <c r="I15" s="4">
        <f t="shared" si="4"/>
        <v>6</v>
      </c>
      <c r="J15" s="4">
        <f t="shared" si="5"/>
        <v>6</v>
      </c>
      <c r="K15" s="4">
        <f t="shared" si="6"/>
        <v>6</v>
      </c>
      <c r="L15" s="4">
        <f t="shared" si="7"/>
        <v>12</v>
      </c>
      <c r="M15" s="4">
        <f t="shared" si="8"/>
        <v>12</v>
      </c>
      <c r="N15" s="4">
        <f t="shared" si="9"/>
        <v>12</v>
      </c>
      <c r="O15" s="4">
        <f t="shared" si="10"/>
        <v>12</v>
      </c>
      <c r="P15" s="4">
        <f t="shared" si="11"/>
        <v>12</v>
      </c>
      <c r="Q15" s="7">
        <v>5</v>
      </c>
      <c r="R15" s="7" t="s">
        <v>50</v>
      </c>
      <c r="S15" s="19">
        <v>4.88</v>
      </c>
      <c r="T15" s="10">
        <f>S15*V15/U15</f>
        <v>366.68139630390141</v>
      </c>
      <c r="U15" s="19">
        <v>4.87</v>
      </c>
      <c r="V15" s="10">
        <v>365.93</v>
      </c>
      <c r="W15" s="11" t="s">
        <v>39</v>
      </c>
    </row>
    <row r="16" spans="1:23">
      <c r="A16" s="16" t="s">
        <v>17</v>
      </c>
      <c r="B16" s="3">
        <v>20</v>
      </c>
      <c r="C16" s="4">
        <v>0.99</v>
      </c>
      <c r="D16" s="4">
        <f t="shared" si="2"/>
        <v>4.9500000000000002E-2</v>
      </c>
      <c r="E16" s="3">
        <v>1</v>
      </c>
      <c r="F16" s="4">
        <f t="shared" si="0"/>
        <v>4.9500000000000002E-2</v>
      </c>
      <c r="G16" s="4">
        <f t="shared" si="1"/>
        <v>0.99</v>
      </c>
      <c r="H16" s="4">
        <f t="shared" si="3"/>
        <v>0.99</v>
      </c>
      <c r="I16" s="4">
        <f t="shared" si="4"/>
        <v>0.99</v>
      </c>
      <c r="J16" s="4">
        <f t="shared" si="5"/>
        <v>0.99</v>
      </c>
      <c r="K16" s="4">
        <f t="shared" si="6"/>
        <v>0.99</v>
      </c>
      <c r="L16" s="4">
        <f t="shared" si="7"/>
        <v>0.99</v>
      </c>
      <c r="M16" s="4">
        <f t="shared" si="8"/>
        <v>0.99</v>
      </c>
      <c r="N16" s="4">
        <f t="shared" si="9"/>
        <v>0.99</v>
      </c>
      <c r="O16" s="4">
        <f t="shared" si="10"/>
        <v>0.99</v>
      </c>
      <c r="P16" s="4">
        <f t="shared" si="11"/>
        <v>0.99</v>
      </c>
      <c r="Q16" s="7">
        <v>20</v>
      </c>
      <c r="R16" s="7" t="s">
        <v>51</v>
      </c>
      <c r="S16" s="14">
        <v>0.99</v>
      </c>
      <c r="T16" s="10">
        <v>58.99</v>
      </c>
      <c r="U16" s="14">
        <v>0.99</v>
      </c>
      <c r="V16" s="10">
        <v>58.99</v>
      </c>
      <c r="W16" s="11" t="s">
        <v>41</v>
      </c>
    </row>
    <row r="17" spans="1:23">
      <c r="A17" s="16" t="s">
        <v>20</v>
      </c>
      <c r="B17" s="3">
        <v>10</v>
      </c>
      <c r="C17" s="4">
        <v>25.95</v>
      </c>
      <c r="D17" s="4">
        <f t="shared" si="2"/>
        <v>2.5949999999999998</v>
      </c>
      <c r="E17" s="3">
        <v>1</v>
      </c>
      <c r="F17" s="4">
        <f t="shared" si="0"/>
        <v>2.5949999999999998</v>
      </c>
      <c r="G17" s="4">
        <f t="shared" si="1"/>
        <v>25.95</v>
      </c>
      <c r="H17" s="4">
        <f t="shared" si="3"/>
        <v>25.95</v>
      </c>
      <c r="I17" s="4">
        <f t="shared" si="4"/>
        <v>25.95</v>
      </c>
      <c r="J17" s="4">
        <f t="shared" si="5"/>
        <v>25.95</v>
      </c>
      <c r="K17" s="4">
        <f t="shared" si="6"/>
        <v>25.95</v>
      </c>
      <c r="L17" s="4">
        <f t="shared" si="7"/>
        <v>25.95</v>
      </c>
      <c r="M17" s="4">
        <f t="shared" si="8"/>
        <v>25.95</v>
      </c>
      <c r="N17" s="4">
        <f t="shared" si="9"/>
        <v>25.95</v>
      </c>
      <c r="O17" s="4">
        <f t="shared" si="10"/>
        <v>25.95</v>
      </c>
      <c r="P17" s="4">
        <f t="shared" si="11"/>
        <v>25.95</v>
      </c>
      <c r="Q17" s="7">
        <v>10</v>
      </c>
      <c r="R17" s="7" t="s">
        <v>52</v>
      </c>
      <c r="S17" s="14">
        <v>25.95</v>
      </c>
      <c r="T17" s="10"/>
      <c r="U17" s="14">
        <v>25.95</v>
      </c>
      <c r="V17" s="21" t="s">
        <v>55</v>
      </c>
      <c r="W17" s="11" t="s">
        <v>54</v>
      </c>
    </row>
    <row r="18" spans="1:23"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T18" s="8"/>
      <c r="V18" s="8"/>
    </row>
    <row r="19" spans="1:23">
      <c r="A19" s="5" t="s">
        <v>19</v>
      </c>
      <c r="C19" s="4"/>
      <c r="D19" s="4"/>
      <c r="F19" s="6">
        <f t="shared" ref="F19:P19" si="12">SUM(F5:F17)</f>
        <v>16.604599999999998</v>
      </c>
      <c r="G19" s="6">
        <f t="shared" si="12"/>
        <v>53.509999999999991</v>
      </c>
      <c r="H19" s="6">
        <f t="shared" si="12"/>
        <v>66.55</v>
      </c>
      <c r="I19" s="6">
        <f t="shared" si="12"/>
        <v>75.150000000000006</v>
      </c>
      <c r="J19" s="6">
        <f t="shared" si="12"/>
        <v>88.19</v>
      </c>
      <c r="K19" s="6">
        <f t="shared" si="12"/>
        <v>96.789999999999992</v>
      </c>
      <c r="L19" s="6">
        <f t="shared" si="12"/>
        <v>123.36</v>
      </c>
      <c r="M19" s="6">
        <f t="shared" si="12"/>
        <v>136.4</v>
      </c>
      <c r="N19" s="6">
        <f t="shared" si="12"/>
        <v>144.99999999999997</v>
      </c>
      <c r="O19" s="6">
        <f t="shared" si="12"/>
        <v>158.04</v>
      </c>
      <c r="P19" s="6">
        <f t="shared" si="12"/>
        <v>166.64</v>
      </c>
      <c r="S19" s="6"/>
      <c r="T19" s="9">
        <f>SUM(T5:T17)</f>
        <v>2893.0871663148646</v>
      </c>
      <c r="U19" s="6">
        <f>V19/D23+U17</f>
        <v>72.830663008241245</v>
      </c>
      <c r="V19" s="9">
        <f>SUM(V5:V17)</f>
        <v>2807.6856491228054</v>
      </c>
      <c r="W19" s="22">
        <f>V19-T19</f>
        <v>-85.401517192059146</v>
      </c>
    </row>
    <row r="20" spans="1:23">
      <c r="A20" s="5" t="s">
        <v>31</v>
      </c>
      <c r="C20" s="4"/>
      <c r="D20" s="4"/>
      <c r="F20" s="4"/>
      <c r="G20" s="6">
        <f>G19/1</f>
        <v>53.509999999999991</v>
      </c>
      <c r="H20" s="6">
        <f>H19/2</f>
        <v>33.274999999999999</v>
      </c>
      <c r="I20" s="6">
        <f>I19/3</f>
        <v>25.05</v>
      </c>
      <c r="J20" s="6">
        <f>J19/4</f>
        <v>22.047499999999999</v>
      </c>
      <c r="K20" s="6">
        <f>K19/5</f>
        <v>19.357999999999997</v>
      </c>
      <c r="L20" s="6">
        <f>L19/6</f>
        <v>20.56</v>
      </c>
      <c r="M20" s="6">
        <f>M19/7</f>
        <v>19.485714285714288</v>
      </c>
      <c r="N20" s="6">
        <f>N19/8</f>
        <v>18.124999999999996</v>
      </c>
      <c r="O20" s="6">
        <f>O19/9</f>
        <v>17.559999999999999</v>
      </c>
      <c r="P20" s="6">
        <f>P19/10</f>
        <v>16.663999999999998</v>
      </c>
      <c r="T20" s="8"/>
    </row>
    <row r="21" spans="1:23">
      <c r="A21" s="5" t="s">
        <v>30</v>
      </c>
      <c r="C21" s="4"/>
      <c r="D21" s="4"/>
      <c r="F21" s="4"/>
      <c r="G21" s="6">
        <f>(G19-G17)/1</f>
        <v>27.559999999999992</v>
      </c>
      <c r="H21" s="6">
        <f>(H19-H17)/2</f>
        <v>20.299999999999997</v>
      </c>
      <c r="I21" s="6">
        <f>(I19-I17)/3</f>
        <v>16.400000000000002</v>
      </c>
      <c r="J21" s="6">
        <f>(J19-J17)/4</f>
        <v>15.559999999999999</v>
      </c>
      <c r="K21" s="6">
        <f>(K19-K17)/5</f>
        <v>14.167999999999997</v>
      </c>
      <c r="L21" s="6">
        <f>(L19-L17)/6</f>
        <v>16.234999999999999</v>
      </c>
      <c r="M21" s="6">
        <f>(M19-M17)/7</f>
        <v>15.778571428571428</v>
      </c>
      <c r="N21" s="6">
        <f>(N19-N17)/8</f>
        <v>14.881249999999996</v>
      </c>
      <c r="O21" s="6">
        <f>(O19-O17)/9</f>
        <v>14.676666666666668</v>
      </c>
      <c r="P21" s="6">
        <f>(P19-P17)/10</f>
        <v>14.068999999999999</v>
      </c>
      <c r="T21" s="8"/>
    </row>
    <row r="22" spans="1:23">
      <c r="C22" s="4"/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3">
      <c r="A23" s="17" t="s">
        <v>56</v>
      </c>
      <c r="B23" s="4">
        <v>1</v>
      </c>
      <c r="C23" s="18" t="s">
        <v>53</v>
      </c>
      <c r="D23" s="8">
        <v>59.890058479532101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23">
      <c r="C24" s="4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mergeCells count="2">
    <mergeCell ref="S1:T1"/>
    <mergeCell ref="U1:V1"/>
  </mergeCells>
  <hyperlinks>
    <hyperlink ref="A7" r:id="rId1"/>
    <hyperlink ref="A5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0" r:id="rId12"/>
    <hyperlink ref="W5" r:id="rId13" display="http://www.ebay.com/usr/satisfyelectronics?_trksid=p2055359.m2763.l2754"/>
    <hyperlink ref="W13" r:id="rId14" display="http://www.ebay.com/usr/caelectronics8?_trksid=p2055359.m2763.l2754"/>
    <hyperlink ref="W15" r:id="rId15" display="http://www.ebay.com/usr/cayin35?_trksid=p2055359.m2763.l2754"/>
    <hyperlink ref="W6" r:id="rId16" display="http://www.ebay.com/usr/lovesell2013?_trksid=p2055359.m2763.l2754"/>
    <hyperlink ref="W8" r:id="rId17" display="http://www.ebay.com/usr/lovesell2013?_trksid=p2055359.m2763.l2754"/>
    <hyperlink ref="W9" r:id="rId18" display="http://www.ebay.com/usr/gowin_electronic?_trksid=p2055359.m2763.l2754"/>
    <hyperlink ref="W16" r:id="rId19" tooltip="Чтобы увидеть профиль пользователя, нажмите на логин пользователя wahhing88" display="http://www.ebay.com/usr/wahhing88?_trksid=p2057872.m2749.l2754"/>
    <hyperlink ref="W12" r:id="rId20" tooltip="Чтобы увидеть профиль пользователя, нажмите на логин пользователя survy2014" display="http://www.ebay.com/usr/survy2014?_trksid=p2057872.m2749.l2754"/>
    <hyperlink ref="W11" r:id="rId21" tooltip="Чтобы увидеть профиль пользователя, нажмите на логин пользователя smallpartsbigdifference" display="http://www.ebay.com/usr/smallpartsbigdifference?_trksid=p2057872.m2749.l2754"/>
    <hyperlink ref="W14" r:id="rId22" tooltip="Чтобы увидеть профиль пользователя, нажмите на логин пользователя ascend-mall" display="http://www.ebay.com/usr/ascend-mall?_trksid=p2057872.m2749.l2754"/>
    <hyperlink ref="W7" r:id="rId23" tooltip="Чтобы увидеть профиль пользователя, нажмите на логин пользователя sensesmart" display="http://www.ebay.com/usr/sensesmart?_trksid=p2057872.m2749.l2754"/>
    <hyperlink ref="W10" r:id="rId24" tooltip="Чтобы увидеть профиль пользователя, нажмите на логин пользователя 2012-boutique" display="http://www.ebay.com/usr/2012-boutique?_trksid=p2057872.m2749.l2754"/>
    <hyperlink ref="W17" r:id="rId25" display="http://dirtypcbs.com/store"/>
    <hyperlink ref="A17" r:id="rId26"/>
  </hyperlinks>
  <pageMargins left="0.7" right="0.7" top="0.75" bottom="0.75" header="0.3" footer="0.3"/>
  <pageSetup paperSize="9" orientation="portrait" horizontalDpi="180" verticalDpi="180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2017-03-03T03:55:01Z</dcterms:modified>
</cp:coreProperties>
</file>