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 activeTab="4"/>
  </bookViews>
  <sheets>
    <sheet name="会员加入表格" sheetId="1" r:id="rId1"/>
    <sheet name="月度销售汇总" sheetId="2" r:id="rId2"/>
    <sheet name="网络图" sheetId="7" r:id="rId3"/>
    <sheet name="网络树" sheetId="4" r:id="rId4"/>
    <sheet name="网络图 (正确)" sheetId="8" r:id="rId5"/>
  </sheets>
  <calcPr calcId="144525"/>
</workbook>
</file>

<file path=xl/calcChain.xml><?xml version="1.0" encoding="utf-8"?>
<calcChain xmlns="http://schemas.openxmlformats.org/spreadsheetml/2006/main">
  <c r="S55" i="8" l="1"/>
  <c r="S56" i="8"/>
  <c r="R55" i="8"/>
  <c r="Q56" i="8"/>
  <c r="N6" i="8"/>
  <c r="L7" i="8"/>
  <c r="N7" i="8" s="1"/>
  <c r="H7" i="8"/>
  <c r="P97" i="8"/>
  <c r="Q94" i="8"/>
  <c r="Q93" i="8"/>
  <c r="Q92" i="8"/>
  <c r="R91" i="8"/>
  <c r="Q91" i="8"/>
  <c r="Q90" i="8"/>
  <c r="Q89" i="8"/>
  <c r="Q88" i="8"/>
  <c r="Q87" i="8"/>
  <c r="S86" i="8"/>
  <c r="R86" i="8"/>
  <c r="Q86" i="8"/>
  <c r="Q85" i="8"/>
  <c r="Q84" i="8"/>
  <c r="R83" i="8"/>
  <c r="Q83" i="8"/>
  <c r="Q82" i="8"/>
  <c r="R81" i="8"/>
  <c r="Q81" i="8"/>
  <c r="S80" i="8"/>
  <c r="R80" i="8"/>
  <c r="Q80" i="8"/>
  <c r="H80" i="8"/>
  <c r="Q79" i="8"/>
  <c r="S78" i="8"/>
  <c r="Q78" i="8"/>
  <c r="Q77" i="8"/>
  <c r="Q76" i="8"/>
  <c r="Q75" i="8"/>
  <c r="Q74" i="8"/>
  <c r="Q73" i="8"/>
  <c r="Q72" i="8"/>
  <c r="Q71" i="8"/>
  <c r="Q70" i="8"/>
  <c r="R69" i="8"/>
  <c r="Q69" i="8"/>
  <c r="L69" i="8"/>
  <c r="R56" i="8" s="1"/>
  <c r="Q68" i="8"/>
  <c r="Q67" i="8"/>
  <c r="Q66" i="8"/>
  <c r="Q65" i="8"/>
  <c r="Q64" i="8"/>
  <c r="Q63" i="8"/>
  <c r="Q62" i="8"/>
  <c r="Q61" i="8"/>
  <c r="Q60" i="8"/>
  <c r="Q59" i="8"/>
  <c r="R58" i="8"/>
  <c r="Q58" i="8"/>
  <c r="Q57" i="8"/>
  <c r="L56" i="8"/>
  <c r="L55" i="8" s="1"/>
  <c r="N55" i="8" s="1"/>
  <c r="H56" i="8"/>
  <c r="H55" i="8" s="1"/>
  <c r="Q55" i="8"/>
  <c r="H31" i="8"/>
  <c r="H6" i="8" s="1"/>
  <c r="L20" i="8"/>
  <c r="L6" i="8"/>
  <c r="N56" i="8" l="1"/>
  <c r="Q97" i="8"/>
  <c r="R97" i="8"/>
  <c r="S97" i="8"/>
  <c r="S55" i="7"/>
  <c r="R99" i="8" l="1"/>
  <c r="R102" i="8" s="1"/>
  <c r="Q99" i="8"/>
  <c r="S86" i="7"/>
  <c r="S78" i="7"/>
  <c r="S97" i="7" s="1"/>
  <c r="S80" i="7"/>
  <c r="R86" i="7"/>
  <c r="R80" i="7"/>
  <c r="R91" i="7"/>
  <c r="L7" i="7" l="1"/>
  <c r="L6" i="7" l="1"/>
  <c r="L56" i="7"/>
  <c r="R55" i="7" s="1"/>
  <c r="P97" i="7"/>
  <c r="R58" i="7"/>
  <c r="R69" i="7"/>
  <c r="R81" i="7"/>
  <c r="R83" i="7"/>
  <c r="Q93" i="7"/>
  <c r="Q94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1" i="7"/>
  <c r="Q62" i="7"/>
  <c r="Q63" i="7"/>
  <c r="Q64" i="7"/>
  <c r="Q65" i="7"/>
  <c r="Q66" i="7"/>
  <c r="Q60" i="7"/>
  <c r="Q59" i="7"/>
  <c r="Q58" i="7"/>
  <c r="Q57" i="7"/>
  <c r="Q56" i="7"/>
  <c r="Q55" i="7"/>
  <c r="H80" i="7"/>
  <c r="L69" i="7"/>
  <c r="H56" i="7"/>
  <c r="H31" i="7"/>
  <c r="H7" i="7"/>
  <c r="H6" i="7" s="1"/>
  <c r="L20" i="7"/>
  <c r="N7" i="7" s="1"/>
  <c r="E53" i="2"/>
  <c r="L55" i="7" l="1"/>
  <c r="Q97" i="7"/>
  <c r="N56" i="7"/>
  <c r="R56" i="7"/>
  <c r="N6" i="7"/>
  <c r="N55" i="7"/>
  <c r="H55" i="7"/>
  <c r="R97" i="7" l="1"/>
  <c r="R99" i="7" s="1"/>
  <c r="Q99" i="7" l="1"/>
</calcChain>
</file>

<file path=xl/sharedStrings.xml><?xml version="1.0" encoding="utf-8"?>
<sst xmlns="http://schemas.openxmlformats.org/spreadsheetml/2006/main" count="995" uniqueCount="215">
  <si>
    <t>会员编号</t>
    <phoneticPr fontId="1" type="noConversion"/>
  </si>
  <si>
    <t>上线编号</t>
    <phoneticPr fontId="1" type="noConversion"/>
  </si>
  <si>
    <t>会员姓名</t>
    <phoneticPr fontId="1" type="noConversion"/>
  </si>
  <si>
    <t>加入月份</t>
    <phoneticPr fontId="1" type="noConversion"/>
  </si>
  <si>
    <t>银行账号</t>
    <phoneticPr fontId="1" type="noConversion"/>
  </si>
  <si>
    <t>电话号码</t>
    <phoneticPr fontId="1" type="noConversion"/>
  </si>
  <si>
    <t>序号</t>
    <phoneticPr fontId="1" type="noConversion"/>
  </si>
  <si>
    <t>000001</t>
    <phoneticPr fontId="1" type="noConversion"/>
  </si>
  <si>
    <t>050467763</t>
    <phoneticPr fontId="1" type="noConversion"/>
  </si>
  <si>
    <t>00000010000</t>
    <phoneticPr fontId="1" type="noConversion"/>
  </si>
  <si>
    <t>所属专卖店</t>
    <phoneticPr fontId="1" type="noConversion"/>
  </si>
  <si>
    <t>PV</t>
    <phoneticPr fontId="1" type="noConversion"/>
  </si>
  <si>
    <t>BV</t>
    <phoneticPr fontId="1" type="noConversion"/>
  </si>
  <si>
    <t>000002</t>
    <phoneticPr fontId="1" type="noConversion"/>
  </si>
  <si>
    <t>000003</t>
    <phoneticPr fontId="1" type="noConversion"/>
  </si>
  <si>
    <t>000004</t>
    <phoneticPr fontId="1" type="noConversion"/>
  </si>
  <si>
    <t>000005</t>
  </si>
  <si>
    <t>000010</t>
    <phoneticPr fontId="1" type="noConversion"/>
  </si>
  <si>
    <t>099999</t>
    <phoneticPr fontId="1" type="noConversion"/>
  </si>
  <si>
    <t>012345</t>
    <phoneticPr fontId="1" type="noConversion"/>
  </si>
  <si>
    <t>000007</t>
    <phoneticPr fontId="1" type="noConversion"/>
  </si>
  <si>
    <t>000008</t>
    <phoneticPr fontId="1" type="noConversion"/>
  </si>
  <si>
    <t>000009</t>
    <phoneticPr fontId="1" type="noConversion"/>
  </si>
  <si>
    <t>000099</t>
    <phoneticPr fontId="1" type="noConversion"/>
  </si>
  <si>
    <t>000094</t>
    <phoneticPr fontId="1" type="noConversion"/>
  </si>
  <si>
    <t>000097</t>
    <phoneticPr fontId="1" type="noConversion"/>
  </si>
  <si>
    <t>000031</t>
    <phoneticPr fontId="1" type="noConversion"/>
  </si>
  <si>
    <t>CG982000</t>
  </si>
  <si>
    <t>CG982000</t>
    <phoneticPr fontId="1" type="noConversion"/>
  </si>
  <si>
    <t>CG982001</t>
    <phoneticPr fontId="1" type="noConversion"/>
  </si>
  <si>
    <t>CG982002</t>
    <phoneticPr fontId="1" type="noConversion"/>
  </si>
  <si>
    <t>CG982003</t>
    <phoneticPr fontId="1" type="noConversion"/>
  </si>
  <si>
    <t>CG982004</t>
  </si>
  <si>
    <t>CG982005</t>
  </si>
  <si>
    <t>CG982006</t>
  </si>
  <si>
    <t>CG982007</t>
  </si>
  <si>
    <t>Distributor ID: 000001</t>
  </si>
  <si>
    <t>Tier</t>
  </si>
  <si>
    <t>Distributor ID/Name</t>
  </si>
  <si>
    <t>Sponsor's ID/Name</t>
  </si>
  <si>
    <t>Shop ID</t>
  </si>
  <si>
    <t>Rank</t>
  </si>
  <si>
    <t>TNPV</t>
  </si>
  <si>
    <t>Personal PV/BV</t>
  </si>
  <si>
    <t>000000/null</t>
  </si>
  <si>
    <t>1000/1000</t>
  </si>
  <si>
    <t>1</t>
  </si>
  <si>
    <t>/</t>
  </si>
  <si>
    <r>
      <t>Accmulative</t>
    </r>
    <r>
      <rPr>
        <sz val="12"/>
        <color indexed="8"/>
        <rFont val="宋体"/>
        <family val="3"/>
        <charset val="134"/>
      </rPr>
      <t xml:space="preserve"> </t>
    </r>
    <r>
      <rPr>
        <sz val="12"/>
        <color indexed="8"/>
        <rFont val="宋体"/>
        <family val="3"/>
        <charset val="134"/>
      </rPr>
      <t>TN</t>
    </r>
    <r>
      <rPr>
        <sz val="12"/>
        <color indexed="8"/>
        <rFont val="宋体"/>
        <family val="3"/>
        <charset val="134"/>
      </rPr>
      <t>PV</t>
    </r>
    <phoneticPr fontId="1" type="noConversion"/>
  </si>
  <si>
    <r>
      <t>A</t>
    </r>
    <r>
      <rPr>
        <sz val="12"/>
        <color indexed="8"/>
        <rFont val="宋体"/>
        <family val="3"/>
        <charset val="134"/>
      </rPr>
      <t>ccmulative P</t>
    </r>
    <r>
      <rPr>
        <sz val="12"/>
        <color indexed="8"/>
        <rFont val="宋体"/>
        <family val="3"/>
        <charset val="134"/>
      </rPr>
      <t>PV</t>
    </r>
    <phoneticPr fontId="1" type="noConversion"/>
  </si>
  <si>
    <r>
      <t>G</t>
    </r>
    <r>
      <rPr>
        <sz val="12"/>
        <color indexed="8"/>
        <rFont val="宋体"/>
        <family val="3"/>
        <charset val="134"/>
      </rPr>
      <t>PV</t>
    </r>
    <phoneticPr fontId="1" type="noConversion"/>
  </si>
  <si>
    <t>000001/ANGEL</t>
    <phoneticPr fontId="1" type="noConversion"/>
  </si>
  <si>
    <t>000002/QUENTIN</t>
    <phoneticPr fontId="1" type="noConversion"/>
  </si>
  <si>
    <t>000010/B</t>
    <phoneticPr fontId="1" type="noConversion"/>
  </si>
  <si>
    <t>099999/C</t>
    <phoneticPr fontId="1" type="noConversion"/>
  </si>
  <si>
    <t>012345/D</t>
    <phoneticPr fontId="1" type="noConversion"/>
  </si>
  <si>
    <t>000007/E</t>
    <phoneticPr fontId="1" type="noConversion"/>
  </si>
  <si>
    <t>000008/F</t>
    <phoneticPr fontId="1" type="noConversion"/>
  </si>
  <si>
    <t>000003/ALEX</t>
    <phoneticPr fontId="1" type="noConversion"/>
  </si>
  <si>
    <t>000009/G</t>
    <phoneticPr fontId="1" type="noConversion"/>
  </si>
  <si>
    <t>000099/H</t>
    <phoneticPr fontId="1" type="noConversion"/>
  </si>
  <si>
    <t>000004/MILANDOU</t>
    <phoneticPr fontId="1" type="noConversion"/>
  </si>
  <si>
    <t>000094/I</t>
    <phoneticPr fontId="1" type="noConversion"/>
  </si>
  <si>
    <t>000097/G</t>
    <phoneticPr fontId="1" type="noConversion"/>
  </si>
  <si>
    <t>000005/A</t>
    <phoneticPr fontId="1" type="noConversion"/>
  </si>
  <si>
    <t>000031/K</t>
    <phoneticPr fontId="1" type="noConversion"/>
  </si>
  <si>
    <t>CG982006</t>
    <phoneticPr fontId="1" type="noConversion"/>
  </si>
  <si>
    <t>CG982004</t>
    <phoneticPr fontId="1" type="noConversion"/>
  </si>
  <si>
    <t>CG982007</t>
    <phoneticPr fontId="1" type="noConversion"/>
  </si>
  <si>
    <t>CG982005</t>
    <phoneticPr fontId="1" type="noConversion"/>
  </si>
  <si>
    <t>200/200</t>
    <phoneticPr fontId="1" type="noConversion"/>
  </si>
  <si>
    <t>7000/7000</t>
    <phoneticPr fontId="1" type="noConversion"/>
  </si>
  <si>
    <t>100/100</t>
    <phoneticPr fontId="1" type="noConversion"/>
  </si>
  <si>
    <t>=N4+H4 简单说就是上个月的累计PPV+本月个人购买的PPV</t>
    <phoneticPr fontId="1" type="noConversion"/>
  </si>
  <si>
    <t>这个是从000001号展开的网络图，所以第一个TIER是0，网络图的展开是一条分支一条分支的展开，先展示完第一条腿，然后展示第二条腿（可参考网络树）</t>
    <phoneticPr fontId="1" type="noConversion"/>
  </si>
  <si>
    <t>这个主要就是收集经销商编号、姓名</t>
    <phoneticPr fontId="1" type="noConversion"/>
  </si>
  <si>
    <t>这个主要就是收集上线编号、姓名</t>
    <phoneticPr fontId="1" type="noConversion"/>
  </si>
  <si>
    <t>累计的整网业绩</t>
    <phoneticPr fontId="1" type="noConversion"/>
  </si>
  <si>
    <r>
      <t>1.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华文新魏"/>
        <family val="3"/>
        <charset val="134"/>
      </rPr>
      <t>整网业绩(Total Network PV/TNPV)：一个业绩核算月内，本人及其所有下线直销商个人业绩（PPV）之和。</t>
    </r>
    <phoneticPr fontId="1" type="noConversion"/>
  </si>
  <si>
    <t>个人当月购买的PV/BV</t>
    <phoneticPr fontId="1" type="noConversion"/>
  </si>
  <si>
    <t>确  认  星  级</t>
    <phoneticPr fontId="1" type="noConversion"/>
  </si>
  <si>
    <t>NETWORK INFORMATION OF ANGEL DISTRIBUTOR</t>
    <phoneticPr fontId="1" type="noConversion"/>
  </si>
  <si>
    <t>专卖店编码，收集该经销商在哪个专卖店领奖金， 这个在经销商申请后，是可以改变的，比如一开始是在CG982000号店，经申请是可以转到CG982003号店的</t>
    <phoneticPr fontId="1" type="noConversion"/>
  </si>
  <si>
    <t>主要是计算星级，先利用升级条件确认级别，然后再根据星级和BV，计算奖金</t>
    <phoneticPr fontId="1" type="noConversion"/>
  </si>
  <si>
    <r>
      <t>1.</t>
    </r>
    <r>
      <rPr>
        <sz val="10"/>
        <color rgb="FFFF0000"/>
        <rFont val="华文新魏"/>
        <family val="3"/>
        <charset val="134"/>
      </rPr>
      <t>小组业绩(Group PV/GPV)：本人下线网络中除去同职级及以上职级网络以外的业绩。（就是TNPV-比他级别高的下线的TNPV）</t>
    </r>
    <phoneticPr fontId="1" type="noConversion"/>
  </si>
  <si>
    <t>300/300</t>
    <phoneticPr fontId="1" type="noConversion"/>
  </si>
  <si>
    <r>
      <t xml:space="preserve">Print Date: 2014-5-29 </t>
    </r>
    <r>
      <rPr>
        <sz val="10"/>
        <color indexed="8"/>
        <rFont val="宋体"/>
        <family val="3"/>
        <charset val="134"/>
      </rPr>
      <t>下午</t>
    </r>
    <r>
      <rPr>
        <sz val="10"/>
        <color indexed="8"/>
        <rFont val="sans-serif"/>
        <family val="2"/>
      </rPr>
      <t>11:25</t>
    </r>
    <phoneticPr fontId="1" type="noConversion"/>
  </si>
  <si>
    <t>2014年5月销售汇总表</t>
    <phoneticPr fontId="1" type="noConversion"/>
  </si>
  <si>
    <t>LB是公司额外支出的奖金。</t>
    <phoneticPr fontId="1" type="noConversion"/>
  </si>
  <si>
    <t>2014年6月直销商加入汇总表</t>
    <phoneticPr fontId="1" type="noConversion"/>
  </si>
  <si>
    <t>L</t>
    <phoneticPr fontId="1" type="noConversion"/>
  </si>
  <si>
    <t>M</t>
    <phoneticPr fontId="1" type="noConversion"/>
  </si>
  <si>
    <t>000041</t>
    <phoneticPr fontId="1" type="noConversion"/>
  </si>
  <si>
    <t>000010</t>
    <phoneticPr fontId="1" type="noConversion"/>
  </si>
  <si>
    <t>000042</t>
    <phoneticPr fontId="1" type="noConversion"/>
  </si>
  <si>
    <t>000043</t>
    <phoneticPr fontId="1" type="noConversion"/>
  </si>
  <si>
    <t>N</t>
    <phoneticPr fontId="1" type="noConversion"/>
  </si>
  <si>
    <t>000044</t>
    <phoneticPr fontId="1" type="noConversion"/>
  </si>
  <si>
    <t>O</t>
    <phoneticPr fontId="1" type="noConversion"/>
  </si>
  <si>
    <t>000045</t>
    <phoneticPr fontId="1" type="noConversion"/>
  </si>
  <si>
    <t>P</t>
    <phoneticPr fontId="1" type="noConversion"/>
  </si>
  <si>
    <t>000046</t>
  </si>
  <si>
    <t>000047</t>
  </si>
  <si>
    <t>Q</t>
    <phoneticPr fontId="1" type="noConversion"/>
  </si>
  <si>
    <t>R</t>
    <phoneticPr fontId="1" type="noConversion"/>
  </si>
  <si>
    <t>000050</t>
    <phoneticPr fontId="1" type="noConversion"/>
  </si>
  <si>
    <t>S</t>
    <phoneticPr fontId="1" type="noConversion"/>
  </si>
  <si>
    <t>012345</t>
    <phoneticPr fontId="1" type="noConversion"/>
  </si>
  <si>
    <t>000100</t>
    <phoneticPr fontId="1" type="noConversion"/>
  </si>
  <si>
    <t>T</t>
    <phoneticPr fontId="1" type="noConversion"/>
  </si>
  <si>
    <t>000101</t>
    <phoneticPr fontId="1" type="noConversion"/>
  </si>
  <si>
    <t>U</t>
    <phoneticPr fontId="1" type="noConversion"/>
  </si>
  <si>
    <t>000008</t>
    <phoneticPr fontId="1" type="noConversion"/>
  </si>
  <si>
    <t>000021</t>
    <phoneticPr fontId="1" type="noConversion"/>
  </si>
  <si>
    <t>V</t>
    <phoneticPr fontId="1" type="noConversion"/>
  </si>
  <si>
    <t>000002</t>
    <phoneticPr fontId="1" type="noConversion"/>
  </si>
  <si>
    <t>000102</t>
    <phoneticPr fontId="1" type="noConversion"/>
  </si>
  <si>
    <t>W</t>
    <phoneticPr fontId="1" type="noConversion"/>
  </si>
  <si>
    <t>000021</t>
    <phoneticPr fontId="1" type="noConversion"/>
  </si>
  <si>
    <t>000103</t>
    <phoneticPr fontId="1" type="noConversion"/>
  </si>
  <si>
    <t>X</t>
    <phoneticPr fontId="1" type="noConversion"/>
  </si>
  <si>
    <t>000022</t>
    <phoneticPr fontId="1" type="noConversion"/>
  </si>
  <si>
    <t>Y</t>
    <phoneticPr fontId="1" type="noConversion"/>
  </si>
  <si>
    <t>000105</t>
    <phoneticPr fontId="1" type="noConversion"/>
  </si>
  <si>
    <t>Z</t>
    <phoneticPr fontId="1" type="noConversion"/>
  </si>
  <si>
    <t>000022</t>
    <phoneticPr fontId="1" type="noConversion"/>
  </si>
  <si>
    <t>000106</t>
    <phoneticPr fontId="1" type="noConversion"/>
  </si>
  <si>
    <t>AA</t>
    <phoneticPr fontId="1" type="noConversion"/>
  </si>
  <si>
    <t>000009</t>
    <phoneticPr fontId="1" type="noConversion"/>
  </si>
  <si>
    <t>000108</t>
    <phoneticPr fontId="1" type="noConversion"/>
  </si>
  <si>
    <t>BB</t>
    <phoneticPr fontId="1" type="noConversion"/>
  </si>
  <si>
    <t>000099</t>
    <phoneticPr fontId="1" type="noConversion"/>
  </si>
  <si>
    <t>000025</t>
    <phoneticPr fontId="1" type="noConversion"/>
  </si>
  <si>
    <t>CC</t>
    <phoneticPr fontId="1" type="noConversion"/>
  </si>
  <si>
    <t>000003</t>
    <phoneticPr fontId="1" type="noConversion"/>
  </si>
  <si>
    <t>000026</t>
    <phoneticPr fontId="1" type="noConversion"/>
  </si>
  <si>
    <t>DD</t>
    <phoneticPr fontId="1" type="noConversion"/>
  </si>
  <si>
    <t>000004</t>
    <phoneticPr fontId="1" type="noConversion"/>
  </si>
  <si>
    <t>000028</t>
    <phoneticPr fontId="1" type="noConversion"/>
  </si>
  <si>
    <t>EE</t>
    <phoneticPr fontId="1" type="noConversion"/>
  </si>
  <si>
    <t>000030</t>
    <phoneticPr fontId="1" type="noConversion"/>
  </si>
  <si>
    <t>FF</t>
    <phoneticPr fontId="1" type="noConversion"/>
  </si>
  <si>
    <t>000005</t>
    <phoneticPr fontId="1" type="noConversion"/>
  </si>
  <si>
    <t>000029</t>
    <phoneticPr fontId="1" type="noConversion"/>
  </si>
  <si>
    <t>GG</t>
    <phoneticPr fontId="1" type="noConversion"/>
  </si>
  <si>
    <t>Year/Month :201406</t>
    <phoneticPr fontId="1" type="noConversion"/>
  </si>
  <si>
    <t>Total Records : 37</t>
    <phoneticPr fontId="1" type="noConversion"/>
  </si>
  <si>
    <t>000030/FF</t>
    <phoneticPr fontId="1" type="noConversion"/>
  </si>
  <si>
    <t>000029/GG</t>
    <phoneticPr fontId="1" type="noConversion"/>
  </si>
  <si>
    <t>000026/DD</t>
    <phoneticPr fontId="1" type="noConversion"/>
  </si>
  <si>
    <t>000028/EE</t>
    <phoneticPr fontId="1" type="noConversion"/>
  </si>
  <si>
    <t>000025/CC</t>
    <phoneticPr fontId="1" type="noConversion"/>
  </si>
  <si>
    <t>000108/BB</t>
    <phoneticPr fontId="1" type="noConversion"/>
  </si>
  <si>
    <t>000106/AA</t>
    <phoneticPr fontId="1" type="noConversion"/>
  </si>
  <si>
    <t>000022/Y</t>
    <phoneticPr fontId="1" type="noConversion"/>
  </si>
  <si>
    <t>000105/Z</t>
    <phoneticPr fontId="1" type="noConversion"/>
  </si>
  <si>
    <t>000021/V</t>
    <phoneticPr fontId="1" type="noConversion"/>
  </si>
  <si>
    <t>000102/W</t>
    <phoneticPr fontId="1" type="noConversion"/>
  </si>
  <si>
    <t>000103/X</t>
    <phoneticPr fontId="1" type="noConversion"/>
  </si>
  <si>
    <t>000101/V</t>
    <phoneticPr fontId="1" type="noConversion"/>
  </si>
  <si>
    <t>000100/T</t>
    <phoneticPr fontId="1" type="noConversion"/>
  </si>
  <si>
    <t>2000/2000</t>
    <phoneticPr fontId="1" type="noConversion"/>
  </si>
  <si>
    <t>1000/1000</t>
    <phoneticPr fontId="1" type="noConversion"/>
  </si>
  <si>
    <t>3000/3000</t>
    <phoneticPr fontId="1" type="noConversion"/>
  </si>
  <si>
    <t>500/500</t>
    <phoneticPr fontId="1" type="noConversion"/>
  </si>
  <si>
    <t>120/120</t>
    <phoneticPr fontId="1" type="noConversion"/>
  </si>
  <si>
    <t>50/50</t>
    <phoneticPr fontId="1" type="noConversion"/>
  </si>
  <si>
    <t>10/10</t>
    <phoneticPr fontId="1" type="noConversion"/>
  </si>
  <si>
    <t>20/20</t>
    <phoneticPr fontId="1" type="noConversion"/>
  </si>
  <si>
    <t>280000/280000</t>
    <phoneticPr fontId="1" type="noConversion"/>
  </si>
  <si>
    <t>000050/S</t>
    <phoneticPr fontId="1" type="noConversion"/>
  </si>
  <si>
    <t>000047/R</t>
    <phoneticPr fontId="1" type="noConversion"/>
  </si>
  <si>
    <t>000045/P</t>
    <phoneticPr fontId="1" type="noConversion"/>
  </si>
  <si>
    <t>000043/N</t>
    <phoneticPr fontId="1" type="noConversion"/>
  </si>
  <si>
    <t>000044/O</t>
    <phoneticPr fontId="1" type="noConversion"/>
  </si>
  <si>
    <t>000046/Q</t>
    <phoneticPr fontId="1" type="noConversion"/>
  </si>
  <si>
    <t>000042/M</t>
    <phoneticPr fontId="1" type="noConversion"/>
  </si>
  <si>
    <t>000041/L</t>
    <phoneticPr fontId="1" type="noConversion"/>
  </si>
  <si>
    <t>三条三星，且ATNPV&gt;1000，所以是4星</t>
    <phoneticPr fontId="1" type="noConversion"/>
  </si>
  <si>
    <t>16000&gt;APPV&gt;3800,所以是5星</t>
    <phoneticPr fontId="1" type="noConversion"/>
  </si>
  <si>
    <t>两条5星，如果是三条5星可以升级为6星</t>
    <phoneticPr fontId="1" type="noConversion"/>
  </si>
  <si>
    <t>只有1条下线，所以只能靠APPV升级</t>
    <phoneticPr fontId="1" type="noConversion"/>
  </si>
  <si>
    <t>ATNPV&gt;350，所以是三星</t>
    <phoneticPr fontId="1" type="noConversion"/>
  </si>
  <si>
    <t>APPV&gt;1000，所以是4星</t>
    <phoneticPr fontId="1" type="noConversion"/>
  </si>
  <si>
    <t>两条三星，但是ATNPV&lt;2200</t>
    <phoneticPr fontId="1" type="noConversion"/>
  </si>
  <si>
    <t>虽然ATNPV&gt;1000，但是网络结构不行，升不到4星</t>
    <phoneticPr fontId="1" type="noConversion"/>
  </si>
  <si>
    <t>两条三星腿，ATNPV要到2200才能升到4星</t>
    <phoneticPr fontId="1" type="noConversion"/>
  </si>
  <si>
    <t>001000</t>
    <phoneticPr fontId="1" type="noConversion"/>
  </si>
  <si>
    <t>TT</t>
    <phoneticPr fontId="1" type="noConversion"/>
  </si>
  <si>
    <t>000100</t>
    <phoneticPr fontId="1" type="noConversion"/>
  </si>
  <si>
    <t>001001</t>
    <phoneticPr fontId="1" type="noConversion"/>
  </si>
  <si>
    <t>001002</t>
    <phoneticPr fontId="1" type="noConversion"/>
  </si>
  <si>
    <t>HH</t>
    <phoneticPr fontId="1" type="noConversion"/>
  </si>
  <si>
    <t>II</t>
    <phoneticPr fontId="1" type="noConversion"/>
  </si>
  <si>
    <t>73000/73000</t>
    <phoneticPr fontId="1" type="noConversion"/>
  </si>
  <si>
    <t>16000/16000</t>
    <phoneticPr fontId="1" type="noConversion"/>
  </si>
  <si>
    <t>001002/II</t>
    <phoneticPr fontId="1" type="noConversion"/>
  </si>
  <si>
    <t>001000/TT</t>
    <phoneticPr fontId="1" type="noConversion"/>
  </si>
  <si>
    <t>000105</t>
    <phoneticPr fontId="1" type="noConversion"/>
  </si>
  <si>
    <t>001001/HH</t>
    <phoneticPr fontId="1" type="noConversion"/>
  </si>
  <si>
    <t>4个直接网络中，级别分别是：8、5、5、4，即若干个直接网络中有三条网络中有5星或5星以上职级经销商，同时ATNPV&gt;35000，所以为6星</t>
    <phoneticPr fontId="1" type="noConversion"/>
  </si>
  <si>
    <t>DB</t>
    <phoneticPr fontId="1" type="noConversion"/>
  </si>
  <si>
    <t>IB</t>
    <phoneticPr fontId="1" type="noConversion"/>
  </si>
  <si>
    <t>LB</t>
    <phoneticPr fontId="1" type="noConversion"/>
  </si>
  <si>
    <t>没有网络结构，靠APPV升级</t>
    <phoneticPr fontId="1" type="noConversion"/>
  </si>
  <si>
    <t>三条腿，一条4星、一条5星、一条3星，所以只能按照两条4星、ATNPV&gt;7800来升级5星</t>
    <phoneticPr fontId="1" type="noConversion"/>
  </si>
  <si>
    <t>虽然ATNPV很高，但是4星及4星级别以上经销商就开始考察网络结构了，但是APPV≥1000，所以只能是4星</t>
    <phoneticPr fontId="1" type="noConversion"/>
  </si>
  <si>
    <t>2014年6月共计销售464650， 网络中最高级别经销商为8星，奖金支付比例不能超过43%，即464650*43%=199799.5。</t>
    <phoneticPr fontId="1" type="noConversion"/>
  </si>
  <si>
    <t>这样我们看DB+IB=194271&lt;19799.5. DB+IB+LB=199551&lt;199799.5 这样说明计算是准确的</t>
    <phoneticPr fontId="1" type="noConversion"/>
  </si>
  <si>
    <t>计  算  奖  金</t>
    <phoneticPr fontId="1" type="noConversion"/>
  </si>
  <si>
    <t>7张直接网络中，级别分别是：4、3、4、8、4、1、7.符合升级条件：三条4星及4星以上腿，ATNPV&gt;3800，所以升5星</t>
    <phoneticPr fontId="1" type="noConversion"/>
  </si>
  <si>
    <t>7张直接网络中，级别分别是：4、3、4、8、4、1、7.符合升级条件：两条7星腿，580000&gt;ATNPV&gt;145000，所以升7星</t>
    <phoneticPr fontId="1" type="noConversion"/>
  </si>
  <si>
    <t>4个直接网络中，级别分别是：8、5、5、4，即若干个直接网络中有三条网络中有5星或5星以上职级经销商，同时ATNPV&gt;16000，所以为6星</t>
    <phoneticPr fontId="1" type="noConversion"/>
  </si>
  <si>
    <t>Total Records : 40</t>
    <phoneticPr fontId="1" type="noConversion"/>
  </si>
  <si>
    <t>这样我们看DB+IB=197578.8&lt;199799.5. DB+IB+LB=199551&lt;199799.5 这样说明计算是准确的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</si>
</sst>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indexed="8"/>
      <name val="新宋体"/>
      <family val="3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仿宋"/>
      <family val="3"/>
    </font>
    <font>
      <sz val="10"/>
      <color indexed="8"/>
      <name val="sans-serif"/>
      <family val="2"/>
    </font>
    <font>
      <sz val="12"/>
      <color indexed="8"/>
      <name val="宋体"/>
      <family val="3"/>
      <charset val="134"/>
    </font>
    <font>
      <sz val="8"/>
      <color indexed="8"/>
      <name val="华文楷体"/>
      <family val="3"/>
      <charset val="134"/>
    </font>
    <font>
      <sz val="12"/>
      <color theme="1"/>
      <name val="华文新魏"/>
      <family val="3"/>
      <charset val="134"/>
    </font>
    <font>
      <sz val="7"/>
      <color theme="1"/>
      <name val="Times New Roman"/>
      <family val="1"/>
    </font>
    <font>
      <sz val="10"/>
      <color indexed="8"/>
      <name val="华文楷体"/>
      <family val="3"/>
      <charset val="134"/>
    </font>
    <font>
      <sz val="10"/>
      <color rgb="FFFF0000"/>
      <name val="华文新魏"/>
      <family val="3"/>
      <charset val="134"/>
    </font>
    <font>
      <sz val="28"/>
      <color theme="5"/>
      <name val="华文行楷"/>
      <family val="3"/>
      <charset val="134"/>
    </font>
    <font>
      <sz val="10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5" fillId="3" borderId="3" xfId="0" applyNumberFormat="1" applyFont="1" applyFill="1" applyBorder="1" applyAlignment="1" applyProtection="1">
      <alignment horizontal="center" vertical="top" wrapText="1"/>
    </xf>
    <xf numFmtId="0" fontId="7" fillId="0" borderId="0" xfId="0" applyNumberFormat="1" applyFont="1" applyFill="1" applyBorder="1" applyAlignment="1" applyProtection="1">
      <alignment horizontal="center" vertical="top" wrapText="1"/>
    </xf>
    <xf numFmtId="0" fontId="8" fillId="3" borderId="4" xfId="0" applyNumberFormat="1" applyFont="1" applyFill="1" applyBorder="1" applyAlignment="1" applyProtection="1">
      <alignment horizontal="center" vertical="top" wrapText="1"/>
    </xf>
    <xf numFmtId="0" fontId="6" fillId="4" borderId="7" xfId="0" applyNumberFormat="1" applyFont="1" applyFill="1" applyBorder="1" applyAlignment="1" applyProtection="1">
      <alignment horizontal="center" vertical="top" wrapText="1"/>
    </xf>
    <xf numFmtId="0" fontId="6" fillId="4" borderId="6" xfId="0" applyNumberFormat="1" applyFont="1" applyFill="1" applyBorder="1" applyAlignment="1" applyProtection="1">
      <alignment horizontal="center" vertical="top" wrapText="1"/>
    </xf>
    <xf numFmtId="0" fontId="9" fillId="5" borderId="6" xfId="0" applyNumberFormat="1" applyFont="1" applyFill="1" applyBorder="1" applyAlignment="1" applyProtection="1">
      <alignment horizontal="left" vertical="top" wrapText="1"/>
    </xf>
    <xf numFmtId="0" fontId="9" fillId="5" borderId="7" xfId="0" applyNumberFormat="1" applyFont="1" applyFill="1" applyBorder="1" applyAlignment="1" applyProtection="1">
      <alignment horizontal="left" vertical="top" wrapText="1"/>
    </xf>
    <xf numFmtId="0" fontId="12" fillId="5" borderId="7" xfId="0" applyNumberFormat="1" applyFont="1" applyFill="1" applyBorder="1" applyAlignment="1" applyProtection="1">
      <alignment horizontal="left" vertical="top" wrapText="1"/>
    </xf>
    <xf numFmtId="0" fontId="6" fillId="0" borderId="7" xfId="0" applyNumberFormat="1" applyFont="1" applyFill="1" applyBorder="1" applyAlignment="1" applyProtection="1">
      <alignment horizontal="center" vertical="top" wrapText="1"/>
    </xf>
    <xf numFmtId="0" fontId="6" fillId="0" borderId="0" xfId="0" applyNumberFormat="1" applyFont="1" applyFill="1" applyBorder="1" applyAlignment="1" applyProtection="1">
      <alignment horizontal="center" vertical="top" wrapText="1"/>
    </xf>
    <xf numFmtId="0" fontId="6" fillId="5" borderId="7" xfId="0" applyNumberFormat="1" applyFont="1" applyFill="1" applyBorder="1" applyAlignment="1" applyProtection="1">
      <alignment horizontal="center" vertical="top" wrapText="1"/>
    </xf>
    <xf numFmtId="0" fontId="5" fillId="3" borderId="4" xfId="0" applyNumberFormat="1" applyFont="1" applyFill="1" applyBorder="1" applyAlignment="1" applyProtection="1">
      <alignment horizontal="center" vertical="top" wrapText="1"/>
    </xf>
    <xf numFmtId="0" fontId="6" fillId="6" borderId="6" xfId="0" applyNumberFormat="1" applyFont="1" applyFill="1" applyBorder="1" applyAlignment="1" applyProtection="1">
      <alignment horizontal="center" vertical="top" wrapText="1"/>
    </xf>
    <xf numFmtId="0" fontId="6" fillId="6" borderId="7" xfId="0" applyNumberFormat="1" applyFont="1" applyFill="1" applyBorder="1" applyAlignment="1" applyProtection="1">
      <alignment horizontal="center" vertical="top" wrapText="1"/>
    </xf>
    <xf numFmtId="49" fontId="6" fillId="6" borderId="7" xfId="0" applyNumberFormat="1" applyFont="1" applyFill="1" applyBorder="1" applyAlignment="1" applyProtection="1">
      <alignment horizontal="center" vertical="top" wrapText="1"/>
    </xf>
    <xf numFmtId="0" fontId="6" fillId="7" borderId="6" xfId="0" applyNumberFormat="1" applyFont="1" applyFill="1" applyBorder="1" applyAlignment="1" applyProtection="1">
      <alignment horizontal="center" vertical="top" wrapText="1"/>
    </xf>
    <xf numFmtId="0" fontId="6" fillId="7" borderId="7" xfId="0" applyNumberFormat="1" applyFont="1" applyFill="1" applyBorder="1" applyAlignment="1" applyProtection="1">
      <alignment horizontal="center" vertical="top" wrapText="1"/>
    </xf>
    <xf numFmtId="0" fontId="6" fillId="8" borderId="6" xfId="0" applyNumberFormat="1" applyFont="1" applyFill="1" applyBorder="1" applyAlignment="1" applyProtection="1">
      <alignment horizontal="center" vertical="top" wrapText="1"/>
    </xf>
    <xf numFmtId="0" fontId="6" fillId="8" borderId="7" xfId="0" applyNumberFormat="1" applyFont="1" applyFill="1" applyBorder="1" applyAlignment="1" applyProtection="1">
      <alignment horizontal="center" vertical="top" wrapText="1"/>
    </xf>
    <xf numFmtId="0" fontId="6" fillId="9" borderId="6" xfId="0" applyNumberFormat="1" applyFont="1" applyFill="1" applyBorder="1" applyAlignment="1" applyProtection="1">
      <alignment horizontal="center" vertical="top" wrapText="1"/>
    </xf>
    <xf numFmtId="0" fontId="6" fillId="9" borderId="7" xfId="0" applyNumberFormat="1" applyFont="1" applyFill="1" applyBorder="1" applyAlignment="1" applyProtection="1">
      <alignment horizontal="center" vertical="top" wrapText="1"/>
    </xf>
    <xf numFmtId="0" fontId="6" fillId="0" borderId="7" xfId="0" applyNumberFormat="1" applyFont="1" applyFill="1" applyBorder="1" applyAlignment="1" applyProtection="1">
      <alignment horizontal="center" vertical="top" wrapText="1"/>
    </xf>
    <xf numFmtId="0" fontId="5" fillId="3" borderId="4" xfId="0" applyNumberFormat="1" applyFont="1" applyFill="1" applyBorder="1" applyAlignment="1" applyProtection="1">
      <alignment horizontal="center" vertical="top" wrapText="1"/>
    </xf>
    <xf numFmtId="0" fontId="6" fillId="6" borderId="7" xfId="0" applyNumberFormat="1" applyFont="1" applyFill="1" applyBorder="1" applyAlignment="1" applyProtection="1">
      <alignment horizontal="center" vertical="top" wrapText="1"/>
    </xf>
    <xf numFmtId="0" fontId="6" fillId="7" borderId="7" xfId="0" applyNumberFormat="1" applyFont="1" applyFill="1" applyBorder="1" applyAlignment="1" applyProtection="1">
      <alignment horizontal="center" vertical="top" wrapText="1"/>
    </xf>
    <xf numFmtId="0" fontId="6" fillId="8" borderId="7" xfId="0" applyNumberFormat="1" applyFont="1" applyFill="1" applyBorder="1" applyAlignment="1" applyProtection="1">
      <alignment horizontal="center" vertical="top" wrapText="1"/>
    </xf>
    <xf numFmtId="0" fontId="6" fillId="9" borderId="7" xfId="0" applyNumberFormat="1" applyFont="1" applyFill="1" applyBorder="1" applyAlignment="1" applyProtection="1">
      <alignment horizontal="center" vertical="top" wrapText="1"/>
    </xf>
    <xf numFmtId="0" fontId="6" fillId="0" borderId="0" xfId="0" applyNumberFormat="1" applyFont="1" applyFill="1" applyBorder="1" applyAlignment="1" applyProtection="1">
      <alignment horizontal="center" vertical="top" wrapText="1"/>
    </xf>
    <xf numFmtId="0" fontId="2" fillId="0" borderId="0" xfId="0" applyFont="1" applyAlignment="1">
      <alignment horizontal="center" vertical="center"/>
    </xf>
    <xf numFmtId="0" fontId="9" fillId="5" borderId="8" xfId="0" applyNumberFormat="1" applyFont="1" applyFill="1" applyBorder="1" applyAlignment="1" applyProtection="1">
      <alignment horizontal="left" vertical="top" wrapText="1"/>
    </xf>
    <xf numFmtId="0" fontId="9" fillId="5" borderId="4" xfId="0" applyNumberFormat="1" applyFont="1" applyFill="1" applyBorder="1" applyAlignment="1" applyProtection="1">
      <alignment horizontal="left" vertical="top" wrapText="1"/>
    </xf>
    <xf numFmtId="49" fontId="9" fillId="5" borderId="8" xfId="0" applyNumberFormat="1" applyFont="1" applyFill="1" applyBorder="1" applyAlignment="1" applyProtection="1">
      <alignment horizontal="left" vertical="top" wrapText="1"/>
    </xf>
    <xf numFmtId="49" fontId="9" fillId="5" borderId="5" xfId="0" applyNumberFormat="1" applyFont="1" applyFill="1" applyBorder="1" applyAlignment="1" applyProtection="1">
      <alignment horizontal="left" vertical="top" wrapText="1"/>
    </xf>
    <xf numFmtId="49" fontId="9" fillId="5" borderId="4" xfId="0" applyNumberFormat="1" applyFont="1" applyFill="1" applyBorder="1" applyAlignment="1" applyProtection="1">
      <alignment horizontal="left" vertical="top" wrapText="1"/>
    </xf>
    <xf numFmtId="0" fontId="6" fillId="0" borderId="2" xfId="0" applyNumberFormat="1" applyFont="1" applyFill="1" applyBorder="1" applyAlignment="1" applyProtection="1">
      <alignment horizontal="center" vertical="top" wrapText="1"/>
    </xf>
    <xf numFmtId="0" fontId="6" fillId="0" borderId="7" xfId="0" applyNumberFormat="1" applyFont="1" applyFill="1" applyBorder="1" applyAlignment="1" applyProtection="1">
      <alignment horizontal="center" vertical="top" wrapText="1"/>
    </xf>
    <xf numFmtId="0" fontId="14" fillId="0" borderId="0" xfId="0" applyFont="1" applyAlignment="1">
      <alignment horizontal="center" vertical="center"/>
    </xf>
    <xf numFmtId="0" fontId="3" fillId="2" borderId="0" xfId="0" applyNumberFormat="1" applyFont="1" applyFill="1" applyBorder="1" applyAlignment="1" applyProtection="1">
      <alignment horizontal="center" wrapText="1"/>
    </xf>
    <xf numFmtId="0" fontId="4" fillId="2" borderId="2" xfId="0" applyNumberFormat="1" applyFont="1" applyFill="1" applyBorder="1" applyAlignment="1" applyProtection="1">
      <alignment horizontal="right" vertical="center" wrapText="1"/>
    </xf>
    <xf numFmtId="0" fontId="4" fillId="4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NumberFormat="1" applyFont="1" applyFill="1" applyBorder="1" applyAlignment="1" applyProtection="1">
      <alignment horizontal="center" vertical="center" wrapText="1"/>
    </xf>
    <xf numFmtId="0" fontId="5" fillId="3" borderId="5" xfId="0" applyNumberFormat="1" applyFont="1" applyFill="1" applyBorder="1" applyAlignment="1" applyProtection="1">
      <alignment horizontal="center" vertical="top" wrapText="1"/>
    </xf>
    <xf numFmtId="0" fontId="5" fillId="3" borderId="4" xfId="0" applyNumberFormat="1" applyFont="1" applyFill="1" applyBorder="1" applyAlignment="1" applyProtection="1">
      <alignment horizontal="center" vertical="top" wrapText="1"/>
    </xf>
    <xf numFmtId="0" fontId="8" fillId="3" borderId="5" xfId="0" applyNumberFormat="1" applyFont="1" applyFill="1" applyBorder="1" applyAlignment="1" applyProtection="1">
      <alignment horizontal="center" vertical="top" wrapText="1"/>
    </xf>
    <xf numFmtId="0" fontId="6" fillId="6" borderId="2" xfId="0" applyNumberFormat="1" applyFont="1" applyFill="1" applyBorder="1" applyAlignment="1" applyProtection="1">
      <alignment horizontal="center" vertical="top" wrapText="1"/>
    </xf>
    <xf numFmtId="0" fontId="6" fillId="6" borderId="7" xfId="0" applyNumberFormat="1" applyFont="1" applyFill="1" applyBorder="1" applyAlignment="1" applyProtection="1">
      <alignment horizontal="center" vertical="top" wrapText="1"/>
    </xf>
    <xf numFmtId="0" fontId="6" fillId="7" borderId="2" xfId="0" applyNumberFormat="1" applyFont="1" applyFill="1" applyBorder="1" applyAlignment="1" applyProtection="1">
      <alignment horizontal="center" vertical="top" wrapText="1"/>
    </xf>
    <xf numFmtId="0" fontId="6" fillId="7" borderId="7" xfId="0" applyNumberFormat="1" applyFont="1" applyFill="1" applyBorder="1" applyAlignment="1" applyProtection="1">
      <alignment horizontal="center" vertical="top" wrapText="1"/>
    </xf>
    <xf numFmtId="0" fontId="6" fillId="8" borderId="2" xfId="0" applyNumberFormat="1" applyFont="1" applyFill="1" applyBorder="1" applyAlignment="1" applyProtection="1">
      <alignment horizontal="center" vertical="top" wrapText="1"/>
    </xf>
    <xf numFmtId="0" fontId="6" fillId="8" borderId="7" xfId="0" applyNumberFormat="1" applyFont="1" applyFill="1" applyBorder="1" applyAlignment="1" applyProtection="1">
      <alignment horizontal="center" vertical="top" wrapText="1"/>
    </xf>
    <xf numFmtId="0" fontId="6" fillId="9" borderId="2" xfId="0" applyNumberFormat="1" applyFont="1" applyFill="1" applyBorder="1" applyAlignment="1" applyProtection="1">
      <alignment horizontal="center" vertical="top" wrapText="1"/>
    </xf>
    <xf numFmtId="0" fontId="6" fillId="9" borderId="7" xfId="0" applyNumberFormat="1" applyFont="1" applyFill="1" applyBorder="1" applyAlignment="1" applyProtection="1">
      <alignment horizontal="center" vertical="top" wrapText="1"/>
    </xf>
    <xf numFmtId="0" fontId="6" fillId="0" borderId="0" xfId="0" applyNumberFormat="1" applyFont="1" applyFill="1" applyBorder="1" applyAlignment="1" applyProtection="1">
      <alignment horizontal="center" vertical="top" wrapText="1"/>
    </xf>
    <xf numFmtId="0" fontId="7" fillId="0" borderId="0" xfId="0" applyNumberFormat="1" applyFont="1" applyFill="1" applyBorder="1" applyAlignment="1" applyProtection="1">
      <alignment horizontal="left" vertical="top" wrapText="1"/>
    </xf>
    <xf numFmtId="0" fontId="7" fillId="0" borderId="0" xfId="0" applyNumberFormat="1" applyFont="1" applyFill="1" applyBorder="1" applyAlignment="1" applyProtection="1">
      <alignment horizontal="righ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7" workbookViewId="0">
      <selection activeCell="B27" sqref="B27"/>
    </sheetView>
  </sheetViews>
  <sheetFormatPr defaultRowHeight="13.5"/>
  <cols>
    <col min="1" max="1" width="5.75" style="1" bestFit="1" customWidth="1"/>
    <col min="2" max="2" width="9.75" style="6" bestFit="1" customWidth="1"/>
    <col min="3" max="3" width="16.625" style="1" customWidth="1"/>
    <col min="4" max="4" width="10.25" style="6" customWidth="1"/>
    <col min="5" max="5" width="10.25" style="9" bestFit="1" customWidth="1"/>
    <col min="6" max="6" width="10.25" style="9" customWidth="1"/>
    <col min="7" max="7" width="14.5" style="6" customWidth="1"/>
    <col min="8" max="8" width="16.625" style="6" customWidth="1"/>
  </cols>
  <sheetData>
    <row r="1" spans="1:8">
      <c r="A1" s="38" t="s">
        <v>89</v>
      </c>
      <c r="B1" s="38"/>
      <c r="C1" s="38"/>
      <c r="D1" s="38"/>
      <c r="E1" s="38"/>
      <c r="F1" s="38"/>
      <c r="G1" s="38"/>
      <c r="H1" s="38"/>
    </row>
    <row r="2" spans="1:8">
      <c r="A2" s="2" t="s">
        <v>6</v>
      </c>
      <c r="B2" s="4" t="s">
        <v>0</v>
      </c>
      <c r="C2" s="2" t="s">
        <v>2</v>
      </c>
      <c r="D2" s="4" t="s">
        <v>1</v>
      </c>
      <c r="E2" s="7" t="s">
        <v>3</v>
      </c>
      <c r="F2" s="7" t="s">
        <v>10</v>
      </c>
      <c r="G2" s="4" t="s">
        <v>4</v>
      </c>
      <c r="H2" s="4" t="s">
        <v>5</v>
      </c>
    </row>
    <row r="3" spans="1:8">
      <c r="A3" s="3">
        <v>1</v>
      </c>
      <c r="B3" s="5" t="s">
        <v>92</v>
      </c>
      <c r="C3" s="3" t="s">
        <v>90</v>
      </c>
      <c r="D3" s="5" t="s">
        <v>93</v>
      </c>
      <c r="E3" s="8">
        <v>41791</v>
      </c>
      <c r="F3" s="8" t="s">
        <v>28</v>
      </c>
      <c r="G3" s="5" t="s">
        <v>9</v>
      </c>
      <c r="H3" s="5" t="s">
        <v>8</v>
      </c>
    </row>
    <row r="4" spans="1:8">
      <c r="A4" s="3">
        <v>2</v>
      </c>
      <c r="B4" s="5" t="s">
        <v>94</v>
      </c>
      <c r="C4" s="3" t="s">
        <v>91</v>
      </c>
      <c r="D4" s="5" t="s">
        <v>92</v>
      </c>
      <c r="E4" s="8">
        <v>41792</v>
      </c>
      <c r="F4" s="8" t="s">
        <v>28</v>
      </c>
      <c r="G4" s="5"/>
      <c r="H4" s="5"/>
    </row>
    <row r="5" spans="1:8">
      <c r="A5" s="3">
        <v>3</v>
      </c>
      <c r="B5" s="5" t="s">
        <v>95</v>
      </c>
      <c r="C5" s="3" t="s">
        <v>96</v>
      </c>
      <c r="D5" s="5" t="s">
        <v>18</v>
      </c>
      <c r="E5" s="8">
        <v>41793</v>
      </c>
      <c r="F5" s="8" t="s">
        <v>27</v>
      </c>
      <c r="G5" s="5"/>
      <c r="H5" s="5"/>
    </row>
    <row r="6" spans="1:8">
      <c r="A6" s="3">
        <v>4</v>
      </c>
      <c r="B6" s="5" t="s">
        <v>97</v>
      </c>
      <c r="C6" s="3" t="s">
        <v>98</v>
      </c>
      <c r="D6" s="5" t="s">
        <v>95</v>
      </c>
      <c r="E6" s="8">
        <v>41794</v>
      </c>
      <c r="F6" s="8" t="s">
        <v>29</v>
      </c>
      <c r="G6" s="5"/>
      <c r="H6" s="5"/>
    </row>
    <row r="7" spans="1:8">
      <c r="A7" s="3">
        <v>5</v>
      </c>
      <c r="B7" s="5" t="s">
        <v>99</v>
      </c>
      <c r="C7" s="3" t="s">
        <v>100</v>
      </c>
      <c r="D7" s="5" t="s">
        <v>18</v>
      </c>
      <c r="E7" s="8">
        <v>41795</v>
      </c>
      <c r="F7" s="8" t="s">
        <v>30</v>
      </c>
      <c r="G7" s="5"/>
      <c r="H7" s="5"/>
    </row>
    <row r="8" spans="1:8">
      <c r="A8" s="3">
        <v>6</v>
      </c>
      <c r="B8" s="5" t="s">
        <v>101</v>
      </c>
      <c r="C8" s="3" t="s">
        <v>103</v>
      </c>
      <c r="D8" s="5" t="s">
        <v>99</v>
      </c>
      <c r="E8" s="8">
        <v>41796</v>
      </c>
      <c r="F8" s="8" t="s">
        <v>31</v>
      </c>
      <c r="G8" s="5"/>
      <c r="H8" s="5"/>
    </row>
    <row r="9" spans="1:8">
      <c r="A9" s="3">
        <v>7</v>
      </c>
      <c r="B9" s="5" t="s">
        <v>102</v>
      </c>
      <c r="C9" s="3" t="s">
        <v>104</v>
      </c>
      <c r="D9" s="5" t="s">
        <v>99</v>
      </c>
      <c r="E9" s="8">
        <v>41797</v>
      </c>
      <c r="F9" s="8" t="s">
        <v>32</v>
      </c>
      <c r="G9" s="5"/>
      <c r="H9" s="5"/>
    </row>
    <row r="10" spans="1:8">
      <c r="A10" s="3">
        <v>8</v>
      </c>
      <c r="B10" s="5" t="s">
        <v>105</v>
      </c>
      <c r="C10" s="3" t="s">
        <v>106</v>
      </c>
      <c r="D10" s="5" t="s">
        <v>107</v>
      </c>
      <c r="E10" s="8">
        <v>41798</v>
      </c>
      <c r="F10" s="8" t="s">
        <v>33</v>
      </c>
      <c r="G10" s="5"/>
      <c r="H10" s="5"/>
    </row>
    <row r="11" spans="1:8">
      <c r="A11" s="3">
        <v>9</v>
      </c>
      <c r="B11" s="5" t="s">
        <v>108</v>
      </c>
      <c r="C11" s="3" t="s">
        <v>109</v>
      </c>
      <c r="D11" s="5" t="s">
        <v>20</v>
      </c>
      <c r="E11" s="8">
        <v>41799</v>
      </c>
      <c r="F11" s="8" t="s">
        <v>34</v>
      </c>
      <c r="G11" s="5"/>
      <c r="H11" s="5"/>
    </row>
    <row r="12" spans="1:8">
      <c r="A12" s="3">
        <v>10</v>
      </c>
      <c r="B12" s="5" t="s">
        <v>187</v>
      </c>
      <c r="C12" s="3" t="s">
        <v>188</v>
      </c>
      <c r="D12" s="5" t="s">
        <v>189</v>
      </c>
      <c r="E12" s="8">
        <v>41799</v>
      </c>
      <c r="F12" s="8" t="s">
        <v>34</v>
      </c>
      <c r="G12" s="5"/>
      <c r="H12" s="5"/>
    </row>
    <row r="13" spans="1:8">
      <c r="A13" s="3">
        <v>11</v>
      </c>
      <c r="B13" s="5" t="s">
        <v>110</v>
      </c>
      <c r="C13" s="3" t="s">
        <v>111</v>
      </c>
      <c r="D13" s="5" t="s">
        <v>112</v>
      </c>
      <c r="E13" s="8">
        <v>41800</v>
      </c>
      <c r="F13" s="8" t="s">
        <v>35</v>
      </c>
      <c r="G13" s="5"/>
      <c r="H13" s="5"/>
    </row>
    <row r="14" spans="1:8">
      <c r="A14" s="3">
        <v>12</v>
      </c>
      <c r="B14" s="5" t="s">
        <v>113</v>
      </c>
      <c r="C14" s="3" t="s">
        <v>114</v>
      </c>
      <c r="D14" s="5" t="s">
        <v>115</v>
      </c>
      <c r="E14" s="8">
        <v>41801</v>
      </c>
      <c r="F14" s="8" t="s">
        <v>31</v>
      </c>
      <c r="G14" s="5"/>
      <c r="H14" s="5"/>
    </row>
    <row r="15" spans="1:8">
      <c r="A15" s="3">
        <v>13</v>
      </c>
      <c r="B15" s="5" t="s">
        <v>116</v>
      </c>
      <c r="C15" s="3" t="s">
        <v>117</v>
      </c>
      <c r="D15" s="5" t="s">
        <v>118</v>
      </c>
      <c r="E15" s="8">
        <v>41802</v>
      </c>
      <c r="F15" s="8" t="s">
        <v>30</v>
      </c>
      <c r="G15" s="5"/>
      <c r="H15" s="5"/>
    </row>
    <row r="16" spans="1:8">
      <c r="A16" s="3">
        <v>14</v>
      </c>
      <c r="B16" s="5" t="s">
        <v>119</v>
      </c>
      <c r="C16" s="3" t="s">
        <v>120</v>
      </c>
      <c r="D16" s="5" t="s">
        <v>118</v>
      </c>
      <c r="E16" s="8">
        <v>41803</v>
      </c>
      <c r="F16" s="8" t="s">
        <v>29</v>
      </c>
      <c r="G16" s="5"/>
      <c r="H16" s="5"/>
    </row>
    <row r="17" spans="1:8">
      <c r="A17" s="3">
        <v>15</v>
      </c>
      <c r="B17" s="5" t="s">
        <v>121</v>
      </c>
      <c r="C17" s="3" t="s">
        <v>122</v>
      </c>
      <c r="D17" s="5" t="s">
        <v>115</v>
      </c>
      <c r="E17" s="8">
        <v>41804</v>
      </c>
      <c r="F17" s="8" t="s">
        <v>28</v>
      </c>
      <c r="G17" s="5"/>
      <c r="H17" s="5"/>
    </row>
    <row r="18" spans="1:8">
      <c r="A18" s="3">
        <v>16</v>
      </c>
      <c r="B18" s="5" t="s">
        <v>123</v>
      </c>
      <c r="C18" s="3" t="s">
        <v>124</v>
      </c>
      <c r="D18" s="5" t="s">
        <v>125</v>
      </c>
      <c r="E18" s="8">
        <v>41805</v>
      </c>
      <c r="F18" s="8" t="s">
        <v>28</v>
      </c>
      <c r="G18" s="5"/>
      <c r="H18" s="5"/>
    </row>
    <row r="19" spans="1:8">
      <c r="A19" s="3">
        <v>17</v>
      </c>
      <c r="B19" s="5" t="s">
        <v>190</v>
      </c>
      <c r="C19" s="3" t="s">
        <v>192</v>
      </c>
      <c r="D19" s="5" t="s">
        <v>198</v>
      </c>
      <c r="E19" s="8">
        <v>41804</v>
      </c>
      <c r="F19" s="8" t="s">
        <v>28</v>
      </c>
      <c r="G19" s="5"/>
      <c r="H19" s="5"/>
    </row>
    <row r="20" spans="1:8">
      <c r="A20" s="3">
        <v>18</v>
      </c>
      <c r="B20" s="5" t="s">
        <v>191</v>
      </c>
      <c r="C20" s="3" t="s">
        <v>193</v>
      </c>
      <c r="D20" s="5" t="s">
        <v>190</v>
      </c>
      <c r="E20" s="8">
        <v>41805</v>
      </c>
      <c r="F20" s="8" t="s">
        <v>28</v>
      </c>
      <c r="G20" s="5"/>
      <c r="H20" s="5"/>
    </row>
    <row r="21" spans="1:8">
      <c r="A21" s="3">
        <v>19</v>
      </c>
      <c r="B21" s="5" t="s">
        <v>126</v>
      </c>
      <c r="C21" s="3" t="s">
        <v>127</v>
      </c>
      <c r="D21" s="5" t="s">
        <v>128</v>
      </c>
      <c r="E21" s="8">
        <v>41806</v>
      </c>
      <c r="F21" s="8" t="s">
        <v>35</v>
      </c>
      <c r="G21" s="5"/>
      <c r="H21" s="5"/>
    </row>
    <row r="22" spans="1:8">
      <c r="A22" s="3">
        <v>20</v>
      </c>
      <c r="B22" s="5" t="s">
        <v>129</v>
      </c>
      <c r="C22" s="3" t="s">
        <v>130</v>
      </c>
      <c r="D22" s="5" t="s">
        <v>131</v>
      </c>
      <c r="E22" s="8">
        <v>41807</v>
      </c>
      <c r="F22" s="8" t="s">
        <v>31</v>
      </c>
      <c r="G22" s="5"/>
      <c r="H22" s="5"/>
    </row>
    <row r="23" spans="1:8">
      <c r="A23" s="3">
        <v>21</v>
      </c>
      <c r="B23" s="5" t="s">
        <v>132</v>
      </c>
      <c r="C23" s="3" t="s">
        <v>133</v>
      </c>
      <c r="D23" s="5" t="s">
        <v>134</v>
      </c>
      <c r="E23" s="8">
        <v>41808</v>
      </c>
      <c r="F23" s="8" t="s">
        <v>30</v>
      </c>
      <c r="G23" s="5"/>
      <c r="H23" s="5"/>
    </row>
    <row r="24" spans="1:8">
      <c r="A24" s="3">
        <v>22</v>
      </c>
      <c r="B24" s="5" t="s">
        <v>135</v>
      </c>
      <c r="C24" s="3" t="s">
        <v>136</v>
      </c>
      <c r="D24" s="5" t="s">
        <v>137</v>
      </c>
      <c r="E24" s="8">
        <v>41809</v>
      </c>
      <c r="F24" s="8" t="s">
        <v>29</v>
      </c>
      <c r="G24" s="5"/>
      <c r="H24" s="5"/>
    </row>
    <row r="25" spans="1:8">
      <c r="A25" s="3">
        <v>23</v>
      </c>
      <c r="B25" s="5" t="s">
        <v>138</v>
      </c>
      <c r="C25" s="3" t="s">
        <v>139</v>
      </c>
      <c r="D25" s="5" t="s">
        <v>137</v>
      </c>
      <c r="E25" s="8">
        <v>41810</v>
      </c>
      <c r="F25" s="8" t="s">
        <v>28</v>
      </c>
      <c r="G25" s="5"/>
      <c r="H25" s="5"/>
    </row>
    <row r="26" spans="1:8">
      <c r="A26" s="3">
        <v>24</v>
      </c>
      <c r="B26" s="5" t="s">
        <v>140</v>
      </c>
      <c r="C26" s="3" t="s">
        <v>141</v>
      </c>
      <c r="D26" s="5" t="s">
        <v>142</v>
      </c>
      <c r="E26" s="8">
        <v>41809</v>
      </c>
      <c r="F26" s="8" t="s">
        <v>29</v>
      </c>
      <c r="G26" s="5"/>
      <c r="H26" s="5"/>
    </row>
    <row r="27" spans="1:8">
      <c r="A27" s="3">
        <v>25</v>
      </c>
      <c r="B27" s="5" t="s">
        <v>143</v>
      </c>
      <c r="C27" s="3" t="s">
        <v>144</v>
      </c>
      <c r="D27" s="5" t="s">
        <v>142</v>
      </c>
      <c r="E27" s="8">
        <v>41810</v>
      </c>
      <c r="F27" s="8" t="s">
        <v>28</v>
      </c>
      <c r="G27" s="5"/>
      <c r="H27" s="5"/>
    </row>
    <row r="28" spans="1:8">
      <c r="A28" s="3">
        <v>26</v>
      </c>
      <c r="B28" s="5"/>
      <c r="C28" s="3"/>
      <c r="D28" s="5"/>
      <c r="E28" s="8"/>
      <c r="F28" s="8"/>
      <c r="G28" s="5"/>
      <c r="H28" s="5"/>
    </row>
    <row r="29" spans="1:8">
      <c r="A29" s="3">
        <v>27</v>
      </c>
      <c r="B29" s="5"/>
      <c r="C29" s="3"/>
      <c r="D29" s="5"/>
      <c r="E29" s="8"/>
      <c r="F29" s="8"/>
      <c r="G29" s="5"/>
      <c r="H29" s="5"/>
    </row>
    <row r="30" spans="1:8">
      <c r="A30" s="3">
        <v>28</v>
      </c>
      <c r="B30" s="5"/>
      <c r="C30" s="3"/>
      <c r="D30" s="5"/>
      <c r="E30" s="8"/>
      <c r="F30" s="8"/>
      <c r="G30" s="5"/>
      <c r="H30" s="5"/>
    </row>
    <row r="31" spans="1:8">
      <c r="A31" s="3">
        <v>29</v>
      </c>
      <c r="B31" s="5"/>
      <c r="C31" s="3"/>
      <c r="D31" s="5"/>
      <c r="E31" s="8"/>
      <c r="F31" s="8"/>
      <c r="G31" s="5"/>
      <c r="H31" s="5"/>
    </row>
    <row r="32" spans="1:8">
      <c r="A32" s="3">
        <v>30</v>
      </c>
      <c r="B32" s="5"/>
      <c r="C32" s="3"/>
      <c r="D32" s="5"/>
      <c r="E32" s="8"/>
      <c r="F32" s="8"/>
      <c r="G32" s="5"/>
      <c r="H32" s="5"/>
    </row>
    <row r="33" spans="1:8">
      <c r="A33" s="3">
        <v>31</v>
      </c>
      <c r="B33" s="5"/>
      <c r="C33" s="3"/>
      <c r="D33" s="5"/>
      <c r="E33" s="8"/>
      <c r="F33" s="8"/>
      <c r="G33" s="5"/>
      <c r="H33" s="5"/>
    </row>
    <row r="34" spans="1:8">
      <c r="A34" s="3">
        <v>32</v>
      </c>
      <c r="B34" s="5"/>
      <c r="C34" s="3"/>
      <c r="D34" s="5"/>
      <c r="E34" s="8"/>
      <c r="F34" s="8"/>
      <c r="G34" s="5"/>
      <c r="H34" s="5"/>
    </row>
    <row r="35" spans="1:8">
      <c r="A35" s="3">
        <v>33</v>
      </c>
      <c r="B35" s="5"/>
      <c r="C35" s="3"/>
      <c r="D35" s="5"/>
      <c r="E35" s="8"/>
      <c r="F35" s="8"/>
      <c r="G35" s="5"/>
      <c r="H35" s="5"/>
    </row>
    <row r="36" spans="1:8">
      <c r="A36" s="3">
        <v>34</v>
      </c>
      <c r="B36" s="5"/>
      <c r="C36" s="3"/>
      <c r="D36" s="5"/>
      <c r="E36" s="8"/>
      <c r="F36" s="8"/>
      <c r="G36" s="5"/>
      <c r="H36" s="5"/>
    </row>
    <row r="37" spans="1:8">
      <c r="A37" s="3">
        <v>35</v>
      </c>
      <c r="B37" s="5"/>
      <c r="C37" s="3"/>
      <c r="D37" s="5"/>
      <c r="E37" s="8"/>
      <c r="F37" s="8"/>
      <c r="G37" s="5"/>
      <c r="H37" s="5"/>
    </row>
    <row r="38" spans="1:8">
      <c r="A38" s="3">
        <v>36</v>
      </c>
      <c r="B38" s="5"/>
      <c r="C38" s="3"/>
      <c r="D38" s="5"/>
      <c r="E38" s="8"/>
      <c r="F38" s="8"/>
      <c r="G38" s="5"/>
      <c r="H38" s="5"/>
    </row>
    <row r="39" spans="1:8">
      <c r="A39" s="3">
        <v>37</v>
      </c>
      <c r="B39" s="5"/>
      <c r="C39" s="3"/>
      <c r="D39" s="5"/>
      <c r="E39" s="8"/>
      <c r="F39" s="8"/>
      <c r="G39" s="5"/>
      <c r="H39" s="5"/>
    </row>
    <row r="40" spans="1:8">
      <c r="A40" s="3">
        <v>38</v>
      </c>
      <c r="B40" s="5"/>
      <c r="C40" s="3"/>
      <c r="D40" s="5"/>
      <c r="E40" s="8"/>
      <c r="F40" s="8"/>
      <c r="G40" s="5"/>
      <c r="H40" s="5"/>
    </row>
    <row r="41" spans="1:8">
      <c r="A41" s="3">
        <v>39</v>
      </c>
      <c r="B41" s="5"/>
      <c r="C41" s="3"/>
      <c r="D41" s="5"/>
      <c r="E41" s="8"/>
      <c r="F41" s="8"/>
      <c r="G41" s="5"/>
      <c r="H41" s="5"/>
    </row>
    <row r="42" spans="1:8">
      <c r="A42" s="3">
        <v>40</v>
      </c>
      <c r="B42" s="5"/>
      <c r="C42" s="3"/>
      <c r="D42" s="5"/>
      <c r="E42" s="8"/>
      <c r="F42" s="8"/>
      <c r="G42" s="5"/>
      <c r="H42" s="5"/>
    </row>
    <row r="43" spans="1:8">
      <c r="A43" s="3">
        <v>41</v>
      </c>
      <c r="B43" s="5"/>
      <c r="C43" s="3"/>
      <c r="D43" s="5"/>
      <c r="E43" s="8"/>
      <c r="F43" s="8"/>
      <c r="G43" s="5"/>
      <c r="H43" s="5"/>
    </row>
    <row r="44" spans="1:8">
      <c r="A44" s="3">
        <v>42</v>
      </c>
      <c r="B44" s="5"/>
      <c r="C44" s="3"/>
      <c r="D44" s="5"/>
      <c r="E44" s="8"/>
      <c r="F44" s="8"/>
      <c r="G44" s="5"/>
      <c r="H44" s="5"/>
    </row>
    <row r="45" spans="1:8">
      <c r="A45" s="3">
        <v>43</v>
      </c>
      <c r="B45" s="5"/>
      <c r="C45" s="3"/>
      <c r="D45" s="5"/>
      <c r="E45" s="8"/>
      <c r="F45" s="8"/>
      <c r="G45" s="5"/>
      <c r="H45" s="5"/>
    </row>
    <row r="46" spans="1:8">
      <c r="A46" s="3">
        <v>44</v>
      </c>
      <c r="B46" s="5"/>
      <c r="C46" s="3"/>
      <c r="D46" s="5"/>
      <c r="E46" s="8"/>
      <c r="F46" s="8"/>
      <c r="G46" s="5"/>
      <c r="H46" s="5"/>
    </row>
    <row r="47" spans="1:8">
      <c r="A47" s="3">
        <v>45</v>
      </c>
      <c r="B47" s="5"/>
      <c r="C47" s="3"/>
      <c r="D47" s="5"/>
      <c r="E47" s="8"/>
      <c r="F47" s="8"/>
      <c r="G47" s="5"/>
      <c r="H47" s="5"/>
    </row>
    <row r="48" spans="1:8">
      <c r="A48" s="3">
        <v>46</v>
      </c>
      <c r="B48" s="5"/>
      <c r="C48" s="3"/>
      <c r="D48" s="5"/>
      <c r="E48" s="8"/>
      <c r="F48" s="8"/>
      <c r="G48" s="5"/>
      <c r="H48" s="5"/>
    </row>
    <row r="49" spans="1:8">
      <c r="A49" s="3">
        <v>47</v>
      </c>
      <c r="B49" s="5"/>
      <c r="C49" s="3"/>
      <c r="D49" s="5"/>
      <c r="E49" s="8"/>
      <c r="F49" s="8"/>
      <c r="G49" s="5"/>
      <c r="H49" s="5"/>
    </row>
    <row r="50" spans="1:8">
      <c r="A50" s="3">
        <v>48</v>
      </c>
      <c r="B50" s="5"/>
      <c r="C50" s="3"/>
      <c r="D50" s="5"/>
      <c r="E50" s="8"/>
      <c r="F50" s="8"/>
      <c r="G50" s="5"/>
      <c r="H50" s="5"/>
    </row>
    <row r="51" spans="1:8">
      <c r="A51" s="3">
        <v>49</v>
      </c>
      <c r="B51" s="5"/>
      <c r="C51" s="3"/>
      <c r="D51" s="5"/>
      <c r="E51" s="8"/>
      <c r="F51" s="8"/>
      <c r="G51" s="5"/>
      <c r="H51" s="5"/>
    </row>
    <row r="52" spans="1:8">
      <c r="A52" s="3">
        <v>50</v>
      </c>
      <c r="B52" s="5"/>
      <c r="C52" s="3"/>
      <c r="D52" s="5"/>
      <c r="E52" s="8"/>
      <c r="F52" s="8"/>
      <c r="G52" s="5"/>
      <c r="H52" s="5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37" workbookViewId="0">
      <selection activeCell="E36" sqref="E36:E42"/>
    </sheetView>
  </sheetViews>
  <sheetFormatPr defaultRowHeight="13.5"/>
  <cols>
    <col min="1" max="1" width="5.75" style="1" bestFit="1" customWidth="1"/>
    <col min="2" max="2" width="9" style="6"/>
    <col min="3" max="3" width="11.875" style="1" bestFit="1" customWidth="1"/>
    <col min="4" max="5" width="9" style="1"/>
  </cols>
  <sheetData>
    <row r="1" spans="1:5">
      <c r="A1" s="38" t="s">
        <v>87</v>
      </c>
      <c r="B1" s="38"/>
      <c r="C1" s="38"/>
      <c r="D1" s="38"/>
      <c r="E1" s="38"/>
    </row>
    <row r="2" spans="1:5">
      <c r="A2" s="2" t="s">
        <v>6</v>
      </c>
      <c r="B2" s="4" t="s">
        <v>0</v>
      </c>
      <c r="C2" s="2" t="s">
        <v>10</v>
      </c>
      <c r="D2" s="2" t="s">
        <v>11</v>
      </c>
      <c r="E2" s="2" t="s">
        <v>12</v>
      </c>
    </row>
    <row r="3" spans="1:5">
      <c r="A3" s="3">
        <v>1</v>
      </c>
      <c r="B3" s="5" t="s">
        <v>7</v>
      </c>
      <c r="C3" s="8" t="s">
        <v>28</v>
      </c>
      <c r="D3" s="3">
        <v>100</v>
      </c>
      <c r="E3" s="3">
        <v>100</v>
      </c>
    </row>
    <row r="4" spans="1:5">
      <c r="A4" s="3">
        <v>2</v>
      </c>
      <c r="B4" s="5" t="s">
        <v>13</v>
      </c>
      <c r="C4" s="8" t="s">
        <v>28</v>
      </c>
      <c r="D4" s="3">
        <v>200</v>
      </c>
      <c r="E4" s="3">
        <v>200</v>
      </c>
    </row>
    <row r="5" spans="1:5">
      <c r="A5" s="3">
        <v>3</v>
      </c>
      <c r="B5" s="5" t="s">
        <v>14</v>
      </c>
      <c r="C5" s="8" t="s">
        <v>27</v>
      </c>
      <c r="D5" s="3">
        <v>120</v>
      </c>
      <c r="E5" s="3">
        <v>120</v>
      </c>
    </row>
    <row r="6" spans="1:5">
      <c r="A6" s="3">
        <v>4</v>
      </c>
      <c r="B6" s="5" t="s">
        <v>15</v>
      </c>
      <c r="C6" s="8" t="s">
        <v>29</v>
      </c>
      <c r="D6" s="3">
        <v>200</v>
      </c>
      <c r="E6" s="3">
        <v>200</v>
      </c>
    </row>
    <row r="7" spans="1:5">
      <c r="A7" s="3">
        <v>5</v>
      </c>
      <c r="B7" s="5" t="s">
        <v>16</v>
      </c>
      <c r="C7" s="8" t="s">
        <v>30</v>
      </c>
      <c r="D7" s="3">
        <v>100</v>
      </c>
      <c r="E7" s="3">
        <v>100</v>
      </c>
    </row>
    <row r="8" spans="1:5">
      <c r="A8" s="3">
        <v>6</v>
      </c>
      <c r="B8" s="5" t="s">
        <v>17</v>
      </c>
      <c r="C8" s="8" t="s">
        <v>31</v>
      </c>
      <c r="D8" s="3">
        <v>50</v>
      </c>
      <c r="E8" s="3">
        <v>50</v>
      </c>
    </row>
    <row r="9" spans="1:5">
      <c r="A9" s="3">
        <v>7</v>
      </c>
      <c r="B9" s="5" t="s">
        <v>18</v>
      </c>
      <c r="C9" s="8" t="s">
        <v>32</v>
      </c>
      <c r="D9" s="3">
        <v>300</v>
      </c>
      <c r="E9" s="3">
        <v>300</v>
      </c>
    </row>
    <row r="10" spans="1:5">
      <c r="A10" s="3">
        <v>8</v>
      </c>
      <c r="B10" s="5" t="s">
        <v>19</v>
      </c>
      <c r="C10" s="8" t="s">
        <v>33</v>
      </c>
      <c r="D10" s="3">
        <v>100</v>
      </c>
      <c r="E10" s="3">
        <v>100</v>
      </c>
    </row>
    <row r="11" spans="1:5">
      <c r="A11" s="3">
        <v>9</v>
      </c>
      <c r="B11" s="5" t="s">
        <v>20</v>
      </c>
      <c r="C11" s="8" t="s">
        <v>34</v>
      </c>
      <c r="D11" s="3">
        <v>200</v>
      </c>
      <c r="E11" s="3">
        <v>200</v>
      </c>
    </row>
    <row r="12" spans="1:5">
      <c r="A12" s="3">
        <v>10</v>
      </c>
      <c r="B12" s="5" t="s">
        <v>21</v>
      </c>
      <c r="C12" s="8" t="s">
        <v>35</v>
      </c>
      <c r="D12" s="3">
        <v>200</v>
      </c>
      <c r="E12" s="3">
        <v>200</v>
      </c>
    </row>
    <row r="13" spans="1:5">
      <c r="A13" s="3">
        <v>11</v>
      </c>
      <c r="B13" s="5" t="s">
        <v>22</v>
      </c>
      <c r="C13" s="8" t="s">
        <v>31</v>
      </c>
      <c r="D13" s="3">
        <v>200</v>
      </c>
      <c r="E13" s="3">
        <v>200</v>
      </c>
    </row>
    <row r="14" spans="1:5">
      <c r="A14" s="3">
        <v>12</v>
      </c>
      <c r="B14" s="5" t="s">
        <v>23</v>
      </c>
      <c r="C14" s="8" t="s">
        <v>30</v>
      </c>
      <c r="D14" s="3">
        <v>3000</v>
      </c>
      <c r="E14" s="3">
        <v>3000</v>
      </c>
    </row>
    <row r="15" spans="1:5">
      <c r="A15" s="3">
        <v>13</v>
      </c>
      <c r="B15" s="5" t="s">
        <v>24</v>
      </c>
      <c r="C15" s="8" t="s">
        <v>29</v>
      </c>
      <c r="D15" s="3">
        <v>7000</v>
      </c>
      <c r="E15" s="3">
        <v>7000</v>
      </c>
    </row>
    <row r="16" spans="1:5">
      <c r="A16" s="3">
        <v>14</v>
      </c>
      <c r="B16" s="5" t="s">
        <v>25</v>
      </c>
      <c r="C16" s="8" t="s">
        <v>28</v>
      </c>
      <c r="D16" s="3">
        <v>2000</v>
      </c>
      <c r="E16" s="3">
        <v>2000</v>
      </c>
    </row>
    <row r="17" spans="1:5">
      <c r="A17" s="3">
        <v>15</v>
      </c>
      <c r="B17" s="5" t="s">
        <v>26</v>
      </c>
      <c r="C17" s="8" t="s">
        <v>28</v>
      </c>
      <c r="D17" s="3">
        <v>200</v>
      </c>
      <c r="E17" s="3">
        <v>200</v>
      </c>
    </row>
    <row r="18" spans="1:5">
      <c r="A18" s="3">
        <v>16</v>
      </c>
      <c r="B18" s="5" t="s">
        <v>92</v>
      </c>
      <c r="C18" s="8" t="s">
        <v>28</v>
      </c>
      <c r="D18" s="3">
        <v>1000</v>
      </c>
      <c r="E18" s="3">
        <v>1000</v>
      </c>
    </row>
    <row r="19" spans="1:5">
      <c r="A19" s="3">
        <v>17</v>
      </c>
      <c r="B19" s="5" t="s">
        <v>94</v>
      </c>
      <c r="C19" s="8" t="s">
        <v>28</v>
      </c>
      <c r="D19" s="3">
        <v>500</v>
      </c>
      <c r="E19" s="3">
        <v>500</v>
      </c>
    </row>
    <row r="20" spans="1:5">
      <c r="A20" s="3">
        <v>18</v>
      </c>
      <c r="B20" s="5" t="s">
        <v>95</v>
      </c>
      <c r="C20" s="8" t="s">
        <v>27</v>
      </c>
      <c r="D20" s="3">
        <v>300</v>
      </c>
      <c r="E20" s="3">
        <v>300</v>
      </c>
    </row>
    <row r="21" spans="1:5">
      <c r="A21" s="3">
        <v>19</v>
      </c>
      <c r="B21" s="5" t="s">
        <v>97</v>
      </c>
      <c r="C21" s="8" t="s">
        <v>29</v>
      </c>
      <c r="D21" s="3">
        <v>200</v>
      </c>
      <c r="E21" s="3">
        <v>200</v>
      </c>
    </row>
    <row r="22" spans="1:5">
      <c r="A22" s="3">
        <v>20</v>
      </c>
      <c r="B22" s="5" t="s">
        <v>99</v>
      </c>
      <c r="C22" s="8" t="s">
        <v>30</v>
      </c>
      <c r="D22" s="3">
        <v>200</v>
      </c>
      <c r="E22" s="3">
        <v>200</v>
      </c>
    </row>
    <row r="23" spans="1:5">
      <c r="A23" s="3">
        <v>21</v>
      </c>
      <c r="B23" s="5" t="s">
        <v>101</v>
      </c>
      <c r="C23" s="8" t="s">
        <v>31</v>
      </c>
      <c r="D23" s="3">
        <v>200</v>
      </c>
      <c r="E23" s="3">
        <v>200</v>
      </c>
    </row>
    <row r="24" spans="1:5">
      <c r="A24" s="3">
        <v>22</v>
      </c>
      <c r="B24" s="5" t="s">
        <v>102</v>
      </c>
      <c r="C24" s="8" t="s">
        <v>32</v>
      </c>
      <c r="D24" s="3">
        <v>200</v>
      </c>
      <c r="E24" s="3">
        <v>200</v>
      </c>
    </row>
    <row r="25" spans="1:5">
      <c r="A25" s="3">
        <v>23</v>
      </c>
      <c r="B25" s="5" t="s">
        <v>105</v>
      </c>
      <c r="C25" s="8" t="s">
        <v>33</v>
      </c>
      <c r="D25" s="3">
        <v>2000</v>
      </c>
      <c r="E25" s="3">
        <v>2000</v>
      </c>
    </row>
    <row r="26" spans="1:5">
      <c r="A26" s="3">
        <v>24</v>
      </c>
      <c r="B26" s="5" t="s">
        <v>108</v>
      </c>
      <c r="C26" s="8" t="s">
        <v>34</v>
      </c>
      <c r="D26" s="3">
        <v>280000</v>
      </c>
      <c r="E26" s="3">
        <v>280000</v>
      </c>
    </row>
    <row r="27" spans="1:5">
      <c r="A27" s="3">
        <v>25</v>
      </c>
      <c r="B27" s="5" t="s">
        <v>187</v>
      </c>
      <c r="C27" s="8" t="s">
        <v>34</v>
      </c>
      <c r="D27" s="3">
        <v>73000</v>
      </c>
      <c r="E27" s="3">
        <v>73000</v>
      </c>
    </row>
    <row r="28" spans="1:5">
      <c r="A28" s="3">
        <v>26</v>
      </c>
      <c r="B28" s="5" t="s">
        <v>110</v>
      </c>
      <c r="C28" s="8" t="s">
        <v>35</v>
      </c>
      <c r="D28" s="3">
        <v>1000</v>
      </c>
      <c r="E28" s="3">
        <v>1000</v>
      </c>
    </row>
    <row r="29" spans="1:5">
      <c r="A29" s="3">
        <v>27</v>
      </c>
      <c r="B29" s="5" t="s">
        <v>113</v>
      </c>
      <c r="C29" s="8" t="s">
        <v>31</v>
      </c>
      <c r="D29" s="3">
        <v>20</v>
      </c>
      <c r="E29" s="3">
        <v>20</v>
      </c>
    </row>
    <row r="30" spans="1:5">
      <c r="A30" s="3">
        <v>28</v>
      </c>
      <c r="B30" s="5" t="s">
        <v>116</v>
      </c>
      <c r="C30" s="8" t="s">
        <v>30</v>
      </c>
      <c r="D30" s="3">
        <v>10</v>
      </c>
      <c r="E30" s="3">
        <v>10</v>
      </c>
    </row>
    <row r="31" spans="1:5">
      <c r="A31" s="3">
        <v>29</v>
      </c>
      <c r="B31" s="5" t="s">
        <v>119</v>
      </c>
      <c r="C31" s="8" t="s">
        <v>29</v>
      </c>
      <c r="D31" s="3">
        <v>50</v>
      </c>
      <c r="E31" s="3">
        <v>50</v>
      </c>
    </row>
    <row r="32" spans="1:5">
      <c r="A32" s="3">
        <v>30</v>
      </c>
      <c r="B32" s="5" t="s">
        <v>121</v>
      </c>
      <c r="C32" s="8" t="s">
        <v>28</v>
      </c>
      <c r="D32" s="3">
        <v>100</v>
      </c>
      <c r="E32" s="3">
        <v>100</v>
      </c>
    </row>
    <row r="33" spans="1:5">
      <c r="A33" s="3">
        <v>31</v>
      </c>
      <c r="B33" s="5" t="s">
        <v>123</v>
      </c>
      <c r="C33" s="8" t="s">
        <v>28</v>
      </c>
      <c r="D33" s="3">
        <v>300</v>
      </c>
      <c r="E33" s="3">
        <v>300</v>
      </c>
    </row>
    <row r="34" spans="1:5">
      <c r="A34" s="3">
        <v>32</v>
      </c>
      <c r="B34" s="5" t="s">
        <v>190</v>
      </c>
      <c r="C34" s="8" t="s">
        <v>28</v>
      </c>
      <c r="D34" s="3">
        <v>16000</v>
      </c>
      <c r="E34" s="3">
        <v>16000</v>
      </c>
    </row>
    <row r="35" spans="1:5">
      <c r="A35" s="3">
        <v>33</v>
      </c>
      <c r="B35" s="5" t="s">
        <v>191</v>
      </c>
      <c r="C35" s="8" t="s">
        <v>28</v>
      </c>
      <c r="D35" s="3">
        <v>73000</v>
      </c>
      <c r="E35" s="3">
        <v>73000</v>
      </c>
    </row>
    <row r="36" spans="1:5">
      <c r="A36" s="3">
        <v>34</v>
      </c>
      <c r="B36" s="5" t="s">
        <v>126</v>
      </c>
      <c r="C36" s="8" t="s">
        <v>35</v>
      </c>
      <c r="D36" s="3">
        <v>500</v>
      </c>
      <c r="E36" s="3">
        <v>500</v>
      </c>
    </row>
    <row r="37" spans="1:5">
      <c r="A37" s="3">
        <v>35</v>
      </c>
      <c r="B37" s="5" t="s">
        <v>129</v>
      </c>
      <c r="C37" s="8" t="s">
        <v>31</v>
      </c>
      <c r="D37" s="3">
        <v>1000</v>
      </c>
      <c r="E37" s="3">
        <v>1000</v>
      </c>
    </row>
    <row r="38" spans="1:5">
      <c r="A38" s="3">
        <v>36</v>
      </c>
      <c r="B38" s="5" t="s">
        <v>132</v>
      </c>
      <c r="C38" s="8" t="s">
        <v>30</v>
      </c>
      <c r="D38" s="3">
        <v>300</v>
      </c>
      <c r="E38" s="3">
        <v>300</v>
      </c>
    </row>
    <row r="39" spans="1:5">
      <c r="A39" s="3">
        <v>37</v>
      </c>
      <c r="B39" s="5" t="s">
        <v>135</v>
      </c>
      <c r="C39" s="8" t="s">
        <v>29</v>
      </c>
      <c r="D39" s="3">
        <v>200</v>
      </c>
      <c r="E39" s="3">
        <v>200</v>
      </c>
    </row>
    <row r="40" spans="1:5">
      <c r="A40" s="3">
        <v>38</v>
      </c>
      <c r="B40" s="5" t="s">
        <v>138</v>
      </c>
      <c r="C40" s="8" t="s">
        <v>28</v>
      </c>
      <c r="D40" s="3">
        <v>200</v>
      </c>
      <c r="E40" s="3">
        <v>200</v>
      </c>
    </row>
    <row r="41" spans="1:5">
      <c r="A41" s="3">
        <v>39</v>
      </c>
      <c r="B41" s="5" t="s">
        <v>140</v>
      </c>
      <c r="C41" s="8" t="s">
        <v>29</v>
      </c>
      <c r="D41" s="3">
        <v>200</v>
      </c>
      <c r="E41" s="3">
        <v>200</v>
      </c>
    </row>
    <row r="42" spans="1:5">
      <c r="A42" s="3">
        <v>40</v>
      </c>
      <c r="B42" s="5" t="s">
        <v>143</v>
      </c>
      <c r="C42" s="8" t="s">
        <v>28</v>
      </c>
      <c r="D42" s="3">
        <v>200</v>
      </c>
      <c r="E42" s="3">
        <v>200</v>
      </c>
    </row>
    <row r="43" spans="1:5">
      <c r="A43" s="3">
        <v>41</v>
      </c>
      <c r="B43" s="5"/>
      <c r="C43" s="3"/>
      <c r="D43" s="3"/>
      <c r="E43" s="3"/>
    </row>
    <row r="44" spans="1:5">
      <c r="A44" s="3">
        <v>42</v>
      </c>
      <c r="B44" s="5"/>
      <c r="C44" s="3"/>
      <c r="D44" s="3"/>
      <c r="E44" s="3"/>
    </row>
    <row r="45" spans="1:5">
      <c r="A45" s="3">
        <v>43</v>
      </c>
      <c r="B45" s="5"/>
      <c r="C45" s="3"/>
      <c r="D45" s="3"/>
      <c r="E45" s="3"/>
    </row>
    <row r="46" spans="1:5">
      <c r="A46" s="3">
        <v>44</v>
      </c>
      <c r="B46" s="5"/>
      <c r="C46" s="3"/>
      <c r="D46" s="3"/>
      <c r="E46" s="3"/>
    </row>
    <row r="47" spans="1:5">
      <c r="A47" s="3">
        <v>45</v>
      </c>
      <c r="B47" s="5"/>
      <c r="C47" s="3"/>
      <c r="D47" s="3"/>
      <c r="E47" s="3"/>
    </row>
    <row r="48" spans="1:5">
      <c r="A48" s="3">
        <v>46</v>
      </c>
      <c r="B48" s="5"/>
      <c r="C48" s="3"/>
      <c r="D48" s="3"/>
      <c r="E48" s="3"/>
    </row>
    <row r="49" spans="1:5">
      <c r="A49" s="3">
        <v>47</v>
      </c>
      <c r="B49" s="5"/>
      <c r="C49" s="3"/>
      <c r="D49" s="3"/>
      <c r="E49" s="3"/>
    </row>
    <row r="50" spans="1:5">
      <c r="A50" s="3">
        <v>48</v>
      </c>
      <c r="B50" s="5"/>
      <c r="C50" s="3"/>
      <c r="D50" s="3"/>
      <c r="E50" s="3"/>
    </row>
    <row r="51" spans="1:5">
      <c r="A51" s="3">
        <v>49</v>
      </c>
      <c r="B51" s="5"/>
      <c r="C51" s="3"/>
      <c r="D51" s="3"/>
      <c r="E51" s="3"/>
    </row>
    <row r="52" spans="1:5">
      <c r="A52" s="3">
        <v>50</v>
      </c>
      <c r="B52" s="5"/>
      <c r="C52" s="3"/>
      <c r="D52" s="3"/>
      <c r="E52" s="3"/>
    </row>
    <row r="53" spans="1:5">
      <c r="E53" s="1">
        <f>SUM(E3:E52)</f>
        <v>464650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C49" workbookViewId="0">
      <selection activeCell="G111" sqref="G111"/>
    </sheetView>
  </sheetViews>
  <sheetFormatPr defaultRowHeight="13.5"/>
  <cols>
    <col min="3" max="4" width="13.375" customWidth="1"/>
    <col min="5" max="5" width="9" customWidth="1"/>
    <col min="11" max="11" width="3.875" customWidth="1"/>
    <col min="18" max="18" width="9" customWidth="1"/>
  </cols>
  <sheetData>
    <row r="1" spans="1:16" ht="54.75" customHeight="1">
      <c r="B1" s="46" t="s">
        <v>80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6" ht="18.75">
      <c r="B2" s="47" t="s">
        <v>81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6" ht="14.25">
      <c r="B3" s="48" t="s">
        <v>36</v>
      </c>
      <c r="C3" s="48"/>
      <c r="D3" s="48"/>
      <c r="E3" s="49" t="s">
        <v>145</v>
      </c>
      <c r="F3" s="49"/>
      <c r="G3" s="49"/>
      <c r="H3" s="49"/>
      <c r="I3" s="49"/>
      <c r="J3" s="49"/>
      <c r="K3" s="49"/>
      <c r="L3" s="50" t="s">
        <v>146</v>
      </c>
      <c r="M3" s="50"/>
      <c r="N3" s="50"/>
      <c r="O3" s="50"/>
    </row>
    <row r="4" spans="1:16" ht="28.5">
      <c r="B4" s="10" t="s">
        <v>37</v>
      </c>
      <c r="C4" s="21" t="s">
        <v>38</v>
      </c>
      <c r="D4" s="21" t="s">
        <v>39</v>
      </c>
      <c r="E4" s="21" t="s">
        <v>40</v>
      </c>
      <c r="F4" s="51" t="s">
        <v>41</v>
      </c>
      <c r="G4" s="52"/>
      <c r="H4" s="12" t="s">
        <v>48</v>
      </c>
      <c r="I4" s="53" t="s">
        <v>49</v>
      </c>
      <c r="J4" s="51"/>
      <c r="K4" s="52"/>
      <c r="L4" s="51" t="s">
        <v>42</v>
      </c>
      <c r="M4" s="52"/>
      <c r="N4" s="21" t="s">
        <v>50</v>
      </c>
      <c r="O4" s="21" t="s">
        <v>43</v>
      </c>
    </row>
    <row r="5" spans="1:16" ht="170.25" customHeight="1">
      <c r="B5" s="15" t="s">
        <v>74</v>
      </c>
      <c r="C5" s="16" t="s">
        <v>75</v>
      </c>
      <c r="D5" s="16" t="s">
        <v>76</v>
      </c>
      <c r="E5" s="16" t="s">
        <v>82</v>
      </c>
      <c r="F5" s="39" t="s">
        <v>83</v>
      </c>
      <c r="G5" s="40"/>
      <c r="H5" s="16" t="s">
        <v>77</v>
      </c>
      <c r="I5" s="41" t="s">
        <v>73</v>
      </c>
      <c r="J5" s="42"/>
      <c r="K5" s="43"/>
      <c r="L5" s="39" t="s">
        <v>78</v>
      </c>
      <c r="M5" s="40"/>
      <c r="N5" s="17" t="s">
        <v>84</v>
      </c>
      <c r="O5" s="16" t="s">
        <v>79</v>
      </c>
    </row>
    <row r="6" spans="1:16">
      <c r="A6">
        <v>1</v>
      </c>
      <c r="B6" s="14">
        <v>0</v>
      </c>
      <c r="C6" s="18" t="s">
        <v>51</v>
      </c>
      <c r="D6" s="18" t="s">
        <v>44</v>
      </c>
      <c r="E6" s="18" t="s">
        <v>27</v>
      </c>
      <c r="F6" s="44">
        <v>6</v>
      </c>
      <c r="G6" s="45"/>
      <c r="H6" s="20">
        <f>H7+H31+H37+H42+I6</f>
        <v>485855</v>
      </c>
      <c r="I6" s="44">
        <v>300</v>
      </c>
      <c r="J6" s="44"/>
      <c r="K6" s="45"/>
      <c r="L6" s="44">
        <f>L7+L31+L37+L42+100</f>
        <v>464650</v>
      </c>
      <c r="M6" s="45"/>
      <c r="N6" s="13">
        <f>L6-L20-L29</f>
        <v>22650</v>
      </c>
      <c r="O6" s="18" t="s">
        <v>72</v>
      </c>
      <c r="P6" t="s">
        <v>200</v>
      </c>
    </row>
    <row r="7" spans="1:16">
      <c r="A7">
        <v>2</v>
      </c>
      <c r="B7" s="22">
        <v>1</v>
      </c>
      <c r="C7" s="23" t="s">
        <v>52</v>
      </c>
      <c r="D7" s="23" t="s">
        <v>51</v>
      </c>
      <c r="E7" s="23" t="s">
        <v>27</v>
      </c>
      <c r="F7" s="54">
        <v>5</v>
      </c>
      <c r="G7" s="55"/>
      <c r="H7" s="23">
        <f>H8+H11+H17+H19+H22+H24+H27+I7</f>
        <v>451480</v>
      </c>
      <c r="I7" s="54">
        <v>350</v>
      </c>
      <c r="J7" s="54"/>
      <c r="K7" s="55"/>
      <c r="L7" s="54">
        <f>L8+L11+L17+L19+L22+L24+L27+200</f>
        <v>449130</v>
      </c>
      <c r="M7" s="55"/>
      <c r="N7" s="23">
        <f>L7-L20-L29</f>
        <v>7130</v>
      </c>
      <c r="O7" s="23" t="s">
        <v>70</v>
      </c>
      <c r="P7" t="s">
        <v>210</v>
      </c>
    </row>
    <row r="8" spans="1:16">
      <c r="A8">
        <v>3</v>
      </c>
      <c r="B8" s="22">
        <v>2</v>
      </c>
      <c r="C8" s="23" t="s">
        <v>53</v>
      </c>
      <c r="D8" s="23" t="s">
        <v>52</v>
      </c>
      <c r="E8" s="23" t="s">
        <v>31</v>
      </c>
      <c r="F8" s="54">
        <v>3</v>
      </c>
      <c r="G8" s="55"/>
      <c r="H8" s="23">
        <v>1550</v>
      </c>
      <c r="I8" s="54">
        <v>50</v>
      </c>
      <c r="J8" s="54"/>
      <c r="K8" s="55"/>
      <c r="L8" s="54">
        <v>1550</v>
      </c>
      <c r="M8" s="55"/>
      <c r="N8" s="23">
        <v>50</v>
      </c>
      <c r="O8" s="23" t="s">
        <v>166</v>
      </c>
      <c r="P8" t="s">
        <v>185</v>
      </c>
    </row>
    <row r="9" spans="1:16">
      <c r="A9">
        <v>4</v>
      </c>
      <c r="B9" s="22">
        <v>3</v>
      </c>
      <c r="C9" s="23" t="s">
        <v>177</v>
      </c>
      <c r="D9" s="23" t="s">
        <v>53</v>
      </c>
      <c r="E9" s="23" t="s">
        <v>28</v>
      </c>
      <c r="F9" s="54">
        <v>4</v>
      </c>
      <c r="G9" s="55"/>
      <c r="H9" s="23">
        <v>1500</v>
      </c>
      <c r="I9" s="54">
        <v>1000</v>
      </c>
      <c r="J9" s="54"/>
      <c r="K9" s="55"/>
      <c r="L9" s="54">
        <v>1500</v>
      </c>
      <c r="M9" s="55"/>
      <c r="N9" s="23">
        <v>1500</v>
      </c>
      <c r="O9" s="23" t="s">
        <v>162</v>
      </c>
    </row>
    <row r="10" spans="1:16">
      <c r="A10">
        <v>5</v>
      </c>
      <c r="B10" s="22">
        <v>4</v>
      </c>
      <c r="C10" s="23" t="s">
        <v>176</v>
      </c>
      <c r="D10" s="23" t="s">
        <v>177</v>
      </c>
      <c r="E10" s="23" t="s">
        <v>28</v>
      </c>
      <c r="F10" s="54">
        <v>3</v>
      </c>
      <c r="G10" s="55"/>
      <c r="H10" s="23">
        <v>500</v>
      </c>
      <c r="I10" s="54">
        <v>500</v>
      </c>
      <c r="J10" s="54"/>
      <c r="K10" s="55"/>
      <c r="L10" s="54">
        <v>500</v>
      </c>
      <c r="M10" s="55"/>
      <c r="N10" s="23">
        <v>500</v>
      </c>
      <c r="O10" s="23" t="s">
        <v>164</v>
      </c>
    </row>
    <row r="11" spans="1:16">
      <c r="A11">
        <v>6</v>
      </c>
      <c r="B11" s="22">
        <v>2</v>
      </c>
      <c r="C11" s="23" t="s">
        <v>54</v>
      </c>
      <c r="D11" s="23" t="s">
        <v>51</v>
      </c>
      <c r="E11" s="23" t="s">
        <v>67</v>
      </c>
      <c r="F11" s="54">
        <v>3</v>
      </c>
      <c r="G11" s="55"/>
      <c r="H11" s="23">
        <v>1700</v>
      </c>
      <c r="I11" s="54">
        <v>600</v>
      </c>
      <c r="J11" s="54"/>
      <c r="K11" s="55"/>
      <c r="L11" s="54">
        <v>1400</v>
      </c>
      <c r="M11" s="55"/>
      <c r="N11" s="23">
        <v>300</v>
      </c>
      <c r="O11" s="23" t="s">
        <v>85</v>
      </c>
      <c r="P11" t="s">
        <v>186</v>
      </c>
    </row>
    <row r="12" spans="1:16">
      <c r="A12">
        <v>7</v>
      </c>
      <c r="B12" s="22">
        <v>3</v>
      </c>
      <c r="C12" s="23" t="s">
        <v>173</v>
      </c>
      <c r="D12" s="23" t="s">
        <v>54</v>
      </c>
      <c r="E12" s="23" t="s">
        <v>28</v>
      </c>
      <c r="F12" s="54">
        <v>3</v>
      </c>
      <c r="G12" s="55"/>
      <c r="H12" s="23">
        <v>500</v>
      </c>
      <c r="I12" s="54">
        <v>300</v>
      </c>
      <c r="J12" s="54"/>
      <c r="K12" s="55"/>
      <c r="L12" s="54">
        <v>500</v>
      </c>
      <c r="M12" s="55"/>
      <c r="N12" s="23">
        <v>300</v>
      </c>
      <c r="O12" s="23" t="s">
        <v>85</v>
      </c>
    </row>
    <row r="13" spans="1:16">
      <c r="A13">
        <v>8</v>
      </c>
      <c r="B13" s="22">
        <v>4</v>
      </c>
      <c r="C13" s="23" t="s">
        <v>174</v>
      </c>
      <c r="D13" s="23" t="s">
        <v>173</v>
      </c>
      <c r="E13" s="23" t="s">
        <v>29</v>
      </c>
      <c r="F13" s="54">
        <v>3</v>
      </c>
      <c r="G13" s="55"/>
      <c r="H13" s="23">
        <v>200</v>
      </c>
      <c r="I13" s="54">
        <v>200</v>
      </c>
      <c r="J13" s="54"/>
      <c r="K13" s="55"/>
      <c r="L13" s="54">
        <v>200</v>
      </c>
      <c r="M13" s="55"/>
      <c r="N13" s="23">
        <v>200</v>
      </c>
      <c r="O13" s="23" t="s">
        <v>70</v>
      </c>
    </row>
    <row r="14" spans="1:16">
      <c r="A14">
        <v>9</v>
      </c>
      <c r="B14" s="22">
        <v>3</v>
      </c>
      <c r="C14" s="23" t="s">
        <v>172</v>
      </c>
      <c r="D14" s="23" t="s">
        <v>54</v>
      </c>
      <c r="E14" s="23" t="s">
        <v>30</v>
      </c>
      <c r="F14" s="54">
        <v>3</v>
      </c>
      <c r="G14" s="55"/>
      <c r="H14" s="23">
        <v>600</v>
      </c>
      <c r="I14" s="54">
        <v>200</v>
      </c>
      <c r="J14" s="54"/>
      <c r="K14" s="55"/>
      <c r="L14" s="54">
        <v>600</v>
      </c>
      <c r="M14" s="55"/>
      <c r="N14" s="23">
        <v>200</v>
      </c>
      <c r="O14" s="23" t="s">
        <v>70</v>
      </c>
      <c r="P14" t="s">
        <v>184</v>
      </c>
    </row>
    <row r="15" spans="1:16">
      <c r="A15">
        <v>10</v>
      </c>
      <c r="B15" s="22">
        <v>4</v>
      </c>
      <c r="C15" s="23" t="s">
        <v>175</v>
      </c>
      <c r="D15" s="23" t="s">
        <v>172</v>
      </c>
      <c r="E15" s="23" t="s">
        <v>31</v>
      </c>
      <c r="F15" s="54">
        <v>3</v>
      </c>
      <c r="G15" s="55"/>
      <c r="H15" s="23">
        <v>200</v>
      </c>
      <c r="I15" s="54">
        <v>200</v>
      </c>
      <c r="J15" s="54"/>
      <c r="K15" s="55"/>
      <c r="L15" s="54">
        <v>200</v>
      </c>
      <c r="M15" s="55"/>
      <c r="N15" s="23">
        <v>200</v>
      </c>
      <c r="O15" s="23" t="s">
        <v>70</v>
      </c>
    </row>
    <row r="16" spans="1:16">
      <c r="A16">
        <v>11</v>
      </c>
      <c r="B16" s="22">
        <v>4</v>
      </c>
      <c r="C16" s="23" t="s">
        <v>171</v>
      </c>
      <c r="D16" s="23" t="s">
        <v>172</v>
      </c>
      <c r="E16" s="23" t="s">
        <v>67</v>
      </c>
      <c r="F16" s="54">
        <v>3</v>
      </c>
      <c r="G16" s="55"/>
      <c r="H16" s="23">
        <v>200</v>
      </c>
      <c r="I16" s="54">
        <v>200</v>
      </c>
      <c r="J16" s="54"/>
      <c r="K16" s="55"/>
      <c r="L16" s="54">
        <v>200</v>
      </c>
      <c r="M16" s="55"/>
      <c r="N16" s="23">
        <v>200</v>
      </c>
      <c r="O16" s="23" t="s">
        <v>70</v>
      </c>
    </row>
    <row r="17" spans="1:16">
      <c r="A17">
        <v>12</v>
      </c>
      <c r="B17" s="22">
        <v>2</v>
      </c>
      <c r="C17" s="23" t="s">
        <v>55</v>
      </c>
      <c r="D17" s="23" t="s">
        <v>52</v>
      </c>
      <c r="E17" s="23" t="s">
        <v>69</v>
      </c>
      <c r="F17" s="54">
        <v>3</v>
      </c>
      <c r="G17" s="55"/>
      <c r="H17" s="23">
        <v>2200</v>
      </c>
      <c r="I17" s="54">
        <v>200</v>
      </c>
      <c r="J17" s="54"/>
      <c r="K17" s="55"/>
      <c r="L17" s="54">
        <v>2100</v>
      </c>
      <c r="M17" s="55"/>
      <c r="N17" s="23">
        <v>100</v>
      </c>
      <c r="O17" s="23" t="s">
        <v>72</v>
      </c>
    </row>
    <row r="18" spans="1:16">
      <c r="A18">
        <v>13</v>
      </c>
      <c r="B18" s="22">
        <v>3</v>
      </c>
      <c r="C18" s="23" t="s">
        <v>170</v>
      </c>
      <c r="D18" s="23" t="s">
        <v>55</v>
      </c>
      <c r="E18" s="23" t="s">
        <v>69</v>
      </c>
      <c r="F18" s="54">
        <v>4</v>
      </c>
      <c r="G18" s="55"/>
      <c r="H18" s="23">
        <v>2000</v>
      </c>
      <c r="I18" s="54">
        <v>2000</v>
      </c>
      <c r="J18" s="54"/>
      <c r="K18" s="55"/>
      <c r="L18" s="54">
        <v>2000</v>
      </c>
      <c r="M18" s="55"/>
      <c r="N18" s="23">
        <v>2000</v>
      </c>
      <c r="O18" s="23" t="s">
        <v>161</v>
      </c>
    </row>
    <row r="19" spans="1:16">
      <c r="A19">
        <v>14</v>
      </c>
      <c r="B19" s="22">
        <v>2</v>
      </c>
      <c r="C19" s="23" t="s">
        <v>56</v>
      </c>
      <c r="D19" s="23" t="s">
        <v>52</v>
      </c>
      <c r="E19" s="23" t="s">
        <v>66</v>
      </c>
      <c r="F19" s="54">
        <v>4</v>
      </c>
      <c r="G19" s="55"/>
      <c r="H19" s="23">
        <v>354000</v>
      </c>
      <c r="I19" s="54">
        <v>1000</v>
      </c>
      <c r="J19" s="54"/>
      <c r="K19" s="55"/>
      <c r="L19" s="54">
        <v>353200</v>
      </c>
      <c r="M19" s="55"/>
      <c r="N19" s="23">
        <v>200</v>
      </c>
      <c r="O19" s="23" t="s">
        <v>70</v>
      </c>
      <c r="P19" t="s">
        <v>206</v>
      </c>
    </row>
    <row r="20" spans="1:16" ht="24">
      <c r="A20">
        <v>15</v>
      </c>
      <c r="B20" s="22">
        <v>3</v>
      </c>
      <c r="C20" s="23" t="s">
        <v>160</v>
      </c>
      <c r="D20" s="23" t="s">
        <v>56</v>
      </c>
      <c r="E20" s="23" t="s">
        <v>66</v>
      </c>
      <c r="F20" s="54">
        <v>8</v>
      </c>
      <c r="G20" s="55"/>
      <c r="H20" s="23">
        <v>353000</v>
      </c>
      <c r="I20" s="54">
        <v>280000</v>
      </c>
      <c r="J20" s="54"/>
      <c r="K20" s="55"/>
      <c r="L20" s="54">
        <f>280000+73000</f>
        <v>353000</v>
      </c>
      <c r="M20" s="55"/>
      <c r="N20" s="23">
        <v>353000</v>
      </c>
      <c r="O20" s="23" t="s">
        <v>169</v>
      </c>
    </row>
    <row r="21" spans="1:16" ht="24">
      <c r="A21">
        <v>16</v>
      </c>
      <c r="B21" s="22">
        <v>4</v>
      </c>
      <c r="C21" s="23" t="s">
        <v>197</v>
      </c>
      <c r="D21" s="23" t="s">
        <v>160</v>
      </c>
      <c r="E21" s="23" t="s">
        <v>66</v>
      </c>
      <c r="F21" s="54">
        <v>7</v>
      </c>
      <c r="G21" s="55"/>
      <c r="H21" s="23">
        <v>73000</v>
      </c>
      <c r="I21" s="54">
        <v>73000</v>
      </c>
      <c r="J21" s="54"/>
      <c r="K21" s="55"/>
      <c r="L21" s="54">
        <v>73000</v>
      </c>
      <c r="M21" s="55"/>
      <c r="N21" s="23">
        <v>73000</v>
      </c>
      <c r="O21" s="23" t="s">
        <v>194</v>
      </c>
    </row>
    <row r="22" spans="1:16">
      <c r="A22">
        <v>17</v>
      </c>
      <c r="B22" s="22">
        <v>2</v>
      </c>
      <c r="C22" s="23" t="s">
        <v>57</v>
      </c>
      <c r="D22" s="23" t="s">
        <v>52</v>
      </c>
      <c r="E22" s="23" t="s">
        <v>68</v>
      </c>
      <c r="F22" s="54">
        <v>4</v>
      </c>
      <c r="G22" s="55"/>
      <c r="H22" s="23">
        <v>2200</v>
      </c>
      <c r="I22" s="54">
        <v>1200</v>
      </c>
      <c r="J22" s="54"/>
      <c r="K22" s="55"/>
      <c r="L22" s="54">
        <v>1200</v>
      </c>
      <c r="M22" s="55"/>
      <c r="N22" s="23">
        <v>200</v>
      </c>
      <c r="O22" s="23" t="s">
        <v>70</v>
      </c>
      <c r="P22" t="s">
        <v>183</v>
      </c>
    </row>
    <row r="23" spans="1:16">
      <c r="A23">
        <v>18</v>
      </c>
      <c r="B23" s="22">
        <v>3</v>
      </c>
      <c r="C23" s="23" t="s">
        <v>159</v>
      </c>
      <c r="D23" s="23" t="s">
        <v>57</v>
      </c>
      <c r="E23" s="23" t="s">
        <v>35</v>
      </c>
      <c r="F23" s="54">
        <v>4</v>
      </c>
      <c r="G23" s="55"/>
      <c r="H23" s="23">
        <v>1000</v>
      </c>
      <c r="I23" s="54">
        <v>1000</v>
      </c>
      <c r="J23" s="54"/>
      <c r="K23" s="55"/>
      <c r="L23" s="54">
        <v>1000</v>
      </c>
      <c r="M23" s="55"/>
      <c r="N23" s="23">
        <v>1000</v>
      </c>
      <c r="O23" s="23" t="s">
        <v>45</v>
      </c>
    </row>
    <row r="24" spans="1:16">
      <c r="A24">
        <v>19</v>
      </c>
      <c r="B24" s="22">
        <v>2</v>
      </c>
      <c r="C24" s="23" t="s">
        <v>156</v>
      </c>
      <c r="D24" s="23" t="s">
        <v>52</v>
      </c>
      <c r="E24" s="23" t="s">
        <v>31</v>
      </c>
      <c r="F24" s="54">
        <v>1</v>
      </c>
      <c r="G24" s="55"/>
      <c r="H24" s="23">
        <v>80</v>
      </c>
      <c r="I24" s="54">
        <v>20</v>
      </c>
      <c r="J24" s="54"/>
      <c r="K24" s="55"/>
      <c r="L24" s="54">
        <v>80</v>
      </c>
      <c r="M24" s="55"/>
      <c r="N24" s="23">
        <v>20</v>
      </c>
      <c r="O24" s="23" t="s">
        <v>168</v>
      </c>
    </row>
    <row r="25" spans="1:16">
      <c r="A25">
        <v>20</v>
      </c>
      <c r="B25" s="22">
        <v>3</v>
      </c>
      <c r="C25" s="23" t="s">
        <v>157</v>
      </c>
      <c r="D25" s="23" t="s">
        <v>156</v>
      </c>
      <c r="E25" s="23" t="s">
        <v>30</v>
      </c>
      <c r="F25" s="54">
        <v>1</v>
      </c>
      <c r="G25" s="55"/>
      <c r="H25" s="23">
        <v>10</v>
      </c>
      <c r="I25" s="54">
        <v>10</v>
      </c>
      <c r="J25" s="54"/>
      <c r="K25" s="55"/>
      <c r="L25" s="54">
        <v>10</v>
      </c>
      <c r="M25" s="55"/>
      <c r="N25" s="23">
        <v>10</v>
      </c>
      <c r="O25" s="24" t="s">
        <v>167</v>
      </c>
    </row>
    <row r="26" spans="1:16">
      <c r="A26">
        <v>21</v>
      </c>
      <c r="B26" s="22">
        <v>3</v>
      </c>
      <c r="C26" s="23" t="s">
        <v>158</v>
      </c>
      <c r="D26" s="23" t="s">
        <v>156</v>
      </c>
      <c r="E26" s="23" t="s">
        <v>29</v>
      </c>
      <c r="F26" s="54">
        <v>1</v>
      </c>
      <c r="G26" s="55"/>
      <c r="H26" s="23">
        <v>50</v>
      </c>
      <c r="I26" s="54">
        <v>50</v>
      </c>
      <c r="J26" s="54"/>
      <c r="K26" s="55"/>
      <c r="L26" s="54">
        <v>50</v>
      </c>
      <c r="M26" s="55"/>
      <c r="N26" s="23">
        <v>50</v>
      </c>
      <c r="O26" s="23" t="s">
        <v>166</v>
      </c>
    </row>
    <row r="27" spans="1:16">
      <c r="A27">
        <v>22</v>
      </c>
      <c r="B27" s="22">
        <v>2</v>
      </c>
      <c r="C27" s="23" t="s">
        <v>154</v>
      </c>
      <c r="D27" s="23" t="s">
        <v>52</v>
      </c>
      <c r="E27" s="23" t="s">
        <v>28</v>
      </c>
      <c r="F27" s="54">
        <v>3</v>
      </c>
      <c r="G27" s="55"/>
      <c r="H27" s="23">
        <v>89400</v>
      </c>
      <c r="I27" s="54">
        <v>100</v>
      </c>
      <c r="J27" s="54"/>
      <c r="K27" s="55"/>
      <c r="L27" s="54">
        <v>89400</v>
      </c>
      <c r="M27" s="55"/>
      <c r="N27" s="23">
        <v>100</v>
      </c>
      <c r="O27" s="23" t="s">
        <v>72</v>
      </c>
      <c r="P27" t="s">
        <v>182</v>
      </c>
    </row>
    <row r="28" spans="1:16">
      <c r="A28">
        <v>23</v>
      </c>
      <c r="B28" s="22">
        <v>3</v>
      </c>
      <c r="C28" s="23" t="s">
        <v>155</v>
      </c>
      <c r="D28" s="23" t="s">
        <v>154</v>
      </c>
      <c r="E28" s="23" t="s">
        <v>28</v>
      </c>
      <c r="F28" s="54">
        <v>3</v>
      </c>
      <c r="G28" s="55"/>
      <c r="H28" s="23">
        <v>89300</v>
      </c>
      <c r="I28" s="54">
        <v>300</v>
      </c>
      <c r="J28" s="54"/>
      <c r="K28" s="55"/>
      <c r="L28" s="54">
        <v>89300</v>
      </c>
      <c r="M28" s="55"/>
      <c r="N28" s="23">
        <v>300</v>
      </c>
      <c r="O28" s="23" t="s">
        <v>85</v>
      </c>
    </row>
    <row r="29" spans="1:16" ht="24">
      <c r="A29">
        <v>24</v>
      </c>
      <c r="B29" s="22">
        <v>4</v>
      </c>
      <c r="C29" s="23" t="s">
        <v>199</v>
      </c>
      <c r="D29" s="23" t="s">
        <v>155</v>
      </c>
      <c r="E29" s="23" t="s">
        <v>28</v>
      </c>
      <c r="F29" s="54">
        <v>6</v>
      </c>
      <c r="G29" s="55"/>
      <c r="H29" s="23">
        <v>89000</v>
      </c>
      <c r="I29" s="54">
        <v>16000</v>
      </c>
      <c r="J29" s="54"/>
      <c r="K29" s="55"/>
      <c r="L29" s="54">
        <v>89000</v>
      </c>
      <c r="M29" s="55"/>
      <c r="N29" s="23">
        <v>16000</v>
      </c>
      <c r="O29" s="23" t="s">
        <v>195</v>
      </c>
    </row>
    <row r="30" spans="1:16" ht="24">
      <c r="A30">
        <v>25</v>
      </c>
      <c r="B30" s="22">
        <v>5</v>
      </c>
      <c r="C30" s="23" t="s">
        <v>196</v>
      </c>
      <c r="D30" s="23" t="s">
        <v>199</v>
      </c>
      <c r="E30" s="23" t="s">
        <v>28</v>
      </c>
      <c r="F30" s="54">
        <v>7</v>
      </c>
      <c r="G30" s="55"/>
      <c r="H30" s="23">
        <v>73000</v>
      </c>
      <c r="I30" s="54">
        <v>73000</v>
      </c>
      <c r="J30" s="54"/>
      <c r="K30" s="55"/>
      <c r="L30" s="54">
        <v>73000</v>
      </c>
      <c r="M30" s="55"/>
      <c r="N30" s="23">
        <v>73000</v>
      </c>
      <c r="O30" s="23" t="s">
        <v>194</v>
      </c>
    </row>
    <row r="31" spans="1:16">
      <c r="A31">
        <v>26</v>
      </c>
      <c r="B31" s="25">
        <v>1</v>
      </c>
      <c r="C31" s="26" t="s">
        <v>58</v>
      </c>
      <c r="D31" s="26" t="s">
        <v>51</v>
      </c>
      <c r="E31" s="26" t="s">
        <v>28</v>
      </c>
      <c r="F31" s="56">
        <v>5</v>
      </c>
      <c r="G31" s="57"/>
      <c r="H31" s="26">
        <f>H32+H34+H36+I31</f>
        <v>12740</v>
      </c>
      <c r="I31" s="56">
        <v>440</v>
      </c>
      <c r="J31" s="56"/>
      <c r="K31" s="57"/>
      <c r="L31" s="56">
        <v>5120</v>
      </c>
      <c r="M31" s="57"/>
      <c r="N31" s="26">
        <v>1120</v>
      </c>
      <c r="O31" s="26" t="s">
        <v>165</v>
      </c>
      <c r="P31" t="s">
        <v>205</v>
      </c>
    </row>
    <row r="32" spans="1:16">
      <c r="A32">
        <v>27</v>
      </c>
      <c r="B32" s="25">
        <v>2</v>
      </c>
      <c r="C32" s="26" t="s">
        <v>59</v>
      </c>
      <c r="D32" s="26" t="s">
        <v>58</v>
      </c>
      <c r="E32" s="26" t="s">
        <v>31</v>
      </c>
      <c r="F32" s="56">
        <v>4</v>
      </c>
      <c r="G32" s="57"/>
      <c r="H32" s="26">
        <v>3900</v>
      </c>
      <c r="I32" s="56">
        <v>3400</v>
      </c>
      <c r="J32" s="56"/>
      <c r="K32" s="57"/>
      <c r="L32" s="56">
        <v>700</v>
      </c>
      <c r="M32" s="57"/>
      <c r="N32" s="26">
        <v>700</v>
      </c>
      <c r="O32" s="26" t="s">
        <v>70</v>
      </c>
      <c r="P32" t="s">
        <v>204</v>
      </c>
    </row>
    <row r="33" spans="1:16">
      <c r="A33">
        <v>28</v>
      </c>
      <c r="B33" s="25">
        <v>3</v>
      </c>
      <c r="C33" s="26" t="s">
        <v>153</v>
      </c>
      <c r="D33" s="26" t="s">
        <v>59</v>
      </c>
      <c r="E33" s="26" t="s">
        <v>68</v>
      </c>
      <c r="F33" s="56">
        <v>3</v>
      </c>
      <c r="G33" s="57"/>
      <c r="H33" s="26">
        <v>500</v>
      </c>
      <c r="I33" s="56">
        <v>500</v>
      </c>
      <c r="J33" s="56"/>
      <c r="K33" s="57"/>
      <c r="L33" s="56">
        <v>500</v>
      </c>
      <c r="M33" s="57"/>
      <c r="N33" s="26">
        <v>500</v>
      </c>
      <c r="O33" s="26" t="s">
        <v>164</v>
      </c>
    </row>
    <row r="34" spans="1:16">
      <c r="A34">
        <v>29</v>
      </c>
      <c r="B34" s="25">
        <v>2</v>
      </c>
      <c r="C34" s="26" t="s">
        <v>60</v>
      </c>
      <c r="D34" s="26" t="s">
        <v>58</v>
      </c>
      <c r="E34" s="26" t="s">
        <v>30</v>
      </c>
      <c r="F34" s="56">
        <v>5</v>
      </c>
      <c r="G34" s="57"/>
      <c r="H34" s="26">
        <v>8100</v>
      </c>
      <c r="I34" s="56">
        <v>7100</v>
      </c>
      <c r="J34" s="56"/>
      <c r="K34" s="57"/>
      <c r="L34" s="56">
        <v>4000</v>
      </c>
      <c r="M34" s="57"/>
      <c r="N34" s="26">
        <v>4000</v>
      </c>
      <c r="O34" s="26" t="s">
        <v>163</v>
      </c>
      <c r="P34" t="s">
        <v>181</v>
      </c>
    </row>
    <row r="35" spans="1:16">
      <c r="A35">
        <v>30</v>
      </c>
      <c r="B35" s="25">
        <v>3</v>
      </c>
      <c r="C35" s="26" t="s">
        <v>152</v>
      </c>
      <c r="D35" s="26" t="s">
        <v>60</v>
      </c>
      <c r="E35" s="26" t="s">
        <v>31</v>
      </c>
      <c r="F35" s="56">
        <v>4</v>
      </c>
      <c r="G35" s="57"/>
      <c r="H35" s="26">
        <v>1000</v>
      </c>
      <c r="I35" s="56">
        <v>1000</v>
      </c>
      <c r="J35" s="56"/>
      <c r="K35" s="57"/>
      <c r="L35" s="56">
        <v>1000</v>
      </c>
      <c r="M35" s="57"/>
      <c r="N35" s="26">
        <v>1000</v>
      </c>
      <c r="O35" s="26" t="s">
        <v>162</v>
      </c>
    </row>
    <row r="36" spans="1:16">
      <c r="A36">
        <v>31</v>
      </c>
      <c r="B36" s="25">
        <v>2</v>
      </c>
      <c r="C36" s="26" t="s">
        <v>151</v>
      </c>
      <c r="D36" s="26" t="s">
        <v>58</v>
      </c>
      <c r="E36" s="26" t="s">
        <v>30</v>
      </c>
      <c r="F36" s="56">
        <v>3</v>
      </c>
      <c r="G36" s="57"/>
      <c r="H36" s="26">
        <v>300</v>
      </c>
      <c r="I36" s="56">
        <v>300</v>
      </c>
      <c r="J36" s="56"/>
      <c r="K36" s="57"/>
      <c r="L36" s="56">
        <v>300</v>
      </c>
      <c r="M36" s="57"/>
      <c r="N36" s="26">
        <v>300</v>
      </c>
      <c r="O36" s="26" t="s">
        <v>85</v>
      </c>
    </row>
    <row r="37" spans="1:16" ht="24">
      <c r="A37">
        <v>32</v>
      </c>
      <c r="B37" s="27">
        <v>1</v>
      </c>
      <c r="C37" s="28" t="s">
        <v>61</v>
      </c>
      <c r="D37" s="28" t="s">
        <v>51</v>
      </c>
      <c r="E37" s="28" t="s">
        <v>29</v>
      </c>
      <c r="F37" s="58">
        <v>5</v>
      </c>
      <c r="G37" s="59"/>
      <c r="H37" s="28">
        <v>20270</v>
      </c>
      <c r="I37" s="58">
        <v>370</v>
      </c>
      <c r="J37" s="58"/>
      <c r="K37" s="59"/>
      <c r="L37" s="58">
        <v>9600</v>
      </c>
      <c r="M37" s="59"/>
      <c r="N37" s="28">
        <v>600</v>
      </c>
      <c r="O37" s="28" t="s">
        <v>70</v>
      </c>
      <c r="P37" t="s">
        <v>180</v>
      </c>
    </row>
    <row r="38" spans="1:16" ht="24">
      <c r="A38">
        <v>33</v>
      </c>
      <c r="B38" s="27">
        <v>2</v>
      </c>
      <c r="C38" s="28" t="s">
        <v>62</v>
      </c>
      <c r="D38" s="28" t="s">
        <v>61</v>
      </c>
      <c r="E38" s="28" t="s">
        <v>29</v>
      </c>
      <c r="F38" s="58">
        <v>5</v>
      </c>
      <c r="G38" s="59"/>
      <c r="H38" s="28">
        <v>14000</v>
      </c>
      <c r="I38" s="58">
        <v>14000</v>
      </c>
      <c r="J38" s="58"/>
      <c r="K38" s="59"/>
      <c r="L38" s="58">
        <v>7000</v>
      </c>
      <c r="M38" s="59"/>
      <c r="N38" s="28">
        <v>7000</v>
      </c>
      <c r="O38" s="28" t="s">
        <v>71</v>
      </c>
      <c r="P38" t="s">
        <v>179</v>
      </c>
    </row>
    <row r="39" spans="1:16" ht="24">
      <c r="A39">
        <v>34</v>
      </c>
      <c r="B39" s="27">
        <v>2</v>
      </c>
      <c r="C39" s="28" t="s">
        <v>63</v>
      </c>
      <c r="D39" s="28" t="s">
        <v>61</v>
      </c>
      <c r="E39" s="28" t="s">
        <v>28</v>
      </c>
      <c r="F39" s="58">
        <v>5</v>
      </c>
      <c r="G39" s="59"/>
      <c r="H39" s="28">
        <v>5500</v>
      </c>
      <c r="I39" s="58">
        <v>5500</v>
      </c>
      <c r="J39" s="58"/>
      <c r="K39" s="59"/>
      <c r="L39" s="58">
        <v>2000</v>
      </c>
      <c r="M39" s="59"/>
      <c r="N39" s="28">
        <v>2000</v>
      </c>
      <c r="O39" s="28" t="s">
        <v>161</v>
      </c>
      <c r="P39" t="s">
        <v>179</v>
      </c>
    </row>
    <row r="40" spans="1:16" ht="24">
      <c r="A40">
        <v>35</v>
      </c>
      <c r="B40" s="27">
        <v>2</v>
      </c>
      <c r="C40" s="28" t="s">
        <v>149</v>
      </c>
      <c r="D40" s="28" t="s">
        <v>61</v>
      </c>
      <c r="E40" s="28" t="s">
        <v>29</v>
      </c>
      <c r="F40" s="58">
        <v>3</v>
      </c>
      <c r="G40" s="59"/>
      <c r="H40" s="28">
        <v>200</v>
      </c>
      <c r="I40" s="58">
        <v>200</v>
      </c>
      <c r="J40" s="58"/>
      <c r="K40" s="59"/>
      <c r="L40" s="58">
        <v>200</v>
      </c>
      <c r="M40" s="59"/>
      <c r="N40" s="28">
        <v>200</v>
      </c>
      <c r="O40" s="28" t="s">
        <v>70</v>
      </c>
    </row>
    <row r="41" spans="1:16" ht="24">
      <c r="A41">
        <v>36</v>
      </c>
      <c r="B41" s="27">
        <v>2</v>
      </c>
      <c r="C41" s="28" t="s">
        <v>150</v>
      </c>
      <c r="D41" s="28" t="s">
        <v>61</v>
      </c>
      <c r="E41" s="28" t="s">
        <v>28</v>
      </c>
      <c r="F41" s="58">
        <v>3</v>
      </c>
      <c r="G41" s="59"/>
      <c r="H41" s="28">
        <v>200</v>
      </c>
      <c r="I41" s="58">
        <v>200</v>
      </c>
      <c r="J41" s="58"/>
      <c r="K41" s="59"/>
      <c r="L41" s="58">
        <v>200</v>
      </c>
      <c r="M41" s="59"/>
      <c r="N41" s="28">
        <v>200</v>
      </c>
      <c r="O41" s="28" t="s">
        <v>70</v>
      </c>
    </row>
    <row r="42" spans="1:16">
      <c r="A42">
        <v>37</v>
      </c>
      <c r="B42" s="29">
        <v>1</v>
      </c>
      <c r="C42" s="30" t="s">
        <v>64</v>
      </c>
      <c r="D42" s="30" t="s">
        <v>51</v>
      </c>
      <c r="E42" s="30" t="s">
        <v>30</v>
      </c>
      <c r="F42" s="60">
        <v>4</v>
      </c>
      <c r="G42" s="61"/>
      <c r="H42" s="30">
        <v>1065</v>
      </c>
      <c r="I42" s="60">
        <v>265</v>
      </c>
      <c r="J42" s="60"/>
      <c r="K42" s="61"/>
      <c r="L42" s="60">
        <v>700</v>
      </c>
      <c r="M42" s="61"/>
      <c r="N42" s="30">
        <v>700</v>
      </c>
      <c r="O42" s="30" t="s">
        <v>72</v>
      </c>
      <c r="P42" t="s">
        <v>178</v>
      </c>
    </row>
    <row r="43" spans="1:16">
      <c r="A43">
        <v>38</v>
      </c>
      <c r="B43" s="29">
        <v>2</v>
      </c>
      <c r="C43" s="30" t="s">
        <v>65</v>
      </c>
      <c r="D43" s="30" t="s">
        <v>64</v>
      </c>
      <c r="E43" s="30" t="s">
        <v>28</v>
      </c>
      <c r="F43" s="60">
        <v>3</v>
      </c>
      <c r="G43" s="61"/>
      <c r="H43" s="30">
        <v>400</v>
      </c>
      <c r="I43" s="60">
        <v>400</v>
      </c>
      <c r="J43" s="60"/>
      <c r="K43" s="61"/>
      <c r="L43" s="60">
        <v>200</v>
      </c>
      <c r="M43" s="61"/>
      <c r="N43" s="30">
        <v>200</v>
      </c>
      <c r="O43" s="30" t="s">
        <v>70</v>
      </c>
    </row>
    <row r="44" spans="1:16">
      <c r="A44">
        <v>39</v>
      </c>
      <c r="B44" s="29">
        <v>2</v>
      </c>
      <c r="C44" s="30" t="s">
        <v>147</v>
      </c>
      <c r="D44" s="30" t="s">
        <v>64</v>
      </c>
      <c r="E44" s="30" t="s">
        <v>29</v>
      </c>
      <c r="F44" s="60">
        <v>3</v>
      </c>
      <c r="G44" s="61"/>
      <c r="H44" s="30">
        <v>200</v>
      </c>
      <c r="I44" s="60">
        <v>200</v>
      </c>
      <c r="J44" s="60"/>
      <c r="K44" s="61"/>
      <c r="L44" s="60">
        <v>200</v>
      </c>
      <c r="M44" s="61"/>
      <c r="N44" s="30">
        <v>200</v>
      </c>
      <c r="O44" s="30" t="s">
        <v>70</v>
      </c>
    </row>
    <row r="45" spans="1:16">
      <c r="A45">
        <v>40</v>
      </c>
      <c r="B45" s="29">
        <v>2</v>
      </c>
      <c r="C45" s="30" t="s">
        <v>148</v>
      </c>
      <c r="D45" s="30" t="s">
        <v>64</v>
      </c>
      <c r="E45" s="30" t="s">
        <v>28</v>
      </c>
      <c r="F45" s="60">
        <v>3</v>
      </c>
      <c r="G45" s="61"/>
      <c r="H45" s="30">
        <v>200</v>
      </c>
      <c r="I45" s="60">
        <v>200</v>
      </c>
      <c r="J45" s="60"/>
      <c r="K45" s="61"/>
      <c r="L45" s="60">
        <v>200</v>
      </c>
      <c r="M45" s="61"/>
      <c r="N45" s="30">
        <v>200</v>
      </c>
      <c r="O45" s="30" t="s">
        <v>70</v>
      </c>
    </row>
    <row r="46" spans="1:16">
      <c r="B46" s="19"/>
      <c r="C46" s="19"/>
      <c r="D46" s="19"/>
      <c r="E46" s="19"/>
      <c r="F46" s="62"/>
      <c r="G46" s="62"/>
      <c r="H46" s="19"/>
      <c r="I46" s="62"/>
      <c r="J46" s="62"/>
      <c r="K46" s="62"/>
      <c r="L46" s="62"/>
      <c r="M46" s="62"/>
      <c r="N46" s="19"/>
      <c r="O46" s="19"/>
    </row>
    <row r="47" spans="1:16">
      <c r="B47" s="63" t="s">
        <v>86</v>
      </c>
      <c r="C47" s="63"/>
      <c r="D47" s="63"/>
      <c r="E47" s="63"/>
      <c r="F47" s="63"/>
      <c r="G47" s="64" t="s">
        <v>46</v>
      </c>
      <c r="H47" s="64"/>
      <c r="I47" s="64"/>
      <c r="J47" s="11" t="s">
        <v>47</v>
      </c>
      <c r="K47" s="63" t="s">
        <v>46</v>
      </c>
      <c r="L47" s="63"/>
      <c r="M47" s="63"/>
      <c r="N47" s="63"/>
      <c r="O47" s="63"/>
    </row>
    <row r="50" spans="2:19" ht="36.75">
      <c r="B50" s="46" t="s">
        <v>209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</row>
    <row r="51" spans="2:19" ht="18.75">
      <c r="B51" s="47" t="s">
        <v>81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</row>
    <row r="52" spans="2:19" ht="14.25">
      <c r="B52" s="48" t="s">
        <v>36</v>
      </c>
      <c r="C52" s="48"/>
      <c r="D52" s="48"/>
      <c r="E52" s="49" t="s">
        <v>145</v>
      </c>
      <c r="F52" s="49"/>
      <c r="G52" s="49"/>
      <c r="H52" s="49"/>
      <c r="I52" s="49"/>
      <c r="J52" s="49"/>
      <c r="K52" s="49"/>
      <c r="L52" s="50" t="s">
        <v>146</v>
      </c>
      <c r="M52" s="50"/>
      <c r="N52" s="50"/>
      <c r="O52" s="50"/>
    </row>
    <row r="53" spans="2:19" ht="28.5">
      <c r="B53" s="10" t="s">
        <v>37</v>
      </c>
      <c r="C53" s="21" t="s">
        <v>38</v>
      </c>
      <c r="D53" s="21" t="s">
        <v>39</v>
      </c>
      <c r="E53" s="21" t="s">
        <v>40</v>
      </c>
      <c r="F53" s="51" t="s">
        <v>41</v>
      </c>
      <c r="G53" s="52"/>
      <c r="H53" s="12" t="s">
        <v>48</v>
      </c>
      <c r="I53" s="53" t="s">
        <v>49</v>
      </c>
      <c r="J53" s="51"/>
      <c r="K53" s="52"/>
      <c r="L53" s="51" t="s">
        <v>42</v>
      </c>
      <c r="M53" s="52"/>
      <c r="N53" s="21" t="s">
        <v>50</v>
      </c>
      <c r="O53" s="21" t="s">
        <v>43</v>
      </c>
    </row>
    <row r="54" spans="2:19" ht="165.75">
      <c r="B54" s="15" t="s">
        <v>74</v>
      </c>
      <c r="C54" s="16" t="s">
        <v>75</v>
      </c>
      <c r="D54" s="16" t="s">
        <v>76</v>
      </c>
      <c r="E54" s="16" t="s">
        <v>82</v>
      </c>
      <c r="F54" s="39" t="s">
        <v>83</v>
      </c>
      <c r="G54" s="40"/>
      <c r="H54" s="16" t="s">
        <v>77</v>
      </c>
      <c r="I54" s="41" t="s">
        <v>73</v>
      </c>
      <c r="J54" s="42"/>
      <c r="K54" s="43"/>
      <c r="L54" s="39" t="s">
        <v>78</v>
      </c>
      <c r="M54" s="40"/>
      <c r="N54" s="17" t="s">
        <v>84</v>
      </c>
      <c r="O54" s="16" t="s">
        <v>79</v>
      </c>
      <c r="Q54" t="s">
        <v>201</v>
      </c>
      <c r="R54" t="s">
        <v>202</v>
      </c>
      <c r="S54" t="s">
        <v>203</v>
      </c>
    </row>
    <row r="55" spans="2:19">
      <c r="B55" s="14">
        <v>0</v>
      </c>
      <c r="C55" s="18" t="s">
        <v>51</v>
      </c>
      <c r="D55" s="18" t="s">
        <v>44</v>
      </c>
      <c r="E55" s="18" t="s">
        <v>27</v>
      </c>
      <c r="F55" s="44">
        <v>6</v>
      </c>
      <c r="G55" s="45"/>
      <c r="H55" s="20">
        <f>H56+H80+H86+H91+I55</f>
        <v>485855</v>
      </c>
      <c r="I55" s="44">
        <v>300</v>
      </c>
      <c r="J55" s="44"/>
      <c r="K55" s="45"/>
      <c r="L55" s="44">
        <f>L56+L80+L86+L91</f>
        <v>464550</v>
      </c>
      <c r="M55" s="45"/>
      <c r="N55" s="13">
        <f>L55-L69-L78</f>
        <v>22550</v>
      </c>
      <c r="O55" s="18" t="s">
        <v>72</v>
      </c>
      <c r="P55">
        <v>100</v>
      </c>
      <c r="Q55">
        <f>100*0.34</f>
        <v>34</v>
      </c>
      <c r="R55">
        <f>(L56-L69-L78)*(0.34-0.3)+L80*(0.34-0.3)+L86*(0.34-0.3)+L91*(0.34-0.26)</f>
        <v>930.0000000000008</v>
      </c>
      <c r="S55">
        <f>N69*1%+N70*0.5%+N78*1%+N79*0.5%</f>
        <v>4420</v>
      </c>
    </row>
    <row r="56" spans="2:19">
      <c r="B56" s="22">
        <v>1</v>
      </c>
      <c r="C56" s="23" t="s">
        <v>52</v>
      </c>
      <c r="D56" s="23" t="s">
        <v>51</v>
      </c>
      <c r="E56" s="23" t="s">
        <v>27</v>
      </c>
      <c r="F56" s="54">
        <v>5</v>
      </c>
      <c r="G56" s="55"/>
      <c r="H56" s="23">
        <f>H57+H60+H66+H68+H71+H73+H76+I56</f>
        <v>451480</v>
      </c>
      <c r="I56" s="54">
        <v>350</v>
      </c>
      <c r="J56" s="54"/>
      <c r="K56" s="55"/>
      <c r="L56" s="54">
        <f>L57+L60+L66+L68+L71+L73+L76+200</f>
        <v>449130</v>
      </c>
      <c r="M56" s="55"/>
      <c r="N56" s="23">
        <f>L56-L69-L78</f>
        <v>7130</v>
      </c>
      <c r="O56" s="23" t="s">
        <v>70</v>
      </c>
      <c r="P56">
        <v>200</v>
      </c>
      <c r="Q56">
        <f>200*0.3</f>
        <v>60</v>
      </c>
      <c r="R56">
        <f>L57*(0.3-0.22)+L60*(0.3-0.22)+L66*(0.3-0.22)+(L68-L69)*(0.3-0.26)+L71*(0.3-0.26)+L73*(0.3-0.05)+(L76-L78)*(0.3-0.22)</f>
        <v>511.99999999999994</v>
      </c>
    </row>
    <row r="57" spans="2:19">
      <c r="B57" s="22">
        <v>2</v>
      </c>
      <c r="C57" s="23" t="s">
        <v>53</v>
      </c>
      <c r="D57" s="23" t="s">
        <v>52</v>
      </c>
      <c r="E57" s="23" t="s">
        <v>31</v>
      </c>
      <c r="F57" s="54">
        <v>3</v>
      </c>
      <c r="G57" s="55"/>
      <c r="H57" s="23">
        <v>1550</v>
      </c>
      <c r="I57" s="54">
        <v>50</v>
      </c>
      <c r="J57" s="54"/>
      <c r="K57" s="55"/>
      <c r="L57" s="54">
        <v>1550</v>
      </c>
      <c r="M57" s="55"/>
      <c r="N57" s="23">
        <v>50</v>
      </c>
      <c r="O57" s="23" t="s">
        <v>166</v>
      </c>
      <c r="P57">
        <v>50</v>
      </c>
      <c r="Q57">
        <f>50*0.22</f>
        <v>11</v>
      </c>
      <c r="R57">
        <v>0</v>
      </c>
    </row>
    <row r="58" spans="2:19">
      <c r="B58" s="22">
        <v>3</v>
      </c>
      <c r="C58" s="23" t="s">
        <v>177</v>
      </c>
      <c r="D58" s="23" t="s">
        <v>53</v>
      </c>
      <c r="E58" s="23" t="s">
        <v>28</v>
      </c>
      <c r="F58" s="54">
        <v>4</v>
      </c>
      <c r="G58" s="55"/>
      <c r="H58" s="23">
        <v>1500</v>
      </c>
      <c r="I58" s="54">
        <v>1000</v>
      </c>
      <c r="J58" s="54"/>
      <c r="K58" s="55"/>
      <c r="L58" s="54">
        <v>1500</v>
      </c>
      <c r="M58" s="55"/>
      <c r="N58" s="23">
        <v>1500</v>
      </c>
      <c r="O58" s="23" t="s">
        <v>162</v>
      </c>
      <c r="P58">
        <v>1000</v>
      </c>
      <c r="Q58">
        <f>1000*0.26</f>
        <v>260</v>
      </c>
      <c r="R58">
        <f>500*(0.26-0.22)</f>
        <v>20.000000000000004</v>
      </c>
    </row>
    <row r="59" spans="2:19">
      <c r="B59" s="22">
        <v>4</v>
      </c>
      <c r="C59" s="23" t="s">
        <v>176</v>
      </c>
      <c r="D59" s="23" t="s">
        <v>177</v>
      </c>
      <c r="E59" s="23" t="s">
        <v>28</v>
      </c>
      <c r="F59" s="54">
        <v>3</v>
      </c>
      <c r="G59" s="55"/>
      <c r="H59" s="23">
        <v>500</v>
      </c>
      <c r="I59" s="54">
        <v>500</v>
      </c>
      <c r="J59" s="54"/>
      <c r="K59" s="55"/>
      <c r="L59" s="54">
        <v>500</v>
      </c>
      <c r="M59" s="55"/>
      <c r="N59" s="23">
        <v>500</v>
      </c>
      <c r="O59" s="23" t="s">
        <v>164</v>
      </c>
      <c r="P59">
        <v>500</v>
      </c>
      <c r="Q59">
        <f>500*0.22</f>
        <v>110</v>
      </c>
      <c r="R59">
        <v>0</v>
      </c>
    </row>
    <row r="60" spans="2:19">
      <c r="B60" s="22">
        <v>2</v>
      </c>
      <c r="C60" s="23" t="s">
        <v>54</v>
      </c>
      <c r="D60" s="23" t="s">
        <v>51</v>
      </c>
      <c r="E60" s="23" t="s">
        <v>67</v>
      </c>
      <c r="F60" s="54">
        <v>3</v>
      </c>
      <c r="G60" s="55"/>
      <c r="H60" s="23">
        <v>1700</v>
      </c>
      <c r="I60" s="54">
        <v>600</v>
      </c>
      <c r="J60" s="54"/>
      <c r="K60" s="55"/>
      <c r="L60" s="54">
        <v>1400</v>
      </c>
      <c r="M60" s="55"/>
      <c r="N60" s="23">
        <v>300</v>
      </c>
      <c r="O60" s="23" t="s">
        <v>85</v>
      </c>
      <c r="P60">
        <v>300</v>
      </c>
      <c r="Q60">
        <f>P60*0.22</f>
        <v>66</v>
      </c>
      <c r="R60">
        <v>0</v>
      </c>
    </row>
    <row r="61" spans="2:19">
      <c r="B61" s="22">
        <v>3</v>
      </c>
      <c r="C61" s="23" t="s">
        <v>173</v>
      </c>
      <c r="D61" s="23" t="s">
        <v>54</v>
      </c>
      <c r="E61" s="23" t="s">
        <v>28</v>
      </c>
      <c r="F61" s="54">
        <v>3</v>
      </c>
      <c r="G61" s="55"/>
      <c r="H61" s="23">
        <v>500</v>
      </c>
      <c r="I61" s="54">
        <v>300</v>
      </c>
      <c r="J61" s="54"/>
      <c r="K61" s="55"/>
      <c r="L61" s="54">
        <v>500</v>
      </c>
      <c r="M61" s="55"/>
      <c r="N61" s="23">
        <v>300</v>
      </c>
      <c r="O61" s="23" t="s">
        <v>85</v>
      </c>
      <c r="P61">
        <v>300</v>
      </c>
      <c r="Q61">
        <f t="shared" ref="Q61:Q66" si="0">P61*0.22</f>
        <v>66</v>
      </c>
      <c r="R61">
        <v>0</v>
      </c>
    </row>
    <row r="62" spans="2:19">
      <c r="B62" s="22">
        <v>4</v>
      </c>
      <c r="C62" s="23" t="s">
        <v>174</v>
      </c>
      <c r="D62" s="23" t="s">
        <v>173</v>
      </c>
      <c r="E62" s="23" t="s">
        <v>29</v>
      </c>
      <c r="F62" s="54">
        <v>3</v>
      </c>
      <c r="G62" s="55"/>
      <c r="H62" s="23">
        <v>200</v>
      </c>
      <c r="I62" s="54">
        <v>200</v>
      </c>
      <c r="J62" s="54"/>
      <c r="K62" s="55"/>
      <c r="L62" s="54">
        <v>200</v>
      </c>
      <c r="M62" s="55"/>
      <c r="N62" s="23">
        <v>200</v>
      </c>
      <c r="O62" s="23" t="s">
        <v>70</v>
      </c>
      <c r="P62">
        <v>200</v>
      </c>
      <c r="Q62">
        <f t="shared" si="0"/>
        <v>44</v>
      </c>
      <c r="R62">
        <v>0</v>
      </c>
    </row>
    <row r="63" spans="2:19">
      <c r="B63" s="22">
        <v>3</v>
      </c>
      <c r="C63" s="23" t="s">
        <v>172</v>
      </c>
      <c r="D63" s="23" t="s">
        <v>54</v>
      </c>
      <c r="E63" s="23" t="s">
        <v>30</v>
      </c>
      <c r="F63" s="54">
        <v>3</v>
      </c>
      <c r="G63" s="55"/>
      <c r="H63" s="23">
        <v>600</v>
      </c>
      <c r="I63" s="54">
        <v>200</v>
      </c>
      <c r="J63" s="54"/>
      <c r="K63" s="55"/>
      <c r="L63" s="54">
        <v>600</v>
      </c>
      <c r="M63" s="55"/>
      <c r="N63" s="23">
        <v>200</v>
      </c>
      <c r="O63" s="23" t="s">
        <v>70</v>
      </c>
      <c r="P63">
        <v>200</v>
      </c>
      <c r="Q63">
        <f t="shared" si="0"/>
        <v>44</v>
      </c>
      <c r="R63">
        <v>0</v>
      </c>
    </row>
    <row r="64" spans="2:19">
      <c r="B64" s="22">
        <v>4</v>
      </c>
      <c r="C64" s="23" t="s">
        <v>175</v>
      </c>
      <c r="D64" s="23" t="s">
        <v>172</v>
      </c>
      <c r="E64" s="23" t="s">
        <v>31</v>
      </c>
      <c r="F64" s="54">
        <v>3</v>
      </c>
      <c r="G64" s="55"/>
      <c r="H64" s="23">
        <v>200</v>
      </c>
      <c r="I64" s="54">
        <v>200</v>
      </c>
      <c r="J64" s="54"/>
      <c r="K64" s="55"/>
      <c r="L64" s="54">
        <v>200</v>
      </c>
      <c r="M64" s="55"/>
      <c r="N64" s="23">
        <v>200</v>
      </c>
      <c r="O64" s="23" t="s">
        <v>70</v>
      </c>
      <c r="P64">
        <v>200</v>
      </c>
      <c r="Q64">
        <f t="shared" si="0"/>
        <v>44</v>
      </c>
      <c r="R64">
        <v>0</v>
      </c>
    </row>
    <row r="65" spans="2:19">
      <c r="B65" s="22">
        <v>4</v>
      </c>
      <c r="C65" s="23" t="s">
        <v>171</v>
      </c>
      <c r="D65" s="23" t="s">
        <v>172</v>
      </c>
      <c r="E65" s="23" t="s">
        <v>67</v>
      </c>
      <c r="F65" s="54">
        <v>3</v>
      </c>
      <c r="G65" s="55"/>
      <c r="H65" s="23">
        <v>200</v>
      </c>
      <c r="I65" s="54">
        <v>200</v>
      </c>
      <c r="J65" s="54"/>
      <c r="K65" s="55"/>
      <c r="L65" s="54">
        <v>200</v>
      </c>
      <c r="M65" s="55"/>
      <c r="N65" s="23">
        <v>200</v>
      </c>
      <c r="O65" s="23" t="s">
        <v>70</v>
      </c>
      <c r="P65">
        <v>200</v>
      </c>
      <c r="Q65">
        <f t="shared" si="0"/>
        <v>44</v>
      </c>
      <c r="R65">
        <v>0</v>
      </c>
    </row>
    <row r="66" spans="2:19">
      <c r="B66" s="22">
        <v>2</v>
      </c>
      <c r="C66" s="23" t="s">
        <v>55</v>
      </c>
      <c r="D66" s="23" t="s">
        <v>52</v>
      </c>
      <c r="E66" s="23" t="s">
        <v>69</v>
      </c>
      <c r="F66" s="54">
        <v>3</v>
      </c>
      <c r="G66" s="55"/>
      <c r="H66" s="23">
        <v>2200</v>
      </c>
      <c r="I66" s="54">
        <v>200</v>
      </c>
      <c r="J66" s="54"/>
      <c r="K66" s="55"/>
      <c r="L66" s="54">
        <v>2100</v>
      </c>
      <c r="M66" s="55"/>
      <c r="N66" s="23">
        <v>100</v>
      </c>
      <c r="O66" s="23" t="s">
        <v>72</v>
      </c>
      <c r="P66">
        <v>100</v>
      </c>
      <c r="Q66">
        <f t="shared" si="0"/>
        <v>22</v>
      </c>
      <c r="R66">
        <v>0</v>
      </c>
    </row>
    <row r="67" spans="2:19">
      <c r="B67" s="22">
        <v>3</v>
      </c>
      <c r="C67" s="23" t="s">
        <v>170</v>
      </c>
      <c r="D67" s="23" t="s">
        <v>55</v>
      </c>
      <c r="E67" s="23" t="s">
        <v>69</v>
      </c>
      <c r="F67" s="54">
        <v>4</v>
      </c>
      <c r="G67" s="55"/>
      <c r="H67" s="23">
        <v>2000</v>
      </c>
      <c r="I67" s="54">
        <v>2000</v>
      </c>
      <c r="J67" s="54"/>
      <c r="K67" s="55"/>
      <c r="L67" s="54">
        <v>2000</v>
      </c>
      <c r="M67" s="55"/>
      <c r="N67" s="23">
        <v>2000</v>
      </c>
      <c r="O67" s="23" t="s">
        <v>161</v>
      </c>
      <c r="P67">
        <v>2000</v>
      </c>
      <c r="Q67">
        <f>2000*0.26</f>
        <v>520</v>
      </c>
      <c r="R67">
        <v>0</v>
      </c>
    </row>
    <row r="68" spans="2:19">
      <c r="B68" s="22">
        <v>2</v>
      </c>
      <c r="C68" s="23" t="s">
        <v>56</v>
      </c>
      <c r="D68" s="23" t="s">
        <v>52</v>
      </c>
      <c r="E68" s="23" t="s">
        <v>66</v>
      </c>
      <c r="F68" s="54">
        <v>4</v>
      </c>
      <c r="G68" s="55"/>
      <c r="H68" s="23">
        <v>354000</v>
      </c>
      <c r="I68" s="54">
        <v>1000</v>
      </c>
      <c r="J68" s="54"/>
      <c r="K68" s="55"/>
      <c r="L68" s="54">
        <v>353200</v>
      </c>
      <c r="M68" s="55"/>
      <c r="N68" s="23">
        <v>200</v>
      </c>
      <c r="O68" s="23" t="s">
        <v>70</v>
      </c>
      <c r="P68">
        <v>200</v>
      </c>
      <c r="Q68">
        <f>200*0.26</f>
        <v>52</v>
      </c>
      <c r="R68">
        <v>0</v>
      </c>
    </row>
    <row r="69" spans="2:19" ht="24">
      <c r="B69" s="22">
        <v>3</v>
      </c>
      <c r="C69" s="23" t="s">
        <v>160</v>
      </c>
      <c r="D69" s="23" t="s">
        <v>56</v>
      </c>
      <c r="E69" s="23" t="s">
        <v>66</v>
      </c>
      <c r="F69" s="54">
        <v>8</v>
      </c>
      <c r="G69" s="55"/>
      <c r="H69" s="23">
        <v>353000</v>
      </c>
      <c r="I69" s="54">
        <v>280000</v>
      </c>
      <c r="J69" s="54"/>
      <c r="K69" s="55"/>
      <c r="L69" s="54">
        <f>280000+73000</f>
        <v>353000</v>
      </c>
      <c r="M69" s="55"/>
      <c r="N69" s="23">
        <v>353000</v>
      </c>
      <c r="O69" s="23" t="s">
        <v>169</v>
      </c>
      <c r="P69">
        <v>280000</v>
      </c>
      <c r="Q69">
        <f>280000*0.43</f>
        <v>120400</v>
      </c>
      <c r="R69">
        <f>73000*(0.43-0.4)</f>
        <v>2189.9999999999977</v>
      </c>
    </row>
    <row r="70" spans="2:19" ht="24">
      <c r="B70" s="22">
        <v>4</v>
      </c>
      <c r="C70" s="23" t="s">
        <v>197</v>
      </c>
      <c r="D70" s="23" t="s">
        <v>160</v>
      </c>
      <c r="E70" s="23" t="s">
        <v>66</v>
      </c>
      <c r="F70" s="54">
        <v>7</v>
      </c>
      <c r="G70" s="55"/>
      <c r="H70" s="23">
        <v>73000</v>
      </c>
      <c r="I70" s="54">
        <v>73000</v>
      </c>
      <c r="J70" s="54"/>
      <c r="K70" s="55"/>
      <c r="L70" s="54">
        <v>73000</v>
      </c>
      <c r="M70" s="55"/>
      <c r="N70" s="23">
        <v>73000</v>
      </c>
      <c r="O70" s="23" t="s">
        <v>194</v>
      </c>
      <c r="P70">
        <v>73000</v>
      </c>
      <c r="Q70">
        <f>73000*0.4</f>
        <v>29200</v>
      </c>
      <c r="R70">
        <v>0</v>
      </c>
    </row>
    <row r="71" spans="2:19">
      <c r="B71" s="22">
        <v>2</v>
      </c>
      <c r="C71" s="23" t="s">
        <v>57</v>
      </c>
      <c r="D71" s="23" t="s">
        <v>52</v>
      </c>
      <c r="E71" s="23" t="s">
        <v>68</v>
      </c>
      <c r="F71" s="54">
        <v>4</v>
      </c>
      <c r="G71" s="55"/>
      <c r="H71" s="23">
        <v>2200</v>
      </c>
      <c r="I71" s="54">
        <v>1200</v>
      </c>
      <c r="J71" s="54"/>
      <c r="K71" s="55"/>
      <c r="L71" s="54">
        <v>1200</v>
      </c>
      <c r="M71" s="55"/>
      <c r="N71" s="23">
        <v>200</v>
      </c>
      <c r="O71" s="23" t="s">
        <v>70</v>
      </c>
      <c r="P71">
        <v>200</v>
      </c>
      <c r="Q71">
        <f>200*0.26</f>
        <v>52</v>
      </c>
      <c r="R71">
        <v>0</v>
      </c>
    </row>
    <row r="72" spans="2:19">
      <c r="B72" s="22">
        <v>3</v>
      </c>
      <c r="C72" s="23" t="s">
        <v>159</v>
      </c>
      <c r="D72" s="23" t="s">
        <v>57</v>
      </c>
      <c r="E72" s="23" t="s">
        <v>35</v>
      </c>
      <c r="F72" s="54">
        <v>4</v>
      </c>
      <c r="G72" s="55"/>
      <c r="H72" s="23">
        <v>1000</v>
      </c>
      <c r="I72" s="54">
        <v>1000</v>
      </c>
      <c r="J72" s="54"/>
      <c r="K72" s="55"/>
      <c r="L72" s="54">
        <v>1000</v>
      </c>
      <c r="M72" s="55"/>
      <c r="N72" s="23">
        <v>1000</v>
      </c>
      <c r="O72" s="23" t="s">
        <v>45</v>
      </c>
      <c r="P72">
        <v>1000</v>
      </c>
      <c r="Q72">
        <f>1000*0.26</f>
        <v>260</v>
      </c>
      <c r="R72">
        <v>0</v>
      </c>
    </row>
    <row r="73" spans="2:19">
      <c r="B73" s="22">
        <v>2</v>
      </c>
      <c r="C73" s="23" t="s">
        <v>156</v>
      </c>
      <c r="D73" s="23" t="s">
        <v>52</v>
      </c>
      <c r="E73" s="23" t="s">
        <v>31</v>
      </c>
      <c r="F73" s="54">
        <v>1</v>
      </c>
      <c r="G73" s="55"/>
      <c r="H73" s="23">
        <v>80</v>
      </c>
      <c r="I73" s="54">
        <v>20</v>
      </c>
      <c r="J73" s="54"/>
      <c r="K73" s="55"/>
      <c r="L73" s="54">
        <v>80</v>
      </c>
      <c r="M73" s="55"/>
      <c r="N73" s="23">
        <v>20</v>
      </c>
      <c r="O73" s="23" t="s">
        <v>168</v>
      </c>
      <c r="P73">
        <v>20</v>
      </c>
      <c r="Q73">
        <f>20*0.05</f>
        <v>1</v>
      </c>
      <c r="R73">
        <v>0</v>
      </c>
    </row>
    <row r="74" spans="2:19">
      <c r="B74" s="22">
        <v>3</v>
      </c>
      <c r="C74" s="23" t="s">
        <v>157</v>
      </c>
      <c r="D74" s="23" t="s">
        <v>156</v>
      </c>
      <c r="E74" s="23" t="s">
        <v>30</v>
      </c>
      <c r="F74" s="54">
        <v>1</v>
      </c>
      <c r="G74" s="55"/>
      <c r="H74" s="23">
        <v>10</v>
      </c>
      <c r="I74" s="54">
        <v>10</v>
      </c>
      <c r="J74" s="54"/>
      <c r="K74" s="55"/>
      <c r="L74" s="54">
        <v>10</v>
      </c>
      <c r="M74" s="55"/>
      <c r="N74" s="23">
        <v>10</v>
      </c>
      <c r="O74" s="24" t="s">
        <v>167</v>
      </c>
      <c r="P74">
        <v>10</v>
      </c>
      <c r="Q74">
        <f>10*0.05</f>
        <v>0.5</v>
      </c>
      <c r="R74">
        <v>0</v>
      </c>
    </row>
    <row r="75" spans="2:19">
      <c r="B75" s="22">
        <v>3</v>
      </c>
      <c r="C75" s="23" t="s">
        <v>158</v>
      </c>
      <c r="D75" s="23" t="s">
        <v>156</v>
      </c>
      <c r="E75" s="23" t="s">
        <v>29</v>
      </c>
      <c r="F75" s="54">
        <v>1</v>
      </c>
      <c r="G75" s="55"/>
      <c r="H75" s="23">
        <v>50</v>
      </c>
      <c r="I75" s="54">
        <v>50</v>
      </c>
      <c r="J75" s="54"/>
      <c r="K75" s="55"/>
      <c r="L75" s="54">
        <v>50</v>
      </c>
      <c r="M75" s="55"/>
      <c r="N75" s="23">
        <v>50</v>
      </c>
      <c r="O75" s="23" t="s">
        <v>166</v>
      </c>
      <c r="P75">
        <v>50</v>
      </c>
      <c r="Q75">
        <f>50*0.05</f>
        <v>2.5</v>
      </c>
      <c r="R75">
        <v>0</v>
      </c>
    </row>
    <row r="76" spans="2:19">
      <c r="B76" s="22">
        <v>2</v>
      </c>
      <c r="C76" s="23" t="s">
        <v>154</v>
      </c>
      <c r="D76" s="23" t="s">
        <v>52</v>
      </c>
      <c r="E76" s="23" t="s">
        <v>28</v>
      </c>
      <c r="F76" s="54">
        <v>3</v>
      </c>
      <c r="G76" s="55"/>
      <c r="H76" s="23">
        <v>89400</v>
      </c>
      <c r="I76" s="54">
        <v>100</v>
      </c>
      <c r="J76" s="54"/>
      <c r="K76" s="55"/>
      <c r="L76" s="54">
        <v>89400</v>
      </c>
      <c r="M76" s="55"/>
      <c r="N76" s="23">
        <v>100</v>
      </c>
      <c r="O76" s="23" t="s">
        <v>72</v>
      </c>
      <c r="P76">
        <v>100</v>
      </c>
      <c r="Q76">
        <f>100*0.22</f>
        <v>22</v>
      </c>
      <c r="R76">
        <v>0</v>
      </c>
    </row>
    <row r="77" spans="2:19">
      <c r="B77" s="22">
        <v>3</v>
      </c>
      <c r="C77" s="23" t="s">
        <v>155</v>
      </c>
      <c r="D77" s="23" t="s">
        <v>154</v>
      </c>
      <c r="E77" s="23" t="s">
        <v>28</v>
      </c>
      <c r="F77" s="54">
        <v>3</v>
      </c>
      <c r="G77" s="55"/>
      <c r="H77" s="23">
        <v>89300</v>
      </c>
      <c r="I77" s="54">
        <v>300</v>
      </c>
      <c r="J77" s="54"/>
      <c r="K77" s="55"/>
      <c r="L77" s="54">
        <v>89300</v>
      </c>
      <c r="M77" s="55"/>
      <c r="N77" s="23">
        <v>300</v>
      </c>
      <c r="O77" s="23" t="s">
        <v>85</v>
      </c>
      <c r="P77">
        <v>300</v>
      </c>
      <c r="Q77">
        <f>300*0.22</f>
        <v>66</v>
      </c>
      <c r="R77">
        <v>0</v>
      </c>
    </row>
    <row r="78" spans="2:19" ht="24">
      <c r="B78" s="22">
        <v>4</v>
      </c>
      <c r="C78" s="23" t="s">
        <v>199</v>
      </c>
      <c r="D78" s="23" t="s">
        <v>155</v>
      </c>
      <c r="E78" s="23" t="s">
        <v>28</v>
      </c>
      <c r="F78" s="54">
        <v>6</v>
      </c>
      <c r="G78" s="55"/>
      <c r="H78" s="23">
        <v>89000</v>
      </c>
      <c r="I78" s="54">
        <v>16000</v>
      </c>
      <c r="J78" s="54"/>
      <c r="K78" s="55"/>
      <c r="L78" s="54">
        <v>89000</v>
      </c>
      <c r="M78" s="55"/>
      <c r="N78" s="23">
        <v>16000</v>
      </c>
      <c r="O78" s="23" t="s">
        <v>195</v>
      </c>
      <c r="P78">
        <v>16000</v>
      </c>
      <c r="Q78">
        <f>16000*0.34</f>
        <v>5440</v>
      </c>
      <c r="R78">
        <v>0</v>
      </c>
      <c r="S78">
        <f>N79*1%</f>
        <v>730</v>
      </c>
    </row>
    <row r="79" spans="2:19" ht="24">
      <c r="B79" s="22">
        <v>5</v>
      </c>
      <c r="C79" s="23" t="s">
        <v>196</v>
      </c>
      <c r="D79" s="23" t="s">
        <v>199</v>
      </c>
      <c r="E79" s="23" t="s">
        <v>28</v>
      </c>
      <c r="F79" s="54">
        <v>7</v>
      </c>
      <c r="G79" s="55"/>
      <c r="H79" s="23">
        <v>73000</v>
      </c>
      <c r="I79" s="54">
        <v>73000</v>
      </c>
      <c r="J79" s="54"/>
      <c r="K79" s="55"/>
      <c r="L79" s="54">
        <v>73000</v>
      </c>
      <c r="M79" s="55"/>
      <c r="N79" s="23">
        <v>73000</v>
      </c>
      <c r="O79" s="23" t="s">
        <v>194</v>
      </c>
      <c r="P79">
        <v>73000</v>
      </c>
      <c r="Q79">
        <f>73000*0.4</f>
        <v>29200</v>
      </c>
      <c r="R79">
        <v>0</v>
      </c>
    </row>
    <row r="80" spans="2:19">
      <c r="B80" s="25">
        <v>1</v>
      </c>
      <c r="C80" s="26" t="s">
        <v>58</v>
      </c>
      <c r="D80" s="26" t="s">
        <v>51</v>
      </c>
      <c r="E80" s="26" t="s">
        <v>28</v>
      </c>
      <c r="F80" s="56">
        <v>5</v>
      </c>
      <c r="G80" s="57"/>
      <c r="H80" s="26">
        <f>H81+H83+H85+I80</f>
        <v>12740</v>
      </c>
      <c r="I80" s="56">
        <v>440</v>
      </c>
      <c r="J80" s="56"/>
      <c r="K80" s="57"/>
      <c r="L80" s="56">
        <v>5120</v>
      </c>
      <c r="M80" s="57"/>
      <c r="N80" s="26">
        <v>1120</v>
      </c>
      <c r="O80" s="26" t="s">
        <v>165</v>
      </c>
      <c r="P80">
        <v>120</v>
      </c>
      <c r="Q80">
        <f>120*0.3</f>
        <v>36</v>
      </c>
      <c r="R80">
        <f>700*(0.3-0.26)+L85*(0.3-0.22)</f>
        <v>51.999999999999986</v>
      </c>
      <c r="S80">
        <f>N83*1%</f>
        <v>40</v>
      </c>
    </row>
    <row r="81" spans="2:19">
      <c r="B81" s="25">
        <v>2</v>
      </c>
      <c r="C81" s="26" t="s">
        <v>59</v>
      </c>
      <c r="D81" s="26" t="s">
        <v>58</v>
      </c>
      <c r="E81" s="26" t="s">
        <v>31</v>
      </c>
      <c r="F81" s="56">
        <v>4</v>
      </c>
      <c r="G81" s="57"/>
      <c r="H81" s="26">
        <v>3900</v>
      </c>
      <c r="I81" s="56">
        <v>3400</v>
      </c>
      <c r="J81" s="56"/>
      <c r="K81" s="57"/>
      <c r="L81" s="56">
        <v>700</v>
      </c>
      <c r="M81" s="57"/>
      <c r="N81" s="26">
        <v>700</v>
      </c>
      <c r="O81" s="26" t="s">
        <v>70</v>
      </c>
      <c r="P81">
        <v>200</v>
      </c>
      <c r="Q81">
        <f>200*0.26</f>
        <v>52</v>
      </c>
      <c r="R81">
        <f>500*(0.26-0.22)</f>
        <v>20.000000000000004</v>
      </c>
    </row>
    <row r="82" spans="2:19">
      <c r="B82" s="25">
        <v>3</v>
      </c>
      <c r="C82" s="26" t="s">
        <v>153</v>
      </c>
      <c r="D82" s="26" t="s">
        <v>59</v>
      </c>
      <c r="E82" s="26" t="s">
        <v>68</v>
      </c>
      <c r="F82" s="56">
        <v>3</v>
      </c>
      <c r="G82" s="57"/>
      <c r="H82" s="26">
        <v>500</v>
      </c>
      <c r="I82" s="56">
        <v>500</v>
      </c>
      <c r="J82" s="56"/>
      <c r="K82" s="57"/>
      <c r="L82" s="56">
        <v>500</v>
      </c>
      <c r="M82" s="57"/>
      <c r="N82" s="26">
        <v>500</v>
      </c>
      <c r="O82" s="26" t="s">
        <v>164</v>
      </c>
      <c r="P82">
        <v>500</v>
      </c>
      <c r="Q82">
        <f>500*0.22</f>
        <v>110</v>
      </c>
      <c r="R82">
        <v>0</v>
      </c>
    </row>
    <row r="83" spans="2:19">
      <c r="B83" s="25">
        <v>2</v>
      </c>
      <c r="C83" s="26" t="s">
        <v>60</v>
      </c>
      <c r="D83" s="26" t="s">
        <v>58</v>
      </c>
      <c r="E83" s="26" t="s">
        <v>30</v>
      </c>
      <c r="F83" s="56">
        <v>5</v>
      </c>
      <c r="G83" s="57"/>
      <c r="H83" s="26">
        <v>8100</v>
      </c>
      <c r="I83" s="56">
        <v>7100</v>
      </c>
      <c r="J83" s="56"/>
      <c r="K83" s="57"/>
      <c r="L83" s="56">
        <v>4000</v>
      </c>
      <c r="M83" s="57"/>
      <c r="N83" s="26">
        <v>4000</v>
      </c>
      <c r="O83" s="26" t="s">
        <v>163</v>
      </c>
      <c r="P83">
        <v>3000</v>
      </c>
      <c r="Q83">
        <f>3000*0.3</f>
        <v>900</v>
      </c>
      <c r="R83">
        <f>1000*(0.3-0.26)</f>
        <v>39.999999999999979</v>
      </c>
    </row>
    <row r="84" spans="2:19">
      <c r="B84" s="25">
        <v>3</v>
      </c>
      <c r="C84" s="26" t="s">
        <v>152</v>
      </c>
      <c r="D84" s="26" t="s">
        <v>60</v>
      </c>
      <c r="E84" s="26" t="s">
        <v>31</v>
      </c>
      <c r="F84" s="56">
        <v>4</v>
      </c>
      <c r="G84" s="57"/>
      <c r="H84" s="26">
        <v>1000</v>
      </c>
      <c r="I84" s="56">
        <v>1000</v>
      </c>
      <c r="J84" s="56"/>
      <c r="K84" s="57"/>
      <c r="L84" s="56">
        <v>1000</v>
      </c>
      <c r="M84" s="57"/>
      <c r="N84" s="26">
        <v>1000</v>
      </c>
      <c r="O84" s="26" t="s">
        <v>162</v>
      </c>
      <c r="P84">
        <v>1000</v>
      </c>
      <c r="Q84">
        <f>1000*0.26</f>
        <v>260</v>
      </c>
      <c r="R84">
        <v>0</v>
      </c>
    </row>
    <row r="85" spans="2:19">
      <c r="B85" s="25">
        <v>2</v>
      </c>
      <c r="C85" s="26" t="s">
        <v>151</v>
      </c>
      <c r="D85" s="26" t="s">
        <v>58</v>
      </c>
      <c r="E85" s="26" t="s">
        <v>30</v>
      </c>
      <c r="F85" s="56">
        <v>3</v>
      </c>
      <c r="G85" s="57"/>
      <c r="H85" s="26">
        <v>300</v>
      </c>
      <c r="I85" s="56">
        <v>300</v>
      </c>
      <c r="J85" s="56"/>
      <c r="K85" s="57"/>
      <c r="L85" s="56">
        <v>300</v>
      </c>
      <c r="M85" s="57"/>
      <c r="N85" s="26">
        <v>300</v>
      </c>
      <c r="O85" s="26" t="s">
        <v>85</v>
      </c>
      <c r="P85">
        <v>300</v>
      </c>
      <c r="Q85">
        <f>300*0.22</f>
        <v>66</v>
      </c>
      <c r="R85">
        <v>0</v>
      </c>
    </row>
    <row r="86" spans="2:19" ht="24">
      <c r="B86" s="27">
        <v>1</v>
      </c>
      <c r="C86" s="28" t="s">
        <v>61</v>
      </c>
      <c r="D86" s="28" t="s">
        <v>51</v>
      </c>
      <c r="E86" s="28" t="s">
        <v>29</v>
      </c>
      <c r="F86" s="58">
        <v>5</v>
      </c>
      <c r="G86" s="59"/>
      <c r="H86" s="28">
        <v>20270</v>
      </c>
      <c r="I86" s="58">
        <v>370</v>
      </c>
      <c r="J86" s="58"/>
      <c r="K86" s="59"/>
      <c r="L86" s="58">
        <v>9600</v>
      </c>
      <c r="M86" s="59"/>
      <c r="N86" s="28">
        <v>600</v>
      </c>
      <c r="O86" s="28" t="s">
        <v>70</v>
      </c>
      <c r="P86">
        <v>200</v>
      </c>
      <c r="Q86">
        <f>200*0.3</f>
        <v>60</v>
      </c>
      <c r="R86">
        <f>400*(0.3-0.22)</f>
        <v>31.999999999999996</v>
      </c>
      <c r="S86">
        <f>L87*0.01+L88*0.01</f>
        <v>90</v>
      </c>
    </row>
    <row r="87" spans="2:19" ht="24">
      <c r="B87" s="27">
        <v>2</v>
      </c>
      <c r="C87" s="28" t="s">
        <v>62</v>
      </c>
      <c r="D87" s="28" t="s">
        <v>61</v>
      </c>
      <c r="E87" s="28" t="s">
        <v>29</v>
      </c>
      <c r="F87" s="58">
        <v>5</v>
      </c>
      <c r="G87" s="59"/>
      <c r="H87" s="28">
        <v>14000</v>
      </c>
      <c r="I87" s="58">
        <v>14000</v>
      </c>
      <c r="J87" s="58"/>
      <c r="K87" s="59"/>
      <c r="L87" s="58">
        <v>7000</v>
      </c>
      <c r="M87" s="59"/>
      <c r="N87" s="28">
        <v>7000</v>
      </c>
      <c r="O87" s="28" t="s">
        <v>71</v>
      </c>
      <c r="P87">
        <v>7000</v>
      </c>
      <c r="Q87">
        <f>7000*0.3</f>
        <v>2100</v>
      </c>
      <c r="R87">
        <v>0</v>
      </c>
    </row>
    <row r="88" spans="2:19" ht="24">
      <c r="B88" s="27">
        <v>2</v>
      </c>
      <c r="C88" s="28" t="s">
        <v>63</v>
      </c>
      <c r="D88" s="28" t="s">
        <v>61</v>
      </c>
      <c r="E88" s="28" t="s">
        <v>28</v>
      </c>
      <c r="F88" s="58">
        <v>5</v>
      </c>
      <c r="G88" s="59"/>
      <c r="H88" s="28">
        <v>5500</v>
      </c>
      <c r="I88" s="58">
        <v>5500</v>
      </c>
      <c r="J88" s="58"/>
      <c r="K88" s="59"/>
      <c r="L88" s="58">
        <v>2000</v>
      </c>
      <c r="M88" s="59"/>
      <c r="N88" s="28">
        <v>2000</v>
      </c>
      <c r="O88" s="28" t="s">
        <v>161</v>
      </c>
      <c r="P88">
        <v>2000</v>
      </c>
      <c r="Q88">
        <f>2000*0.3</f>
        <v>600</v>
      </c>
      <c r="R88">
        <v>0</v>
      </c>
    </row>
    <row r="89" spans="2:19" ht="24">
      <c r="B89" s="27">
        <v>2</v>
      </c>
      <c r="C89" s="28" t="s">
        <v>149</v>
      </c>
      <c r="D89" s="28" t="s">
        <v>61</v>
      </c>
      <c r="E89" s="28" t="s">
        <v>29</v>
      </c>
      <c r="F89" s="58">
        <v>3</v>
      </c>
      <c r="G89" s="59"/>
      <c r="H89" s="28">
        <v>200</v>
      </c>
      <c r="I89" s="58">
        <v>200</v>
      </c>
      <c r="J89" s="58"/>
      <c r="K89" s="59"/>
      <c r="L89" s="58">
        <v>200</v>
      </c>
      <c r="M89" s="59"/>
      <c r="N89" s="28">
        <v>200</v>
      </c>
      <c r="O89" s="28" t="s">
        <v>70</v>
      </c>
      <c r="P89">
        <v>200</v>
      </c>
      <c r="Q89">
        <f>200*0.22</f>
        <v>44</v>
      </c>
      <c r="R89">
        <v>0</v>
      </c>
    </row>
    <row r="90" spans="2:19" ht="24">
      <c r="B90" s="27">
        <v>2</v>
      </c>
      <c r="C90" s="28" t="s">
        <v>150</v>
      </c>
      <c r="D90" s="28" t="s">
        <v>61</v>
      </c>
      <c r="E90" s="28" t="s">
        <v>28</v>
      </c>
      <c r="F90" s="58">
        <v>3</v>
      </c>
      <c r="G90" s="59"/>
      <c r="H90" s="28">
        <v>200</v>
      </c>
      <c r="I90" s="58">
        <v>200</v>
      </c>
      <c r="J90" s="58"/>
      <c r="K90" s="59"/>
      <c r="L90" s="58">
        <v>200</v>
      </c>
      <c r="M90" s="59"/>
      <c r="N90" s="28">
        <v>200</v>
      </c>
      <c r="O90" s="28" t="s">
        <v>70</v>
      </c>
      <c r="P90">
        <v>200</v>
      </c>
      <c r="Q90">
        <f>200*0.22</f>
        <v>44</v>
      </c>
      <c r="R90">
        <v>0</v>
      </c>
    </row>
    <row r="91" spans="2:19">
      <c r="B91" s="29">
        <v>1</v>
      </c>
      <c r="C91" s="30" t="s">
        <v>64</v>
      </c>
      <c r="D91" s="30" t="s">
        <v>51</v>
      </c>
      <c r="E91" s="30" t="s">
        <v>30</v>
      </c>
      <c r="F91" s="60">
        <v>4</v>
      </c>
      <c r="G91" s="61"/>
      <c r="H91" s="30">
        <v>1065</v>
      </c>
      <c r="I91" s="60">
        <v>265</v>
      </c>
      <c r="J91" s="60"/>
      <c r="K91" s="61"/>
      <c r="L91" s="60">
        <v>700</v>
      </c>
      <c r="M91" s="61"/>
      <c r="N91" s="30">
        <v>700</v>
      </c>
      <c r="O91" s="30" t="s">
        <v>72</v>
      </c>
      <c r="P91">
        <v>100</v>
      </c>
      <c r="Q91">
        <f>100*0.26</f>
        <v>26</v>
      </c>
      <c r="R91">
        <f>(L92+L93+L94)*(0.26-0.22)</f>
        <v>24.000000000000004</v>
      </c>
    </row>
    <row r="92" spans="2:19">
      <c r="B92" s="29">
        <v>2</v>
      </c>
      <c r="C92" s="30" t="s">
        <v>65</v>
      </c>
      <c r="D92" s="30" t="s">
        <v>64</v>
      </c>
      <c r="E92" s="30" t="s">
        <v>28</v>
      </c>
      <c r="F92" s="60">
        <v>3</v>
      </c>
      <c r="G92" s="61"/>
      <c r="H92" s="30">
        <v>400</v>
      </c>
      <c r="I92" s="60">
        <v>400</v>
      </c>
      <c r="J92" s="60"/>
      <c r="K92" s="61"/>
      <c r="L92" s="60">
        <v>200</v>
      </c>
      <c r="M92" s="61"/>
      <c r="N92" s="30">
        <v>200</v>
      </c>
      <c r="O92" s="30" t="s">
        <v>70</v>
      </c>
      <c r="P92">
        <v>200</v>
      </c>
      <c r="Q92">
        <f>P92*0.22</f>
        <v>44</v>
      </c>
      <c r="R92">
        <v>0</v>
      </c>
    </row>
    <row r="93" spans="2:19">
      <c r="B93" s="29">
        <v>2</v>
      </c>
      <c r="C93" s="30" t="s">
        <v>147</v>
      </c>
      <c r="D93" s="30" t="s">
        <v>64</v>
      </c>
      <c r="E93" s="30" t="s">
        <v>29</v>
      </c>
      <c r="F93" s="60">
        <v>3</v>
      </c>
      <c r="G93" s="61"/>
      <c r="H93" s="30">
        <v>200</v>
      </c>
      <c r="I93" s="60">
        <v>200</v>
      </c>
      <c r="J93" s="60"/>
      <c r="K93" s="61"/>
      <c r="L93" s="60">
        <v>200</v>
      </c>
      <c r="M93" s="61"/>
      <c r="N93" s="30">
        <v>200</v>
      </c>
      <c r="O93" s="30" t="s">
        <v>70</v>
      </c>
      <c r="P93">
        <v>200</v>
      </c>
      <c r="Q93">
        <f t="shared" ref="Q93:Q94" si="1">P93*0.22</f>
        <v>44</v>
      </c>
      <c r="R93">
        <v>0</v>
      </c>
    </row>
    <row r="94" spans="2:19">
      <c r="B94" s="29">
        <v>2</v>
      </c>
      <c r="C94" s="30" t="s">
        <v>148</v>
      </c>
      <c r="D94" s="30" t="s">
        <v>64</v>
      </c>
      <c r="E94" s="30" t="s">
        <v>28</v>
      </c>
      <c r="F94" s="60">
        <v>3</v>
      </c>
      <c r="G94" s="61"/>
      <c r="H94" s="30">
        <v>200</v>
      </c>
      <c r="I94" s="60">
        <v>200</v>
      </c>
      <c r="J94" s="60"/>
      <c r="K94" s="61"/>
      <c r="L94" s="60">
        <v>200</v>
      </c>
      <c r="M94" s="61"/>
      <c r="N94" s="30">
        <v>200</v>
      </c>
      <c r="O94" s="30" t="s">
        <v>70</v>
      </c>
      <c r="P94">
        <v>200</v>
      </c>
      <c r="Q94">
        <f t="shared" si="1"/>
        <v>44</v>
      </c>
      <c r="R94">
        <v>0</v>
      </c>
    </row>
    <row r="95" spans="2:19">
      <c r="B95" s="19"/>
      <c r="C95" s="19"/>
      <c r="D95" s="19"/>
      <c r="E95" s="19"/>
      <c r="F95" s="62"/>
      <c r="G95" s="62"/>
      <c r="H95" s="19"/>
      <c r="I95" s="62"/>
      <c r="J95" s="62"/>
      <c r="K95" s="62"/>
      <c r="L95" s="62"/>
      <c r="M95" s="62"/>
      <c r="N95" s="19"/>
      <c r="O95" s="19"/>
    </row>
    <row r="96" spans="2:19">
      <c r="B96" s="63" t="s">
        <v>86</v>
      </c>
      <c r="C96" s="63"/>
      <c r="D96" s="63"/>
      <c r="E96" s="63"/>
      <c r="F96" s="63"/>
      <c r="G96" s="64" t="s">
        <v>46</v>
      </c>
      <c r="H96" s="64"/>
      <c r="I96" s="64"/>
      <c r="J96" s="11" t="s">
        <v>47</v>
      </c>
      <c r="K96" s="63" t="s">
        <v>46</v>
      </c>
      <c r="L96" s="63"/>
      <c r="M96" s="63"/>
      <c r="N96" s="63"/>
      <c r="O96" s="63"/>
    </row>
    <row r="97" spans="2:19">
      <c r="P97">
        <f>SUM(P55:P94)</f>
        <v>464650</v>
      </c>
      <c r="Q97">
        <f t="shared" ref="Q97:S97" si="2">SUM(Q55:Q94)</f>
        <v>190451</v>
      </c>
      <c r="R97">
        <f t="shared" si="2"/>
        <v>3819.9999999999982</v>
      </c>
      <c r="S97">
        <f t="shared" si="2"/>
        <v>5280</v>
      </c>
    </row>
    <row r="98" spans="2:19">
      <c r="B98" t="s">
        <v>207</v>
      </c>
    </row>
    <row r="99" spans="2:19">
      <c r="B99" t="s">
        <v>208</v>
      </c>
      <c r="Q99">
        <f>Q97+R97</f>
        <v>194271</v>
      </c>
      <c r="R99">
        <f>Q97+R97+S97</f>
        <v>199551</v>
      </c>
    </row>
    <row r="100" spans="2:19">
      <c r="B100" t="s">
        <v>88</v>
      </c>
    </row>
  </sheetData>
  <mergeCells count="276">
    <mergeCell ref="B96:F96"/>
    <mergeCell ref="G96:I96"/>
    <mergeCell ref="K96:L96"/>
    <mergeCell ref="M96:O96"/>
    <mergeCell ref="F94:G94"/>
    <mergeCell ref="I94:K94"/>
    <mergeCell ref="L94:M94"/>
    <mergeCell ref="F95:G95"/>
    <mergeCell ref="I95:K95"/>
    <mergeCell ref="L95:M95"/>
    <mergeCell ref="F92:G92"/>
    <mergeCell ref="I92:K92"/>
    <mergeCell ref="L92:M92"/>
    <mergeCell ref="F93:G93"/>
    <mergeCell ref="I93:K93"/>
    <mergeCell ref="L93:M93"/>
    <mergeCell ref="F90:G90"/>
    <mergeCell ref="I90:K90"/>
    <mergeCell ref="L90:M90"/>
    <mergeCell ref="F91:G91"/>
    <mergeCell ref="I91:K91"/>
    <mergeCell ref="L91:M91"/>
    <mergeCell ref="F88:G88"/>
    <mergeCell ref="I88:K88"/>
    <mergeCell ref="L88:M88"/>
    <mergeCell ref="F89:G89"/>
    <mergeCell ref="I89:K89"/>
    <mergeCell ref="L89:M89"/>
    <mergeCell ref="F86:G86"/>
    <mergeCell ref="I86:K86"/>
    <mergeCell ref="L86:M86"/>
    <mergeCell ref="F87:G87"/>
    <mergeCell ref="I87:K87"/>
    <mergeCell ref="L87:M87"/>
    <mergeCell ref="F84:G84"/>
    <mergeCell ref="I84:K84"/>
    <mergeCell ref="L84:M84"/>
    <mergeCell ref="F85:G85"/>
    <mergeCell ref="I85:K85"/>
    <mergeCell ref="L85:M85"/>
    <mergeCell ref="F82:G82"/>
    <mergeCell ref="I82:K82"/>
    <mergeCell ref="L82:M82"/>
    <mergeCell ref="F83:G83"/>
    <mergeCell ref="I83:K83"/>
    <mergeCell ref="L83:M83"/>
    <mergeCell ref="F80:G80"/>
    <mergeCell ref="I80:K80"/>
    <mergeCell ref="L80:M80"/>
    <mergeCell ref="F81:G81"/>
    <mergeCell ref="I81:K81"/>
    <mergeCell ref="L81:M81"/>
    <mergeCell ref="F78:G78"/>
    <mergeCell ref="I78:K78"/>
    <mergeCell ref="L78:M78"/>
    <mergeCell ref="F79:G79"/>
    <mergeCell ref="I79:K79"/>
    <mergeCell ref="L79:M79"/>
    <mergeCell ref="F76:G76"/>
    <mergeCell ref="I76:K76"/>
    <mergeCell ref="L76:M76"/>
    <mergeCell ref="F77:G77"/>
    <mergeCell ref="I77:K77"/>
    <mergeCell ref="L77:M77"/>
    <mergeCell ref="F74:G74"/>
    <mergeCell ref="I74:K74"/>
    <mergeCell ref="L74:M74"/>
    <mergeCell ref="F75:G75"/>
    <mergeCell ref="I75:K75"/>
    <mergeCell ref="L75:M75"/>
    <mergeCell ref="F72:G72"/>
    <mergeCell ref="I72:K72"/>
    <mergeCell ref="L72:M72"/>
    <mergeCell ref="F73:G73"/>
    <mergeCell ref="I73:K73"/>
    <mergeCell ref="L73:M73"/>
    <mergeCell ref="F70:G70"/>
    <mergeCell ref="I70:K70"/>
    <mergeCell ref="L70:M70"/>
    <mergeCell ref="F71:G71"/>
    <mergeCell ref="I71:K71"/>
    <mergeCell ref="L71:M71"/>
    <mergeCell ref="F68:G68"/>
    <mergeCell ref="I68:K68"/>
    <mergeCell ref="L68:M68"/>
    <mergeCell ref="F69:G69"/>
    <mergeCell ref="I69:K69"/>
    <mergeCell ref="L69:M69"/>
    <mergeCell ref="F66:G66"/>
    <mergeCell ref="I66:K66"/>
    <mergeCell ref="L66:M66"/>
    <mergeCell ref="F67:G67"/>
    <mergeCell ref="I67:K67"/>
    <mergeCell ref="L67:M67"/>
    <mergeCell ref="F64:G64"/>
    <mergeCell ref="I64:K64"/>
    <mergeCell ref="L64:M64"/>
    <mergeCell ref="F65:G65"/>
    <mergeCell ref="I65:K65"/>
    <mergeCell ref="L65:M65"/>
    <mergeCell ref="F62:G62"/>
    <mergeCell ref="I62:K62"/>
    <mergeCell ref="L62:M62"/>
    <mergeCell ref="F63:G63"/>
    <mergeCell ref="I63:K63"/>
    <mergeCell ref="L63:M63"/>
    <mergeCell ref="F60:G60"/>
    <mergeCell ref="I60:K60"/>
    <mergeCell ref="L60:M60"/>
    <mergeCell ref="F61:G61"/>
    <mergeCell ref="I61:K61"/>
    <mergeCell ref="L61:M61"/>
    <mergeCell ref="F58:G58"/>
    <mergeCell ref="I58:K58"/>
    <mergeCell ref="L58:M58"/>
    <mergeCell ref="F59:G59"/>
    <mergeCell ref="I59:K59"/>
    <mergeCell ref="L59:M59"/>
    <mergeCell ref="F56:G56"/>
    <mergeCell ref="I56:K56"/>
    <mergeCell ref="L56:M56"/>
    <mergeCell ref="F57:G57"/>
    <mergeCell ref="I57:K57"/>
    <mergeCell ref="L57:M57"/>
    <mergeCell ref="F54:G54"/>
    <mergeCell ref="I54:K54"/>
    <mergeCell ref="L54:M54"/>
    <mergeCell ref="F55:G55"/>
    <mergeCell ref="I55:K55"/>
    <mergeCell ref="L55:M55"/>
    <mergeCell ref="B50:O50"/>
    <mergeCell ref="B51:O51"/>
    <mergeCell ref="B52:D52"/>
    <mergeCell ref="E52:K52"/>
    <mergeCell ref="L52:O52"/>
    <mergeCell ref="F53:G53"/>
    <mergeCell ref="I53:K53"/>
    <mergeCell ref="L53:M53"/>
    <mergeCell ref="F21:G21"/>
    <mergeCell ref="I21:K21"/>
    <mergeCell ref="L21:M21"/>
    <mergeCell ref="F29:G29"/>
    <mergeCell ref="I29:K29"/>
    <mergeCell ref="L29:M29"/>
    <mergeCell ref="F46:G46"/>
    <mergeCell ref="I46:K46"/>
    <mergeCell ref="L46:M46"/>
    <mergeCell ref="B47:F47"/>
    <mergeCell ref="G47:I47"/>
    <mergeCell ref="K47:L47"/>
    <mergeCell ref="M47:O47"/>
    <mergeCell ref="F44:G44"/>
    <mergeCell ref="I44:K44"/>
    <mergeCell ref="L44:M44"/>
    <mergeCell ref="F45:G45"/>
    <mergeCell ref="I45:K45"/>
    <mergeCell ref="L45:M45"/>
    <mergeCell ref="F42:G42"/>
    <mergeCell ref="I42:K42"/>
    <mergeCell ref="L42:M42"/>
    <mergeCell ref="F43:G43"/>
    <mergeCell ref="I43:K43"/>
    <mergeCell ref="L43:M43"/>
    <mergeCell ref="F40:G40"/>
    <mergeCell ref="I40:K40"/>
    <mergeCell ref="L40:M40"/>
    <mergeCell ref="F41:G41"/>
    <mergeCell ref="I41:K41"/>
    <mergeCell ref="L41:M41"/>
    <mergeCell ref="F38:G38"/>
    <mergeCell ref="I38:K38"/>
    <mergeCell ref="L38:M38"/>
    <mergeCell ref="F39:G39"/>
    <mergeCell ref="I39:K39"/>
    <mergeCell ref="L39:M39"/>
    <mergeCell ref="F36:G36"/>
    <mergeCell ref="I36:K36"/>
    <mergeCell ref="L36:M36"/>
    <mergeCell ref="F37:G37"/>
    <mergeCell ref="I37:K37"/>
    <mergeCell ref="L37:M37"/>
    <mergeCell ref="F34:G34"/>
    <mergeCell ref="I34:K34"/>
    <mergeCell ref="L34:M34"/>
    <mergeCell ref="F35:G35"/>
    <mergeCell ref="I35:K35"/>
    <mergeCell ref="L35:M35"/>
    <mergeCell ref="F32:G32"/>
    <mergeCell ref="I32:K32"/>
    <mergeCell ref="L32:M32"/>
    <mergeCell ref="F33:G33"/>
    <mergeCell ref="I33:K33"/>
    <mergeCell ref="L33:M33"/>
    <mergeCell ref="F28:G28"/>
    <mergeCell ref="I28:K28"/>
    <mergeCell ref="L28:M28"/>
    <mergeCell ref="F31:G31"/>
    <mergeCell ref="I31:K31"/>
    <mergeCell ref="L31:M31"/>
    <mergeCell ref="F30:G30"/>
    <mergeCell ref="I30:K30"/>
    <mergeCell ref="L30:M30"/>
    <mergeCell ref="F26:G26"/>
    <mergeCell ref="I26:K26"/>
    <mergeCell ref="L26:M26"/>
    <mergeCell ref="F27:G27"/>
    <mergeCell ref="I27:K27"/>
    <mergeCell ref="L27:M27"/>
    <mergeCell ref="F24:G24"/>
    <mergeCell ref="I24:K24"/>
    <mergeCell ref="L24:M24"/>
    <mergeCell ref="F25:G25"/>
    <mergeCell ref="I25:K25"/>
    <mergeCell ref="L25:M25"/>
    <mergeCell ref="F22:G22"/>
    <mergeCell ref="I22:K22"/>
    <mergeCell ref="L22:M22"/>
    <mergeCell ref="F23:G23"/>
    <mergeCell ref="I23:K23"/>
    <mergeCell ref="L23:M23"/>
    <mergeCell ref="F19:G19"/>
    <mergeCell ref="I19:K19"/>
    <mergeCell ref="L19:M19"/>
    <mergeCell ref="F20:G20"/>
    <mergeCell ref="I20:K20"/>
    <mergeCell ref="L20:M20"/>
    <mergeCell ref="F17:G17"/>
    <mergeCell ref="I17:K17"/>
    <mergeCell ref="L17:M17"/>
    <mergeCell ref="F18:G18"/>
    <mergeCell ref="I18:K18"/>
    <mergeCell ref="L18:M18"/>
    <mergeCell ref="F15:G15"/>
    <mergeCell ref="I15:K15"/>
    <mergeCell ref="L15:M15"/>
    <mergeCell ref="F16:G16"/>
    <mergeCell ref="I16:K16"/>
    <mergeCell ref="L16:M16"/>
    <mergeCell ref="F13:G13"/>
    <mergeCell ref="I13:K13"/>
    <mergeCell ref="L13:M13"/>
    <mergeCell ref="F14:G14"/>
    <mergeCell ref="I14:K14"/>
    <mergeCell ref="L14:M14"/>
    <mergeCell ref="F11:G11"/>
    <mergeCell ref="I11:K11"/>
    <mergeCell ref="L11:M11"/>
    <mergeCell ref="F12:G12"/>
    <mergeCell ref="I12:K12"/>
    <mergeCell ref="L12:M12"/>
    <mergeCell ref="F9:G9"/>
    <mergeCell ref="I9:K9"/>
    <mergeCell ref="L9:M9"/>
    <mergeCell ref="F10:G10"/>
    <mergeCell ref="I10:K10"/>
    <mergeCell ref="L10:M10"/>
    <mergeCell ref="F7:G7"/>
    <mergeCell ref="I7:K7"/>
    <mergeCell ref="L7:M7"/>
    <mergeCell ref="F8:G8"/>
    <mergeCell ref="I8:K8"/>
    <mergeCell ref="L8:M8"/>
    <mergeCell ref="F5:G5"/>
    <mergeCell ref="I5:K5"/>
    <mergeCell ref="L5:M5"/>
    <mergeCell ref="F6:G6"/>
    <mergeCell ref="I6:K6"/>
    <mergeCell ref="L6:M6"/>
    <mergeCell ref="B1:O1"/>
    <mergeCell ref="B2:O2"/>
    <mergeCell ref="B3:D3"/>
    <mergeCell ref="E3:K3"/>
    <mergeCell ref="L3:O3"/>
    <mergeCell ref="F4:G4"/>
    <mergeCell ref="I4:K4"/>
    <mergeCell ref="L4:M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abSelected="1" topLeftCell="D52" workbookViewId="0">
      <selection activeCell="S55" sqref="S55"/>
    </sheetView>
  </sheetViews>
  <sheetFormatPr defaultRowHeight="13.5"/>
  <cols>
    <col min="3" max="4" width="13.375" customWidth="1"/>
    <col min="5" max="5" width="9" customWidth="1"/>
    <col min="11" max="11" width="3.875" customWidth="1"/>
    <col min="18" max="18" width="9" customWidth="1"/>
  </cols>
  <sheetData>
    <row r="1" spans="1:16" ht="54.75" customHeight="1">
      <c r="B1" s="46" t="s">
        <v>80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6" ht="18.75">
      <c r="B2" s="47" t="s">
        <v>81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6" ht="14.25">
      <c r="B3" s="48" t="s">
        <v>36</v>
      </c>
      <c r="C3" s="48"/>
      <c r="D3" s="48"/>
      <c r="E3" s="49" t="s">
        <v>145</v>
      </c>
      <c r="F3" s="49"/>
      <c r="G3" s="49"/>
      <c r="H3" s="49"/>
      <c r="I3" s="49"/>
      <c r="J3" s="49"/>
      <c r="K3" s="49"/>
      <c r="L3" s="50" t="s">
        <v>213</v>
      </c>
      <c r="M3" s="50"/>
      <c r="N3" s="50"/>
      <c r="O3" s="50"/>
    </row>
    <row r="4" spans="1:16" ht="28.5">
      <c r="B4" s="10" t="s">
        <v>37</v>
      </c>
      <c r="C4" s="32" t="s">
        <v>38</v>
      </c>
      <c r="D4" s="32" t="s">
        <v>39</v>
      </c>
      <c r="E4" s="32" t="s">
        <v>40</v>
      </c>
      <c r="F4" s="51" t="s">
        <v>41</v>
      </c>
      <c r="G4" s="52"/>
      <c r="H4" s="12" t="s">
        <v>48</v>
      </c>
      <c r="I4" s="53" t="s">
        <v>49</v>
      </c>
      <c r="J4" s="51"/>
      <c r="K4" s="52"/>
      <c r="L4" s="51" t="s">
        <v>42</v>
      </c>
      <c r="M4" s="52"/>
      <c r="N4" s="32" t="s">
        <v>50</v>
      </c>
      <c r="O4" s="32" t="s">
        <v>43</v>
      </c>
    </row>
    <row r="5" spans="1:16" ht="170.25" customHeight="1">
      <c r="B5" s="15" t="s">
        <v>74</v>
      </c>
      <c r="C5" s="16" t="s">
        <v>75</v>
      </c>
      <c r="D5" s="16" t="s">
        <v>76</v>
      </c>
      <c r="E5" s="16" t="s">
        <v>82</v>
      </c>
      <c r="F5" s="39" t="s">
        <v>83</v>
      </c>
      <c r="G5" s="40"/>
      <c r="H5" s="16" t="s">
        <v>77</v>
      </c>
      <c r="I5" s="41" t="s">
        <v>73</v>
      </c>
      <c r="J5" s="42"/>
      <c r="K5" s="43"/>
      <c r="L5" s="39" t="s">
        <v>78</v>
      </c>
      <c r="M5" s="40"/>
      <c r="N5" s="17" t="s">
        <v>84</v>
      </c>
      <c r="O5" s="16" t="s">
        <v>79</v>
      </c>
    </row>
    <row r="6" spans="1:16">
      <c r="A6">
        <v>1</v>
      </c>
      <c r="B6" s="14">
        <v>0</v>
      </c>
      <c r="C6" s="31" t="s">
        <v>51</v>
      </c>
      <c r="D6" s="31" t="s">
        <v>44</v>
      </c>
      <c r="E6" s="31" t="s">
        <v>27</v>
      </c>
      <c r="F6" s="44">
        <v>6</v>
      </c>
      <c r="G6" s="45"/>
      <c r="H6" s="20">
        <f>H7+H31+H37+H42+I6</f>
        <v>485855</v>
      </c>
      <c r="I6" s="44">
        <v>300</v>
      </c>
      <c r="J6" s="44"/>
      <c r="K6" s="45"/>
      <c r="L6" s="44">
        <f>L7+L31+L37+L42+100</f>
        <v>464650</v>
      </c>
      <c r="M6" s="45"/>
      <c r="N6" s="13">
        <f>L6-L7</f>
        <v>15520</v>
      </c>
      <c r="O6" s="31" t="s">
        <v>72</v>
      </c>
      <c r="P6" t="s">
        <v>212</v>
      </c>
    </row>
    <row r="7" spans="1:16">
      <c r="A7">
        <v>2</v>
      </c>
      <c r="B7" s="22">
        <v>1</v>
      </c>
      <c r="C7" s="33" t="s">
        <v>52</v>
      </c>
      <c r="D7" s="33" t="s">
        <v>51</v>
      </c>
      <c r="E7" s="33" t="s">
        <v>27</v>
      </c>
      <c r="F7" s="54">
        <v>7</v>
      </c>
      <c r="G7" s="55"/>
      <c r="H7" s="33">
        <f>H8+H11+H17+H19+H22+H24+H27+I7</f>
        <v>451480</v>
      </c>
      <c r="I7" s="54">
        <v>350</v>
      </c>
      <c r="J7" s="54"/>
      <c r="K7" s="55"/>
      <c r="L7" s="54">
        <f>L8+L11+L17+L19+L22+L24+L27+200</f>
        <v>449130</v>
      </c>
      <c r="M7" s="55"/>
      <c r="N7" s="33">
        <f>L7-L20-L30</f>
        <v>23130</v>
      </c>
      <c r="O7" s="33" t="s">
        <v>70</v>
      </c>
      <c r="P7" t="s">
        <v>211</v>
      </c>
    </row>
    <row r="8" spans="1:16">
      <c r="A8">
        <v>3</v>
      </c>
      <c r="B8" s="22">
        <v>2</v>
      </c>
      <c r="C8" s="33" t="s">
        <v>53</v>
      </c>
      <c r="D8" s="33" t="s">
        <v>52</v>
      </c>
      <c r="E8" s="33" t="s">
        <v>31</v>
      </c>
      <c r="F8" s="54">
        <v>3</v>
      </c>
      <c r="G8" s="55"/>
      <c r="H8" s="33">
        <v>1550</v>
      </c>
      <c r="I8" s="54">
        <v>50</v>
      </c>
      <c r="J8" s="54"/>
      <c r="K8" s="55"/>
      <c r="L8" s="54">
        <v>1550</v>
      </c>
      <c r="M8" s="55"/>
      <c r="N8" s="33">
        <v>50</v>
      </c>
      <c r="O8" s="33" t="s">
        <v>166</v>
      </c>
      <c r="P8" t="s">
        <v>185</v>
      </c>
    </row>
    <row r="9" spans="1:16">
      <c r="A9">
        <v>4</v>
      </c>
      <c r="B9" s="22">
        <v>3</v>
      </c>
      <c r="C9" s="33" t="s">
        <v>177</v>
      </c>
      <c r="D9" s="33" t="s">
        <v>53</v>
      </c>
      <c r="E9" s="33" t="s">
        <v>28</v>
      </c>
      <c r="F9" s="54">
        <v>4</v>
      </c>
      <c r="G9" s="55"/>
      <c r="H9" s="33">
        <v>1500</v>
      </c>
      <c r="I9" s="54">
        <v>1000</v>
      </c>
      <c r="J9" s="54"/>
      <c r="K9" s="55"/>
      <c r="L9" s="54">
        <v>1500</v>
      </c>
      <c r="M9" s="55"/>
      <c r="N9" s="33">
        <v>1500</v>
      </c>
      <c r="O9" s="33" t="s">
        <v>162</v>
      </c>
    </row>
    <row r="10" spans="1:16">
      <c r="A10">
        <v>5</v>
      </c>
      <c r="B10" s="22">
        <v>4</v>
      </c>
      <c r="C10" s="33" t="s">
        <v>176</v>
      </c>
      <c r="D10" s="33" t="s">
        <v>177</v>
      </c>
      <c r="E10" s="33" t="s">
        <v>28</v>
      </c>
      <c r="F10" s="54">
        <v>3</v>
      </c>
      <c r="G10" s="55"/>
      <c r="H10" s="33">
        <v>500</v>
      </c>
      <c r="I10" s="54">
        <v>500</v>
      </c>
      <c r="J10" s="54"/>
      <c r="K10" s="55"/>
      <c r="L10" s="54">
        <v>500</v>
      </c>
      <c r="M10" s="55"/>
      <c r="N10" s="33">
        <v>500</v>
      </c>
      <c r="O10" s="33" t="s">
        <v>164</v>
      </c>
    </row>
    <row r="11" spans="1:16">
      <c r="A11">
        <v>6</v>
      </c>
      <c r="B11" s="22">
        <v>2</v>
      </c>
      <c r="C11" s="33" t="s">
        <v>54</v>
      </c>
      <c r="D11" s="33" t="s">
        <v>51</v>
      </c>
      <c r="E11" s="33" t="s">
        <v>67</v>
      </c>
      <c r="F11" s="54">
        <v>3</v>
      </c>
      <c r="G11" s="55"/>
      <c r="H11" s="33">
        <v>1700</v>
      </c>
      <c r="I11" s="54">
        <v>600</v>
      </c>
      <c r="J11" s="54"/>
      <c r="K11" s="55"/>
      <c r="L11" s="54">
        <v>1400</v>
      </c>
      <c r="M11" s="55"/>
      <c r="N11" s="33">
        <v>300</v>
      </c>
      <c r="O11" s="33" t="s">
        <v>85</v>
      </c>
      <c r="P11" t="s">
        <v>186</v>
      </c>
    </row>
    <row r="12" spans="1:16">
      <c r="A12">
        <v>7</v>
      </c>
      <c r="B12" s="22">
        <v>3</v>
      </c>
      <c r="C12" s="33" t="s">
        <v>173</v>
      </c>
      <c r="D12" s="33" t="s">
        <v>54</v>
      </c>
      <c r="E12" s="33" t="s">
        <v>28</v>
      </c>
      <c r="F12" s="54">
        <v>3</v>
      </c>
      <c r="G12" s="55"/>
      <c r="H12" s="33">
        <v>500</v>
      </c>
      <c r="I12" s="54">
        <v>300</v>
      </c>
      <c r="J12" s="54"/>
      <c r="K12" s="55"/>
      <c r="L12" s="54">
        <v>500</v>
      </c>
      <c r="M12" s="55"/>
      <c r="N12" s="33">
        <v>300</v>
      </c>
      <c r="O12" s="33" t="s">
        <v>85</v>
      </c>
    </row>
    <row r="13" spans="1:16">
      <c r="A13">
        <v>8</v>
      </c>
      <c r="B13" s="22">
        <v>4</v>
      </c>
      <c r="C13" s="33" t="s">
        <v>174</v>
      </c>
      <c r="D13" s="33" t="s">
        <v>173</v>
      </c>
      <c r="E13" s="33" t="s">
        <v>29</v>
      </c>
      <c r="F13" s="54">
        <v>3</v>
      </c>
      <c r="G13" s="55"/>
      <c r="H13" s="33">
        <v>200</v>
      </c>
      <c r="I13" s="54">
        <v>200</v>
      </c>
      <c r="J13" s="54"/>
      <c r="K13" s="55"/>
      <c r="L13" s="54">
        <v>200</v>
      </c>
      <c r="M13" s="55"/>
      <c r="N13" s="33">
        <v>200</v>
      </c>
      <c r="O13" s="33" t="s">
        <v>70</v>
      </c>
    </row>
    <row r="14" spans="1:16">
      <c r="A14">
        <v>9</v>
      </c>
      <c r="B14" s="22">
        <v>3</v>
      </c>
      <c r="C14" s="33" t="s">
        <v>172</v>
      </c>
      <c r="D14" s="33" t="s">
        <v>54</v>
      </c>
      <c r="E14" s="33" t="s">
        <v>30</v>
      </c>
      <c r="F14" s="54">
        <v>3</v>
      </c>
      <c r="G14" s="55"/>
      <c r="H14" s="33">
        <v>600</v>
      </c>
      <c r="I14" s="54">
        <v>200</v>
      </c>
      <c r="J14" s="54"/>
      <c r="K14" s="55"/>
      <c r="L14" s="54">
        <v>600</v>
      </c>
      <c r="M14" s="55"/>
      <c r="N14" s="33">
        <v>200</v>
      </c>
      <c r="O14" s="33" t="s">
        <v>70</v>
      </c>
      <c r="P14" t="s">
        <v>184</v>
      </c>
    </row>
    <row r="15" spans="1:16">
      <c r="A15">
        <v>10</v>
      </c>
      <c r="B15" s="22">
        <v>4</v>
      </c>
      <c r="C15" s="33" t="s">
        <v>175</v>
      </c>
      <c r="D15" s="33" t="s">
        <v>172</v>
      </c>
      <c r="E15" s="33" t="s">
        <v>31</v>
      </c>
      <c r="F15" s="54">
        <v>3</v>
      </c>
      <c r="G15" s="55"/>
      <c r="H15" s="33">
        <v>200</v>
      </c>
      <c r="I15" s="54">
        <v>200</v>
      </c>
      <c r="J15" s="54"/>
      <c r="K15" s="55"/>
      <c r="L15" s="54">
        <v>200</v>
      </c>
      <c r="M15" s="55"/>
      <c r="N15" s="33">
        <v>200</v>
      </c>
      <c r="O15" s="33" t="s">
        <v>70</v>
      </c>
    </row>
    <row r="16" spans="1:16">
      <c r="A16">
        <v>11</v>
      </c>
      <c r="B16" s="22">
        <v>4</v>
      </c>
      <c r="C16" s="33" t="s">
        <v>171</v>
      </c>
      <c r="D16" s="33" t="s">
        <v>172</v>
      </c>
      <c r="E16" s="33" t="s">
        <v>67</v>
      </c>
      <c r="F16" s="54">
        <v>3</v>
      </c>
      <c r="G16" s="55"/>
      <c r="H16" s="33">
        <v>200</v>
      </c>
      <c r="I16" s="54">
        <v>200</v>
      </c>
      <c r="J16" s="54"/>
      <c r="K16" s="55"/>
      <c r="L16" s="54">
        <v>200</v>
      </c>
      <c r="M16" s="55"/>
      <c r="N16" s="33">
        <v>200</v>
      </c>
      <c r="O16" s="33" t="s">
        <v>70</v>
      </c>
    </row>
    <row r="17" spans="1:16">
      <c r="A17">
        <v>12</v>
      </c>
      <c r="B17" s="22">
        <v>2</v>
      </c>
      <c r="C17" s="33" t="s">
        <v>55</v>
      </c>
      <c r="D17" s="33" t="s">
        <v>52</v>
      </c>
      <c r="E17" s="33" t="s">
        <v>69</v>
      </c>
      <c r="F17" s="54">
        <v>3</v>
      </c>
      <c r="G17" s="55"/>
      <c r="H17" s="33">
        <v>2200</v>
      </c>
      <c r="I17" s="54">
        <v>200</v>
      </c>
      <c r="J17" s="54"/>
      <c r="K17" s="55"/>
      <c r="L17" s="54">
        <v>2100</v>
      </c>
      <c r="M17" s="55"/>
      <c r="N17" s="33">
        <v>100</v>
      </c>
      <c r="O17" s="33" t="s">
        <v>72</v>
      </c>
    </row>
    <row r="18" spans="1:16">
      <c r="A18">
        <v>13</v>
      </c>
      <c r="B18" s="22">
        <v>3</v>
      </c>
      <c r="C18" s="33" t="s">
        <v>170</v>
      </c>
      <c r="D18" s="33" t="s">
        <v>55</v>
      </c>
      <c r="E18" s="33" t="s">
        <v>69</v>
      </c>
      <c r="F18" s="54">
        <v>4</v>
      </c>
      <c r="G18" s="55"/>
      <c r="H18" s="33">
        <v>2000</v>
      </c>
      <c r="I18" s="54">
        <v>2000</v>
      </c>
      <c r="J18" s="54"/>
      <c r="K18" s="55"/>
      <c r="L18" s="54">
        <v>2000</v>
      </c>
      <c r="M18" s="55"/>
      <c r="N18" s="33">
        <v>2000</v>
      </c>
      <c r="O18" s="33" t="s">
        <v>161</v>
      </c>
    </row>
    <row r="19" spans="1:16">
      <c r="A19">
        <v>14</v>
      </c>
      <c r="B19" s="22">
        <v>2</v>
      </c>
      <c r="C19" s="33" t="s">
        <v>56</v>
      </c>
      <c r="D19" s="33" t="s">
        <v>52</v>
      </c>
      <c r="E19" s="33" t="s">
        <v>66</v>
      </c>
      <c r="F19" s="54">
        <v>4</v>
      </c>
      <c r="G19" s="55"/>
      <c r="H19" s="33">
        <v>354000</v>
      </c>
      <c r="I19" s="54">
        <v>1000</v>
      </c>
      <c r="J19" s="54"/>
      <c r="K19" s="55"/>
      <c r="L19" s="54">
        <v>353200</v>
      </c>
      <c r="M19" s="55"/>
      <c r="N19" s="33">
        <v>200</v>
      </c>
      <c r="O19" s="33" t="s">
        <v>70</v>
      </c>
      <c r="P19" t="s">
        <v>206</v>
      </c>
    </row>
    <row r="20" spans="1:16" ht="24">
      <c r="A20">
        <v>15</v>
      </c>
      <c r="B20" s="22">
        <v>3</v>
      </c>
      <c r="C20" s="33" t="s">
        <v>160</v>
      </c>
      <c r="D20" s="33" t="s">
        <v>56</v>
      </c>
      <c r="E20" s="33" t="s">
        <v>66</v>
      </c>
      <c r="F20" s="54">
        <v>8</v>
      </c>
      <c r="G20" s="55"/>
      <c r="H20" s="33">
        <v>353000</v>
      </c>
      <c r="I20" s="54">
        <v>280000</v>
      </c>
      <c r="J20" s="54"/>
      <c r="K20" s="55"/>
      <c r="L20" s="54">
        <f>280000+73000</f>
        <v>353000</v>
      </c>
      <c r="M20" s="55"/>
      <c r="N20" s="33">
        <v>353000</v>
      </c>
      <c r="O20" s="33" t="s">
        <v>169</v>
      </c>
    </row>
    <row r="21" spans="1:16" ht="24">
      <c r="A21">
        <v>16</v>
      </c>
      <c r="B21" s="22">
        <v>4</v>
      </c>
      <c r="C21" s="33" t="s">
        <v>197</v>
      </c>
      <c r="D21" s="33" t="s">
        <v>160</v>
      </c>
      <c r="E21" s="33" t="s">
        <v>66</v>
      </c>
      <c r="F21" s="54">
        <v>7</v>
      </c>
      <c r="G21" s="55"/>
      <c r="H21" s="33">
        <v>73000</v>
      </c>
      <c r="I21" s="54">
        <v>73000</v>
      </c>
      <c r="J21" s="54"/>
      <c r="K21" s="55"/>
      <c r="L21" s="54">
        <v>73000</v>
      </c>
      <c r="M21" s="55"/>
      <c r="N21" s="33">
        <v>73000</v>
      </c>
      <c r="O21" s="33" t="s">
        <v>194</v>
      </c>
    </row>
    <row r="22" spans="1:16">
      <c r="A22">
        <v>17</v>
      </c>
      <c r="B22" s="22">
        <v>2</v>
      </c>
      <c r="C22" s="33" t="s">
        <v>57</v>
      </c>
      <c r="D22" s="33" t="s">
        <v>52</v>
      </c>
      <c r="E22" s="33" t="s">
        <v>68</v>
      </c>
      <c r="F22" s="54">
        <v>4</v>
      </c>
      <c r="G22" s="55"/>
      <c r="H22" s="33">
        <v>2200</v>
      </c>
      <c r="I22" s="54">
        <v>1200</v>
      </c>
      <c r="J22" s="54"/>
      <c r="K22" s="55"/>
      <c r="L22" s="54">
        <v>1200</v>
      </c>
      <c r="M22" s="55"/>
      <c r="N22" s="33">
        <v>200</v>
      </c>
      <c r="O22" s="33" t="s">
        <v>70</v>
      </c>
      <c r="P22" t="s">
        <v>183</v>
      </c>
    </row>
    <row r="23" spans="1:16">
      <c r="A23">
        <v>18</v>
      </c>
      <c r="B23" s="22">
        <v>3</v>
      </c>
      <c r="C23" s="33" t="s">
        <v>159</v>
      </c>
      <c r="D23" s="33" t="s">
        <v>57</v>
      </c>
      <c r="E23" s="33" t="s">
        <v>35</v>
      </c>
      <c r="F23" s="54">
        <v>4</v>
      </c>
      <c r="G23" s="55"/>
      <c r="H23" s="33">
        <v>1000</v>
      </c>
      <c r="I23" s="54">
        <v>1000</v>
      </c>
      <c r="J23" s="54"/>
      <c r="K23" s="55"/>
      <c r="L23" s="54">
        <v>1000</v>
      </c>
      <c r="M23" s="55"/>
      <c r="N23" s="33">
        <v>1000</v>
      </c>
      <c r="O23" s="33" t="s">
        <v>45</v>
      </c>
    </row>
    <row r="24" spans="1:16">
      <c r="A24">
        <v>19</v>
      </c>
      <c r="B24" s="22">
        <v>2</v>
      </c>
      <c r="C24" s="33" t="s">
        <v>156</v>
      </c>
      <c r="D24" s="33" t="s">
        <v>52</v>
      </c>
      <c r="E24" s="33" t="s">
        <v>31</v>
      </c>
      <c r="F24" s="54">
        <v>1</v>
      </c>
      <c r="G24" s="55"/>
      <c r="H24" s="33">
        <v>80</v>
      </c>
      <c r="I24" s="54">
        <v>20</v>
      </c>
      <c r="J24" s="54"/>
      <c r="K24" s="55"/>
      <c r="L24" s="54">
        <v>80</v>
      </c>
      <c r="M24" s="55"/>
      <c r="N24" s="33">
        <v>20</v>
      </c>
      <c r="O24" s="33" t="s">
        <v>168</v>
      </c>
    </row>
    <row r="25" spans="1:16">
      <c r="A25">
        <v>20</v>
      </c>
      <c r="B25" s="22">
        <v>3</v>
      </c>
      <c r="C25" s="33" t="s">
        <v>157</v>
      </c>
      <c r="D25" s="33" t="s">
        <v>156</v>
      </c>
      <c r="E25" s="33" t="s">
        <v>30</v>
      </c>
      <c r="F25" s="54">
        <v>1</v>
      </c>
      <c r="G25" s="55"/>
      <c r="H25" s="33">
        <v>10</v>
      </c>
      <c r="I25" s="54">
        <v>10</v>
      </c>
      <c r="J25" s="54"/>
      <c r="K25" s="55"/>
      <c r="L25" s="54">
        <v>10</v>
      </c>
      <c r="M25" s="55"/>
      <c r="N25" s="33">
        <v>10</v>
      </c>
      <c r="O25" s="24" t="s">
        <v>167</v>
      </c>
    </row>
    <row r="26" spans="1:16">
      <c r="A26">
        <v>21</v>
      </c>
      <c r="B26" s="22">
        <v>3</v>
      </c>
      <c r="C26" s="33" t="s">
        <v>158</v>
      </c>
      <c r="D26" s="33" t="s">
        <v>156</v>
      </c>
      <c r="E26" s="33" t="s">
        <v>29</v>
      </c>
      <c r="F26" s="54">
        <v>1</v>
      </c>
      <c r="G26" s="55"/>
      <c r="H26" s="33">
        <v>50</v>
      </c>
      <c r="I26" s="54">
        <v>50</v>
      </c>
      <c r="J26" s="54"/>
      <c r="K26" s="55"/>
      <c r="L26" s="54">
        <v>50</v>
      </c>
      <c r="M26" s="55"/>
      <c r="N26" s="33">
        <v>50</v>
      </c>
      <c r="O26" s="33" t="s">
        <v>166</v>
      </c>
    </row>
    <row r="27" spans="1:16">
      <c r="A27">
        <v>22</v>
      </c>
      <c r="B27" s="22">
        <v>2</v>
      </c>
      <c r="C27" s="33" t="s">
        <v>154</v>
      </c>
      <c r="D27" s="33" t="s">
        <v>52</v>
      </c>
      <c r="E27" s="33" t="s">
        <v>28</v>
      </c>
      <c r="F27" s="54">
        <v>3</v>
      </c>
      <c r="G27" s="55"/>
      <c r="H27" s="33">
        <v>89400</v>
      </c>
      <c r="I27" s="54">
        <v>100</v>
      </c>
      <c r="J27" s="54"/>
      <c r="K27" s="55"/>
      <c r="L27" s="54">
        <v>89400</v>
      </c>
      <c r="M27" s="55"/>
      <c r="N27" s="33">
        <v>100</v>
      </c>
      <c r="O27" s="33" t="s">
        <v>72</v>
      </c>
      <c r="P27" t="s">
        <v>182</v>
      </c>
    </row>
    <row r="28" spans="1:16">
      <c r="A28">
        <v>23</v>
      </c>
      <c r="B28" s="22">
        <v>3</v>
      </c>
      <c r="C28" s="33" t="s">
        <v>155</v>
      </c>
      <c r="D28" s="33" t="s">
        <v>154</v>
      </c>
      <c r="E28" s="33" t="s">
        <v>28</v>
      </c>
      <c r="F28" s="54">
        <v>3</v>
      </c>
      <c r="G28" s="55"/>
      <c r="H28" s="33">
        <v>89300</v>
      </c>
      <c r="I28" s="54">
        <v>300</v>
      </c>
      <c r="J28" s="54"/>
      <c r="K28" s="55"/>
      <c r="L28" s="54">
        <v>89300</v>
      </c>
      <c r="M28" s="55"/>
      <c r="N28" s="33">
        <v>300</v>
      </c>
      <c r="O28" s="33" t="s">
        <v>85</v>
      </c>
    </row>
    <row r="29" spans="1:16" ht="24">
      <c r="A29">
        <v>24</v>
      </c>
      <c r="B29" s="22">
        <v>4</v>
      </c>
      <c r="C29" s="33" t="s">
        <v>199</v>
      </c>
      <c r="D29" s="33" t="s">
        <v>155</v>
      </c>
      <c r="E29" s="33" t="s">
        <v>28</v>
      </c>
      <c r="F29" s="54">
        <v>6</v>
      </c>
      <c r="G29" s="55"/>
      <c r="H29" s="33">
        <v>89000</v>
      </c>
      <c r="I29" s="54">
        <v>16000</v>
      </c>
      <c r="J29" s="54"/>
      <c r="K29" s="55"/>
      <c r="L29" s="54">
        <v>89000</v>
      </c>
      <c r="M29" s="55"/>
      <c r="N29" s="33">
        <v>16000</v>
      </c>
      <c r="O29" s="33" t="s">
        <v>195</v>
      </c>
    </row>
    <row r="30" spans="1:16" ht="24">
      <c r="A30">
        <v>25</v>
      </c>
      <c r="B30" s="22">
        <v>5</v>
      </c>
      <c r="C30" s="33" t="s">
        <v>196</v>
      </c>
      <c r="D30" s="33" t="s">
        <v>199</v>
      </c>
      <c r="E30" s="33" t="s">
        <v>28</v>
      </c>
      <c r="F30" s="54">
        <v>7</v>
      </c>
      <c r="G30" s="55"/>
      <c r="H30" s="33">
        <v>73000</v>
      </c>
      <c r="I30" s="54">
        <v>73000</v>
      </c>
      <c r="J30" s="54"/>
      <c r="K30" s="55"/>
      <c r="L30" s="54">
        <v>73000</v>
      </c>
      <c r="M30" s="55"/>
      <c r="N30" s="33">
        <v>73000</v>
      </c>
      <c r="O30" s="33" t="s">
        <v>194</v>
      </c>
    </row>
    <row r="31" spans="1:16">
      <c r="A31">
        <v>26</v>
      </c>
      <c r="B31" s="25">
        <v>1</v>
      </c>
      <c r="C31" s="34" t="s">
        <v>58</v>
      </c>
      <c r="D31" s="34" t="s">
        <v>51</v>
      </c>
      <c r="E31" s="34" t="s">
        <v>28</v>
      </c>
      <c r="F31" s="56">
        <v>5</v>
      </c>
      <c r="G31" s="57"/>
      <c r="H31" s="34">
        <f>H32+H34+H36+I31</f>
        <v>12740</v>
      </c>
      <c r="I31" s="56">
        <v>440</v>
      </c>
      <c r="J31" s="56"/>
      <c r="K31" s="57"/>
      <c r="L31" s="56">
        <v>5120</v>
      </c>
      <c r="M31" s="57"/>
      <c r="N31" s="34">
        <v>1120</v>
      </c>
      <c r="O31" s="34" t="s">
        <v>165</v>
      </c>
      <c r="P31" t="s">
        <v>205</v>
      </c>
    </row>
    <row r="32" spans="1:16">
      <c r="A32">
        <v>27</v>
      </c>
      <c r="B32" s="25">
        <v>2</v>
      </c>
      <c r="C32" s="34" t="s">
        <v>59</v>
      </c>
      <c r="D32" s="34" t="s">
        <v>58</v>
      </c>
      <c r="E32" s="34" t="s">
        <v>31</v>
      </c>
      <c r="F32" s="56">
        <v>4</v>
      </c>
      <c r="G32" s="57"/>
      <c r="H32" s="34">
        <v>3900</v>
      </c>
      <c r="I32" s="56">
        <v>3400</v>
      </c>
      <c r="J32" s="56"/>
      <c r="K32" s="57"/>
      <c r="L32" s="56">
        <v>700</v>
      </c>
      <c r="M32" s="57"/>
      <c r="N32" s="34">
        <v>700</v>
      </c>
      <c r="O32" s="34" t="s">
        <v>70</v>
      </c>
      <c r="P32" t="s">
        <v>204</v>
      </c>
    </row>
    <row r="33" spans="1:16">
      <c r="A33">
        <v>28</v>
      </c>
      <c r="B33" s="25">
        <v>3</v>
      </c>
      <c r="C33" s="34" t="s">
        <v>153</v>
      </c>
      <c r="D33" s="34" t="s">
        <v>59</v>
      </c>
      <c r="E33" s="34" t="s">
        <v>68</v>
      </c>
      <c r="F33" s="56">
        <v>3</v>
      </c>
      <c r="G33" s="57"/>
      <c r="H33" s="34">
        <v>500</v>
      </c>
      <c r="I33" s="56">
        <v>500</v>
      </c>
      <c r="J33" s="56"/>
      <c r="K33" s="57"/>
      <c r="L33" s="56">
        <v>500</v>
      </c>
      <c r="M33" s="57"/>
      <c r="N33" s="34">
        <v>500</v>
      </c>
      <c r="O33" s="34" t="s">
        <v>164</v>
      </c>
    </row>
    <row r="34" spans="1:16">
      <c r="A34">
        <v>29</v>
      </c>
      <c r="B34" s="25">
        <v>2</v>
      </c>
      <c r="C34" s="34" t="s">
        <v>60</v>
      </c>
      <c r="D34" s="34" t="s">
        <v>58</v>
      </c>
      <c r="E34" s="34" t="s">
        <v>30</v>
      </c>
      <c r="F34" s="56">
        <v>5</v>
      </c>
      <c r="G34" s="57"/>
      <c r="H34" s="34">
        <v>8100</v>
      </c>
      <c r="I34" s="56">
        <v>7100</v>
      </c>
      <c r="J34" s="56"/>
      <c r="K34" s="57"/>
      <c r="L34" s="56">
        <v>4000</v>
      </c>
      <c r="M34" s="57"/>
      <c r="N34" s="34">
        <v>4000</v>
      </c>
      <c r="O34" s="34" t="s">
        <v>163</v>
      </c>
      <c r="P34" t="s">
        <v>181</v>
      </c>
    </row>
    <row r="35" spans="1:16">
      <c r="A35">
        <v>30</v>
      </c>
      <c r="B35" s="25">
        <v>3</v>
      </c>
      <c r="C35" s="34" t="s">
        <v>152</v>
      </c>
      <c r="D35" s="34" t="s">
        <v>60</v>
      </c>
      <c r="E35" s="34" t="s">
        <v>31</v>
      </c>
      <c r="F35" s="56">
        <v>4</v>
      </c>
      <c r="G35" s="57"/>
      <c r="H35" s="34">
        <v>1000</v>
      </c>
      <c r="I35" s="56">
        <v>1000</v>
      </c>
      <c r="J35" s="56"/>
      <c r="K35" s="57"/>
      <c r="L35" s="56">
        <v>1000</v>
      </c>
      <c r="M35" s="57"/>
      <c r="N35" s="34">
        <v>1000</v>
      </c>
      <c r="O35" s="34" t="s">
        <v>162</v>
      </c>
    </row>
    <row r="36" spans="1:16">
      <c r="A36">
        <v>31</v>
      </c>
      <c r="B36" s="25">
        <v>2</v>
      </c>
      <c r="C36" s="34" t="s">
        <v>151</v>
      </c>
      <c r="D36" s="34" t="s">
        <v>58</v>
      </c>
      <c r="E36" s="34" t="s">
        <v>30</v>
      </c>
      <c r="F36" s="56">
        <v>3</v>
      </c>
      <c r="G36" s="57"/>
      <c r="H36" s="34">
        <v>300</v>
      </c>
      <c r="I36" s="56">
        <v>300</v>
      </c>
      <c r="J36" s="56"/>
      <c r="K36" s="57"/>
      <c r="L36" s="56">
        <v>300</v>
      </c>
      <c r="M36" s="57"/>
      <c r="N36" s="34">
        <v>300</v>
      </c>
      <c r="O36" s="34" t="s">
        <v>85</v>
      </c>
    </row>
    <row r="37" spans="1:16" ht="24">
      <c r="A37">
        <v>32</v>
      </c>
      <c r="B37" s="27">
        <v>1</v>
      </c>
      <c r="C37" s="35" t="s">
        <v>61</v>
      </c>
      <c r="D37" s="35" t="s">
        <v>51</v>
      </c>
      <c r="E37" s="35" t="s">
        <v>29</v>
      </c>
      <c r="F37" s="58">
        <v>5</v>
      </c>
      <c r="G37" s="59"/>
      <c r="H37" s="35">
        <v>20270</v>
      </c>
      <c r="I37" s="58">
        <v>370</v>
      </c>
      <c r="J37" s="58"/>
      <c r="K37" s="59"/>
      <c r="L37" s="58">
        <v>9600</v>
      </c>
      <c r="M37" s="59"/>
      <c r="N37" s="35">
        <v>600</v>
      </c>
      <c r="O37" s="35" t="s">
        <v>70</v>
      </c>
      <c r="P37" t="s">
        <v>180</v>
      </c>
    </row>
    <row r="38" spans="1:16" ht="24">
      <c r="A38">
        <v>33</v>
      </c>
      <c r="B38" s="27">
        <v>2</v>
      </c>
      <c r="C38" s="35" t="s">
        <v>62</v>
      </c>
      <c r="D38" s="35" t="s">
        <v>61</v>
      </c>
      <c r="E38" s="35" t="s">
        <v>29</v>
      </c>
      <c r="F38" s="58">
        <v>5</v>
      </c>
      <c r="G38" s="59"/>
      <c r="H38" s="35">
        <v>14000</v>
      </c>
      <c r="I38" s="58">
        <v>14000</v>
      </c>
      <c r="J38" s="58"/>
      <c r="K38" s="59"/>
      <c r="L38" s="58">
        <v>7000</v>
      </c>
      <c r="M38" s="59"/>
      <c r="N38" s="35">
        <v>7000</v>
      </c>
      <c r="O38" s="35" t="s">
        <v>71</v>
      </c>
      <c r="P38" t="s">
        <v>179</v>
      </c>
    </row>
    <row r="39" spans="1:16" ht="24">
      <c r="A39">
        <v>34</v>
      </c>
      <c r="B39" s="27">
        <v>2</v>
      </c>
      <c r="C39" s="35" t="s">
        <v>63</v>
      </c>
      <c r="D39" s="35" t="s">
        <v>61</v>
      </c>
      <c r="E39" s="35" t="s">
        <v>28</v>
      </c>
      <c r="F39" s="58">
        <v>5</v>
      </c>
      <c r="G39" s="59"/>
      <c r="H39" s="35">
        <v>5500</v>
      </c>
      <c r="I39" s="58">
        <v>5500</v>
      </c>
      <c r="J39" s="58"/>
      <c r="K39" s="59"/>
      <c r="L39" s="58">
        <v>2000</v>
      </c>
      <c r="M39" s="59"/>
      <c r="N39" s="35">
        <v>2000</v>
      </c>
      <c r="O39" s="35" t="s">
        <v>161</v>
      </c>
      <c r="P39" t="s">
        <v>179</v>
      </c>
    </row>
    <row r="40" spans="1:16" ht="24">
      <c r="A40">
        <v>35</v>
      </c>
      <c r="B40" s="27">
        <v>2</v>
      </c>
      <c r="C40" s="35" t="s">
        <v>149</v>
      </c>
      <c r="D40" s="35" t="s">
        <v>61</v>
      </c>
      <c r="E40" s="35" t="s">
        <v>29</v>
      </c>
      <c r="F40" s="58">
        <v>3</v>
      </c>
      <c r="G40" s="59"/>
      <c r="H40" s="35">
        <v>200</v>
      </c>
      <c r="I40" s="58">
        <v>200</v>
      </c>
      <c r="J40" s="58"/>
      <c r="K40" s="59"/>
      <c r="L40" s="58">
        <v>200</v>
      </c>
      <c r="M40" s="59"/>
      <c r="N40" s="35">
        <v>200</v>
      </c>
      <c r="O40" s="35" t="s">
        <v>70</v>
      </c>
    </row>
    <row r="41" spans="1:16" ht="24">
      <c r="A41">
        <v>36</v>
      </c>
      <c r="B41" s="27">
        <v>2</v>
      </c>
      <c r="C41" s="35" t="s">
        <v>150</v>
      </c>
      <c r="D41" s="35" t="s">
        <v>61</v>
      </c>
      <c r="E41" s="35" t="s">
        <v>28</v>
      </c>
      <c r="F41" s="58">
        <v>3</v>
      </c>
      <c r="G41" s="59"/>
      <c r="H41" s="35">
        <v>200</v>
      </c>
      <c r="I41" s="58">
        <v>200</v>
      </c>
      <c r="J41" s="58"/>
      <c r="K41" s="59"/>
      <c r="L41" s="58">
        <v>200</v>
      </c>
      <c r="M41" s="59"/>
      <c r="N41" s="35">
        <v>200</v>
      </c>
      <c r="O41" s="35" t="s">
        <v>70</v>
      </c>
    </row>
    <row r="42" spans="1:16">
      <c r="A42">
        <v>37</v>
      </c>
      <c r="B42" s="29">
        <v>1</v>
      </c>
      <c r="C42" s="36" t="s">
        <v>64</v>
      </c>
      <c r="D42" s="36" t="s">
        <v>51</v>
      </c>
      <c r="E42" s="36" t="s">
        <v>30</v>
      </c>
      <c r="F42" s="60">
        <v>4</v>
      </c>
      <c r="G42" s="61"/>
      <c r="H42" s="36">
        <v>1065</v>
      </c>
      <c r="I42" s="60">
        <v>265</v>
      </c>
      <c r="J42" s="60"/>
      <c r="K42" s="61"/>
      <c r="L42" s="60">
        <v>700</v>
      </c>
      <c r="M42" s="61"/>
      <c r="N42" s="36">
        <v>700</v>
      </c>
      <c r="O42" s="36" t="s">
        <v>72</v>
      </c>
      <c r="P42" t="s">
        <v>178</v>
      </c>
    </row>
    <row r="43" spans="1:16">
      <c r="A43">
        <v>38</v>
      </c>
      <c r="B43" s="29">
        <v>2</v>
      </c>
      <c r="C43" s="36" t="s">
        <v>65</v>
      </c>
      <c r="D43" s="36" t="s">
        <v>64</v>
      </c>
      <c r="E43" s="36" t="s">
        <v>28</v>
      </c>
      <c r="F43" s="60">
        <v>3</v>
      </c>
      <c r="G43" s="61"/>
      <c r="H43" s="36">
        <v>400</v>
      </c>
      <c r="I43" s="60">
        <v>400</v>
      </c>
      <c r="J43" s="60"/>
      <c r="K43" s="61"/>
      <c r="L43" s="60">
        <v>200</v>
      </c>
      <c r="M43" s="61"/>
      <c r="N43" s="36">
        <v>200</v>
      </c>
      <c r="O43" s="36" t="s">
        <v>70</v>
      </c>
    </row>
    <row r="44" spans="1:16">
      <c r="A44">
        <v>39</v>
      </c>
      <c r="B44" s="29">
        <v>2</v>
      </c>
      <c r="C44" s="36" t="s">
        <v>147</v>
      </c>
      <c r="D44" s="36" t="s">
        <v>64</v>
      </c>
      <c r="E44" s="36" t="s">
        <v>29</v>
      </c>
      <c r="F44" s="60">
        <v>3</v>
      </c>
      <c r="G44" s="61"/>
      <c r="H44" s="36">
        <v>200</v>
      </c>
      <c r="I44" s="60">
        <v>200</v>
      </c>
      <c r="J44" s="60"/>
      <c r="K44" s="61"/>
      <c r="L44" s="60">
        <v>200</v>
      </c>
      <c r="M44" s="61"/>
      <c r="N44" s="36">
        <v>200</v>
      </c>
      <c r="O44" s="36" t="s">
        <v>70</v>
      </c>
    </row>
    <row r="45" spans="1:16">
      <c r="A45">
        <v>40</v>
      </c>
      <c r="B45" s="29">
        <v>2</v>
      </c>
      <c r="C45" s="36" t="s">
        <v>148</v>
      </c>
      <c r="D45" s="36" t="s">
        <v>64</v>
      </c>
      <c r="E45" s="36" t="s">
        <v>28</v>
      </c>
      <c r="F45" s="60">
        <v>3</v>
      </c>
      <c r="G45" s="61"/>
      <c r="H45" s="36">
        <v>200</v>
      </c>
      <c r="I45" s="60">
        <v>200</v>
      </c>
      <c r="J45" s="60"/>
      <c r="K45" s="61"/>
      <c r="L45" s="60">
        <v>200</v>
      </c>
      <c r="M45" s="61"/>
      <c r="N45" s="36">
        <v>200</v>
      </c>
      <c r="O45" s="36" t="s">
        <v>70</v>
      </c>
    </row>
    <row r="46" spans="1:16">
      <c r="B46" s="37"/>
      <c r="C46" s="37"/>
      <c r="D46" s="37"/>
      <c r="E46" s="37"/>
      <c r="F46" s="62"/>
      <c r="G46" s="62"/>
      <c r="H46" s="37"/>
      <c r="I46" s="62"/>
      <c r="J46" s="62"/>
      <c r="K46" s="62"/>
      <c r="L46" s="62"/>
      <c r="M46" s="62"/>
      <c r="N46" s="37"/>
      <c r="O46" s="37"/>
    </row>
    <row r="47" spans="1:16">
      <c r="B47" s="63" t="s">
        <v>86</v>
      </c>
      <c r="C47" s="63"/>
      <c r="D47" s="63"/>
      <c r="E47" s="63"/>
      <c r="F47" s="63"/>
      <c r="G47" s="64" t="s">
        <v>46</v>
      </c>
      <c r="H47" s="64"/>
      <c r="I47" s="64"/>
      <c r="J47" s="11" t="s">
        <v>47</v>
      </c>
      <c r="K47" s="63" t="s">
        <v>46</v>
      </c>
      <c r="L47" s="63"/>
      <c r="M47" s="63"/>
      <c r="N47" s="63"/>
      <c r="O47" s="63"/>
    </row>
    <row r="50" spans="2:19" ht="36.75">
      <c r="B50" s="46" t="s">
        <v>209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</row>
    <row r="51" spans="2:19" ht="18.75">
      <c r="B51" s="47" t="s">
        <v>81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</row>
    <row r="52" spans="2:19" ht="14.25">
      <c r="B52" s="48" t="s">
        <v>36</v>
      </c>
      <c r="C52" s="48"/>
      <c r="D52" s="48"/>
      <c r="E52" s="49" t="s">
        <v>145</v>
      </c>
      <c r="F52" s="49"/>
      <c r="G52" s="49"/>
      <c r="H52" s="49"/>
      <c r="I52" s="49"/>
      <c r="J52" s="49"/>
      <c r="K52" s="49"/>
      <c r="L52" s="50" t="s">
        <v>213</v>
      </c>
      <c r="M52" s="50"/>
      <c r="N52" s="50"/>
      <c r="O52" s="50"/>
    </row>
    <row r="53" spans="2:19" ht="28.5">
      <c r="B53" s="10" t="s">
        <v>37</v>
      </c>
      <c r="C53" s="32" t="s">
        <v>38</v>
      </c>
      <c r="D53" s="32" t="s">
        <v>39</v>
      </c>
      <c r="E53" s="32" t="s">
        <v>40</v>
      </c>
      <c r="F53" s="51" t="s">
        <v>41</v>
      </c>
      <c r="G53" s="52"/>
      <c r="H53" s="12" t="s">
        <v>48</v>
      </c>
      <c r="I53" s="53" t="s">
        <v>49</v>
      </c>
      <c r="J53" s="51"/>
      <c r="K53" s="52"/>
      <c r="L53" s="51" t="s">
        <v>42</v>
      </c>
      <c r="M53" s="52"/>
      <c r="N53" s="32" t="s">
        <v>50</v>
      </c>
      <c r="O53" s="32" t="s">
        <v>43</v>
      </c>
    </row>
    <row r="54" spans="2:19" ht="165.75">
      <c r="B54" s="15" t="s">
        <v>74</v>
      </c>
      <c r="C54" s="16" t="s">
        <v>75</v>
      </c>
      <c r="D54" s="16" t="s">
        <v>76</v>
      </c>
      <c r="E54" s="16" t="s">
        <v>82</v>
      </c>
      <c r="F54" s="39" t="s">
        <v>83</v>
      </c>
      <c r="G54" s="40"/>
      <c r="H54" s="16" t="s">
        <v>77</v>
      </c>
      <c r="I54" s="41" t="s">
        <v>73</v>
      </c>
      <c r="J54" s="42"/>
      <c r="K54" s="43"/>
      <c r="L54" s="39" t="s">
        <v>78</v>
      </c>
      <c r="M54" s="40"/>
      <c r="N54" s="17" t="s">
        <v>84</v>
      </c>
      <c r="O54" s="16" t="s">
        <v>79</v>
      </c>
      <c r="Q54" t="s">
        <v>201</v>
      </c>
      <c r="R54" t="s">
        <v>202</v>
      </c>
      <c r="S54" t="s">
        <v>203</v>
      </c>
    </row>
    <row r="55" spans="2:19">
      <c r="B55" s="14">
        <v>0</v>
      </c>
      <c r="C55" s="31" t="s">
        <v>51</v>
      </c>
      <c r="D55" s="31" t="s">
        <v>44</v>
      </c>
      <c r="E55" s="31" t="s">
        <v>27</v>
      </c>
      <c r="F55" s="44">
        <v>6</v>
      </c>
      <c r="G55" s="45"/>
      <c r="H55" s="20">
        <f>H56+H80+H86+H91+I55</f>
        <v>485855</v>
      </c>
      <c r="I55" s="44">
        <v>300</v>
      </c>
      <c r="J55" s="44"/>
      <c r="K55" s="45"/>
      <c r="L55" s="44">
        <f>L56+L80+L86+L91+100</f>
        <v>464650</v>
      </c>
      <c r="M55" s="45"/>
      <c r="N55" s="13">
        <f>L55-L56</f>
        <v>15520</v>
      </c>
      <c r="O55" s="31" t="s">
        <v>72</v>
      </c>
      <c r="P55">
        <v>100</v>
      </c>
      <c r="Q55">
        <f>100*0.34</f>
        <v>34</v>
      </c>
      <c r="R55">
        <f>L80*(0.34-0.3)+L86*(0.34-0.3)+L91*(0.34-0.26)</f>
        <v>644.80000000000052</v>
      </c>
      <c r="S55">
        <f>P54</f>
        <v>0</v>
      </c>
    </row>
    <row r="56" spans="2:19">
      <c r="B56" s="22">
        <v>1</v>
      </c>
      <c r="C56" s="33" t="s">
        <v>52</v>
      </c>
      <c r="D56" s="33" t="s">
        <v>51</v>
      </c>
      <c r="E56" s="33" t="s">
        <v>27</v>
      </c>
      <c r="F56" s="54">
        <v>7</v>
      </c>
      <c r="G56" s="55"/>
      <c r="H56" s="33">
        <f>H57+H60+H66+H68+H71+H73+H76+I56</f>
        <v>451480</v>
      </c>
      <c r="I56" s="54">
        <v>350</v>
      </c>
      <c r="J56" s="54"/>
      <c r="K56" s="55"/>
      <c r="L56" s="54">
        <f>L57+L60+L66+L68+L71+L73+L76+200</f>
        <v>449130</v>
      </c>
      <c r="M56" s="55"/>
      <c r="N56" s="33">
        <f>L56-L69-L78</f>
        <v>7130</v>
      </c>
      <c r="O56" s="33" t="s">
        <v>70</v>
      </c>
      <c r="P56">
        <v>200</v>
      </c>
      <c r="Q56">
        <f>200*0.4</f>
        <v>80</v>
      </c>
      <c r="R56">
        <f>L57*(0.4-0.22)+L60*(0.4-0.22)+L66*(0.4-0.22)+(L68-L69)*(0.4-0.26)+L71*(0.4-0.26)+L73*(0.4-0.05)+(L76-L79)*(0.4-0.22)</f>
        <v>4085.0000000000009</v>
      </c>
      <c r="S56">
        <f>N69*0.01+N70*0.005+N79*0.01</f>
        <v>4625</v>
      </c>
    </row>
    <row r="57" spans="2:19">
      <c r="B57" s="22">
        <v>2</v>
      </c>
      <c r="C57" s="33" t="s">
        <v>53</v>
      </c>
      <c r="D57" s="33" t="s">
        <v>52</v>
      </c>
      <c r="E57" s="33" t="s">
        <v>31</v>
      </c>
      <c r="F57" s="54">
        <v>3</v>
      </c>
      <c r="G57" s="55"/>
      <c r="H57" s="33">
        <v>1550</v>
      </c>
      <c r="I57" s="54">
        <v>50</v>
      </c>
      <c r="J57" s="54"/>
      <c r="K57" s="55"/>
      <c r="L57" s="54">
        <v>1550</v>
      </c>
      <c r="M57" s="55"/>
      <c r="N57" s="33">
        <v>50</v>
      </c>
      <c r="O57" s="33" t="s">
        <v>166</v>
      </c>
      <c r="P57">
        <v>50</v>
      </c>
      <c r="Q57">
        <f>50*0.22</f>
        <v>11</v>
      </c>
      <c r="R57">
        <v>0</v>
      </c>
    </row>
    <row r="58" spans="2:19">
      <c r="B58" s="22">
        <v>3</v>
      </c>
      <c r="C58" s="33" t="s">
        <v>177</v>
      </c>
      <c r="D58" s="33" t="s">
        <v>53</v>
      </c>
      <c r="E58" s="33" t="s">
        <v>28</v>
      </c>
      <c r="F58" s="54">
        <v>4</v>
      </c>
      <c r="G58" s="55"/>
      <c r="H58" s="33">
        <v>1500</v>
      </c>
      <c r="I58" s="54">
        <v>1000</v>
      </c>
      <c r="J58" s="54"/>
      <c r="K58" s="55"/>
      <c r="L58" s="54">
        <v>1500</v>
      </c>
      <c r="M58" s="55"/>
      <c r="N58" s="33">
        <v>1500</v>
      </c>
      <c r="O58" s="33" t="s">
        <v>162</v>
      </c>
      <c r="P58">
        <v>1000</v>
      </c>
      <c r="Q58">
        <f>1000*0.26</f>
        <v>260</v>
      </c>
      <c r="R58">
        <f>500*(0.26-0.22)</f>
        <v>20.000000000000004</v>
      </c>
    </row>
    <row r="59" spans="2:19">
      <c r="B59" s="22">
        <v>4</v>
      </c>
      <c r="C59" s="33" t="s">
        <v>176</v>
      </c>
      <c r="D59" s="33" t="s">
        <v>177</v>
      </c>
      <c r="E59" s="33" t="s">
        <v>28</v>
      </c>
      <c r="F59" s="54">
        <v>3</v>
      </c>
      <c r="G59" s="55"/>
      <c r="H59" s="33">
        <v>500</v>
      </c>
      <c r="I59" s="54">
        <v>500</v>
      </c>
      <c r="J59" s="54"/>
      <c r="K59" s="55"/>
      <c r="L59" s="54">
        <v>500</v>
      </c>
      <c r="M59" s="55"/>
      <c r="N59" s="33">
        <v>500</v>
      </c>
      <c r="O59" s="33" t="s">
        <v>164</v>
      </c>
      <c r="P59">
        <v>500</v>
      </c>
      <c r="Q59">
        <f>500*0.22</f>
        <v>110</v>
      </c>
      <c r="R59">
        <v>0</v>
      </c>
    </row>
    <row r="60" spans="2:19">
      <c r="B60" s="22">
        <v>2</v>
      </c>
      <c r="C60" s="33" t="s">
        <v>54</v>
      </c>
      <c r="D60" s="33" t="s">
        <v>51</v>
      </c>
      <c r="E60" s="33" t="s">
        <v>67</v>
      </c>
      <c r="F60" s="54">
        <v>3</v>
      </c>
      <c r="G60" s="55"/>
      <c r="H60" s="33">
        <v>1700</v>
      </c>
      <c r="I60" s="54">
        <v>600</v>
      </c>
      <c r="J60" s="54"/>
      <c r="K60" s="55"/>
      <c r="L60" s="54">
        <v>1400</v>
      </c>
      <c r="M60" s="55"/>
      <c r="N60" s="33">
        <v>300</v>
      </c>
      <c r="O60" s="33" t="s">
        <v>85</v>
      </c>
      <c r="P60">
        <v>300</v>
      </c>
      <c r="Q60">
        <f>P60*0.22</f>
        <v>66</v>
      </c>
      <c r="R60">
        <v>0</v>
      </c>
    </row>
    <row r="61" spans="2:19">
      <c r="B61" s="22">
        <v>3</v>
      </c>
      <c r="C61" s="33" t="s">
        <v>173</v>
      </c>
      <c r="D61" s="33" t="s">
        <v>54</v>
      </c>
      <c r="E61" s="33" t="s">
        <v>28</v>
      </c>
      <c r="F61" s="54">
        <v>3</v>
      </c>
      <c r="G61" s="55"/>
      <c r="H61" s="33">
        <v>500</v>
      </c>
      <c r="I61" s="54">
        <v>300</v>
      </c>
      <c r="J61" s="54"/>
      <c r="K61" s="55"/>
      <c r="L61" s="54">
        <v>500</v>
      </c>
      <c r="M61" s="55"/>
      <c r="N61" s="33">
        <v>300</v>
      </c>
      <c r="O61" s="33" t="s">
        <v>85</v>
      </c>
      <c r="P61">
        <v>300</v>
      </c>
      <c r="Q61">
        <f t="shared" ref="Q61:Q66" si="0">P61*0.22</f>
        <v>66</v>
      </c>
      <c r="R61">
        <v>0</v>
      </c>
    </row>
    <row r="62" spans="2:19">
      <c r="B62" s="22">
        <v>4</v>
      </c>
      <c r="C62" s="33" t="s">
        <v>174</v>
      </c>
      <c r="D62" s="33" t="s">
        <v>173</v>
      </c>
      <c r="E62" s="33" t="s">
        <v>29</v>
      </c>
      <c r="F62" s="54">
        <v>3</v>
      </c>
      <c r="G62" s="55"/>
      <c r="H62" s="33">
        <v>200</v>
      </c>
      <c r="I62" s="54">
        <v>200</v>
      </c>
      <c r="J62" s="54"/>
      <c r="K62" s="55"/>
      <c r="L62" s="54">
        <v>200</v>
      </c>
      <c r="M62" s="55"/>
      <c r="N62" s="33">
        <v>200</v>
      </c>
      <c r="O62" s="33" t="s">
        <v>70</v>
      </c>
      <c r="P62">
        <v>200</v>
      </c>
      <c r="Q62">
        <f t="shared" si="0"/>
        <v>44</v>
      </c>
      <c r="R62">
        <v>0</v>
      </c>
    </row>
    <row r="63" spans="2:19">
      <c r="B63" s="22">
        <v>3</v>
      </c>
      <c r="C63" s="33" t="s">
        <v>172</v>
      </c>
      <c r="D63" s="33" t="s">
        <v>54</v>
      </c>
      <c r="E63" s="33" t="s">
        <v>30</v>
      </c>
      <c r="F63" s="54">
        <v>3</v>
      </c>
      <c r="G63" s="55"/>
      <c r="H63" s="33">
        <v>600</v>
      </c>
      <c r="I63" s="54">
        <v>200</v>
      </c>
      <c r="J63" s="54"/>
      <c r="K63" s="55"/>
      <c r="L63" s="54">
        <v>600</v>
      </c>
      <c r="M63" s="55"/>
      <c r="N63" s="33">
        <v>200</v>
      </c>
      <c r="O63" s="33" t="s">
        <v>70</v>
      </c>
      <c r="P63">
        <v>200</v>
      </c>
      <c r="Q63">
        <f t="shared" si="0"/>
        <v>44</v>
      </c>
      <c r="R63">
        <v>0</v>
      </c>
    </row>
    <row r="64" spans="2:19">
      <c r="B64" s="22">
        <v>4</v>
      </c>
      <c r="C64" s="33" t="s">
        <v>175</v>
      </c>
      <c r="D64" s="33" t="s">
        <v>172</v>
      </c>
      <c r="E64" s="33" t="s">
        <v>31</v>
      </c>
      <c r="F64" s="54">
        <v>3</v>
      </c>
      <c r="G64" s="55"/>
      <c r="H64" s="33">
        <v>200</v>
      </c>
      <c r="I64" s="54">
        <v>200</v>
      </c>
      <c r="J64" s="54"/>
      <c r="K64" s="55"/>
      <c r="L64" s="54">
        <v>200</v>
      </c>
      <c r="M64" s="55"/>
      <c r="N64" s="33">
        <v>200</v>
      </c>
      <c r="O64" s="33" t="s">
        <v>70</v>
      </c>
      <c r="P64">
        <v>200</v>
      </c>
      <c r="Q64">
        <f t="shared" si="0"/>
        <v>44</v>
      </c>
      <c r="R64">
        <v>0</v>
      </c>
    </row>
    <row r="65" spans="2:19">
      <c r="B65" s="22">
        <v>4</v>
      </c>
      <c r="C65" s="33" t="s">
        <v>171</v>
      </c>
      <c r="D65" s="33" t="s">
        <v>172</v>
      </c>
      <c r="E65" s="33" t="s">
        <v>67</v>
      </c>
      <c r="F65" s="54">
        <v>3</v>
      </c>
      <c r="G65" s="55"/>
      <c r="H65" s="33">
        <v>200</v>
      </c>
      <c r="I65" s="54">
        <v>200</v>
      </c>
      <c r="J65" s="54"/>
      <c r="K65" s="55"/>
      <c r="L65" s="54">
        <v>200</v>
      </c>
      <c r="M65" s="55"/>
      <c r="N65" s="33">
        <v>200</v>
      </c>
      <c r="O65" s="33" t="s">
        <v>70</v>
      </c>
      <c r="P65">
        <v>200</v>
      </c>
      <c r="Q65">
        <f t="shared" si="0"/>
        <v>44</v>
      </c>
      <c r="R65">
        <v>0</v>
      </c>
    </row>
    <row r="66" spans="2:19">
      <c r="B66" s="22">
        <v>2</v>
      </c>
      <c r="C66" s="33" t="s">
        <v>55</v>
      </c>
      <c r="D66" s="33" t="s">
        <v>52</v>
      </c>
      <c r="E66" s="33" t="s">
        <v>69</v>
      </c>
      <c r="F66" s="54">
        <v>3</v>
      </c>
      <c r="G66" s="55"/>
      <c r="H66" s="33">
        <v>2200</v>
      </c>
      <c r="I66" s="54">
        <v>200</v>
      </c>
      <c r="J66" s="54"/>
      <c r="K66" s="55"/>
      <c r="L66" s="54">
        <v>2100</v>
      </c>
      <c r="M66" s="55"/>
      <c r="N66" s="33">
        <v>100</v>
      </c>
      <c r="O66" s="33" t="s">
        <v>72</v>
      </c>
      <c r="P66">
        <v>100</v>
      </c>
      <c r="Q66">
        <f t="shared" si="0"/>
        <v>22</v>
      </c>
      <c r="R66">
        <v>0</v>
      </c>
    </row>
    <row r="67" spans="2:19">
      <c r="B67" s="22">
        <v>3</v>
      </c>
      <c r="C67" s="33" t="s">
        <v>170</v>
      </c>
      <c r="D67" s="33" t="s">
        <v>55</v>
      </c>
      <c r="E67" s="33" t="s">
        <v>69</v>
      </c>
      <c r="F67" s="54">
        <v>4</v>
      </c>
      <c r="G67" s="55"/>
      <c r="H67" s="33">
        <v>2000</v>
      </c>
      <c r="I67" s="54">
        <v>2000</v>
      </c>
      <c r="J67" s="54"/>
      <c r="K67" s="55"/>
      <c r="L67" s="54">
        <v>2000</v>
      </c>
      <c r="M67" s="55"/>
      <c r="N67" s="33">
        <v>2000</v>
      </c>
      <c r="O67" s="33" t="s">
        <v>161</v>
      </c>
      <c r="P67">
        <v>2000</v>
      </c>
      <c r="Q67">
        <f>2000*0.26</f>
        <v>520</v>
      </c>
      <c r="R67">
        <v>0</v>
      </c>
    </row>
    <row r="68" spans="2:19">
      <c r="B68" s="22">
        <v>2</v>
      </c>
      <c r="C68" s="33" t="s">
        <v>56</v>
      </c>
      <c r="D68" s="33" t="s">
        <v>52</v>
      </c>
      <c r="E68" s="33" t="s">
        <v>66</v>
      </c>
      <c r="F68" s="54">
        <v>4</v>
      </c>
      <c r="G68" s="55"/>
      <c r="H68" s="33">
        <v>354000</v>
      </c>
      <c r="I68" s="54">
        <v>1000</v>
      </c>
      <c r="J68" s="54"/>
      <c r="K68" s="55"/>
      <c r="L68" s="54">
        <v>353200</v>
      </c>
      <c r="M68" s="55"/>
      <c r="N68" s="33">
        <v>200</v>
      </c>
      <c r="O68" s="33" t="s">
        <v>70</v>
      </c>
      <c r="P68">
        <v>200</v>
      </c>
      <c r="Q68">
        <f>200*0.26</f>
        <v>52</v>
      </c>
      <c r="R68">
        <v>0</v>
      </c>
    </row>
    <row r="69" spans="2:19" ht="24">
      <c r="B69" s="22">
        <v>3</v>
      </c>
      <c r="C69" s="33" t="s">
        <v>160</v>
      </c>
      <c r="D69" s="33" t="s">
        <v>56</v>
      </c>
      <c r="E69" s="33" t="s">
        <v>66</v>
      </c>
      <c r="F69" s="54">
        <v>8</v>
      </c>
      <c r="G69" s="55"/>
      <c r="H69" s="33">
        <v>353000</v>
      </c>
      <c r="I69" s="54">
        <v>280000</v>
      </c>
      <c r="J69" s="54"/>
      <c r="K69" s="55"/>
      <c r="L69" s="54">
        <f>280000+73000</f>
        <v>353000</v>
      </c>
      <c r="M69" s="55"/>
      <c r="N69" s="33">
        <v>353000</v>
      </c>
      <c r="O69" s="33" t="s">
        <v>169</v>
      </c>
      <c r="P69">
        <v>280000</v>
      </c>
      <c r="Q69">
        <f>280000*0.43</f>
        <v>120400</v>
      </c>
      <c r="R69">
        <f>73000*(0.43-0.4)</f>
        <v>2189.9999999999977</v>
      </c>
    </row>
    <row r="70" spans="2:19" ht="24">
      <c r="B70" s="22">
        <v>4</v>
      </c>
      <c r="C70" s="33" t="s">
        <v>197</v>
      </c>
      <c r="D70" s="33" t="s">
        <v>160</v>
      </c>
      <c r="E70" s="33" t="s">
        <v>66</v>
      </c>
      <c r="F70" s="54">
        <v>7</v>
      </c>
      <c r="G70" s="55"/>
      <c r="H70" s="33">
        <v>73000</v>
      </c>
      <c r="I70" s="54">
        <v>73000</v>
      </c>
      <c r="J70" s="54"/>
      <c r="K70" s="55"/>
      <c r="L70" s="54">
        <v>73000</v>
      </c>
      <c r="M70" s="55"/>
      <c r="N70" s="33">
        <v>73000</v>
      </c>
      <c r="O70" s="33" t="s">
        <v>194</v>
      </c>
      <c r="P70">
        <v>73000</v>
      </c>
      <c r="Q70">
        <f>73000*0.4</f>
        <v>29200</v>
      </c>
      <c r="R70">
        <v>0</v>
      </c>
    </row>
    <row r="71" spans="2:19">
      <c r="B71" s="22">
        <v>2</v>
      </c>
      <c r="C71" s="33" t="s">
        <v>57</v>
      </c>
      <c r="D71" s="33" t="s">
        <v>52</v>
      </c>
      <c r="E71" s="33" t="s">
        <v>68</v>
      </c>
      <c r="F71" s="54">
        <v>4</v>
      </c>
      <c r="G71" s="55"/>
      <c r="H71" s="33">
        <v>2200</v>
      </c>
      <c r="I71" s="54">
        <v>1200</v>
      </c>
      <c r="J71" s="54"/>
      <c r="K71" s="55"/>
      <c r="L71" s="54">
        <v>1200</v>
      </c>
      <c r="M71" s="55"/>
      <c r="N71" s="33">
        <v>200</v>
      </c>
      <c r="O71" s="33" t="s">
        <v>70</v>
      </c>
      <c r="P71">
        <v>200</v>
      </c>
      <c r="Q71">
        <f>200*0.26</f>
        <v>52</v>
      </c>
      <c r="R71">
        <v>0</v>
      </c>
    </row>
    <row r="72" spans="2:19">
      <c r="B72" s="22">
        <v>3</v>
      </c>
      <c r="C72" s="33" t="s">
        <v>159</v>
      </c>
      <c r="D72" s="33" t="s">
        <v>57</v>
      </c>
      <c r="E72" s="33" t="s">
        <v>35</v>
      </c>
      <c r="F72" s="54">
        <v>4</v>
      </c>
      <c r="G72" s="55"/>
      <c r="H72" s="33">
        <v>1000</v>
      </c>
      <c r="I72" s="54">
        <v>1000</v>
      </c>
      <c r="J72" s="54"/>
      <c r="K72" s="55"/>
      <c r="L72" s="54">
        <v>1000</v>
      </c>
      <c r="M72" s="55"/>
      <c r="N72" s="33">
        <v>1000</v>
      </c>
      <c r="O72" s="33" t="s">
        <v>45</v>
      </c>
      <c r="P72">
        <v>1000</v>
      </c>
      <c r="Q72">
        <f>1000*0.26</f>
        <v>260</v>
      </c>
      <c r="R72">
        <v>0</v>
      </c>
    </row>
    <row r="73" spans="2:19">
      <c r="B73" s="22">
        <v>2</v>
      </c>
      <c r="C73" s="33" t="s">
        <v>156</v>
      </c>
      <c r="D73" s="33" t="s">
        <v>52</v>
      </c>
      <c r="E73" s="33" t="s">
        <v>31</v>
      </c>
      <c r="F73" s="54">
        <v>1</v>
      </c>
      <c r="G73" s="55"/>
      <c r="H73" s="33">
        <v>80</v>
      </c>
      <c r="I73" s="54">
        <v>20</v>
      </c>
      <c r="J73" s="54"/>
      <c r="K73" s="55"/>
      <c r="L73" s="54">
        <v>80</v>
      </c>
      <c r="M73" s="55"/>
      <c r="N73" s="33">
        <v>20</v>
      </c>
      <c r="O73" s="33" t="s">
        <v>168</v>
      </c>
      <c r="P73">
        <v>20</v>
      </c>
      <c r="Q73">
        <f>20*0.05</f>
        <v>1</v>
      </c>
      <c r="R73">
        <v>0</v>
      </c>
    </row>
    <row r="74" spans="2:19">
      <c r="B74" s="22">
        <v>3</v>
      </c>
      <c r="C74" s="33" t="s">
        <v>157</v>
      </c>
      <c r="D74" s="33" t="s">
        <v>156</v>
      </c>
      <c r="E74" s="33" t="s">
        <v>30</v>
      </c>
      <c r="F74" s="54">
        <v>1</v>
      </c>
      <c r="G74" s="55"/>
      <c r="H74" s="33">
        <v>10</v>
      </c>
      <c r="I74" s="54">
        <v>10</v>
      </c>
      <c r="J74" s="54"/>
      <c r="K74" s="55"/>
      <c r="L74" s="54">
        <v>10</v>
      </c>
      <c r="M74" s="55"/>
      <c r="N74" s="33">
        <v>10</v>
      </c>
      <c r="O74" s="24" t="s">
        <v>167</v>
      </c>
      <c r="P74">
        <v>10</v>
      </c>
      <c r="Q74">
        <f>10*0.05</f>
        <v>0.5</v>
      </c>
      <c r="R74">
        <v>0</v>
      </c>
    </row>
    <row r="75" spans="2:19">
      <c r="B75" s="22">
        <v>3</v>
      </c>
      <c r="C75" s="33" t="s">
        <v>158</v>
      </c>
      <c r="D75" s="33" t="s">
        <v>156</v>
      </c>
      <c r="E75" s="33" t="s">
        <v>29</v>
      </c>
      <c r="F75" s="54">
        <v>1</v>
      </c>
      <c r="G75" s="55"/>
      <c r="H75" s="33">
        <v>50</v>
      </c>
      <c r="I75" s="54">
        <v>50</v>
      </c>
      <c r="J75" s="54"/>
      <c r="K75" s="55"/>
      <c r="L75" s="54">
        <v>50</v>
      </c>
      <c r="M75" s="55"/>
      <c r="N75" s="33">
        <v>50</v>
      </c>
      <c r="O75" s="33" t="s">
        <v>166</v>
      </c>
      <c r="P75">
        <v>50</v>
      </c>
      <c r="Q75">
        <f>50*0.05</f>
        <v>2.5</v>
      </c>
      <c r="R75">
        <v>0</v>
      </c>
    </row>
    <row r="76" spans="2:19">
      <c r="B76" s="22">
        <v>2</v>
      </c>
      <c r="C76" s="33" t="s">
        <v>154</v>
      </c>
      <c r="D76" s="33" t="s">
        <v>52</v>
      </c>
      <c r="E76" s="33" t="s">
        <v>28</v>
      </c>
      <c r="F76" s="54">
        <v>3</v>
      </c>
      <c r="G76" s="55"/>
      <c r="H76" s="33">
        <v>89400</v>
      </c>
      <c r="I76" s="54">
        <v>100</v>
      </c>
      <c r="J76" s="54"/>
      <c r="K76" s="55"/>
      <c r="L76" s="54">
        <v>89400</v>
      </c>
      <c r="M76" s="55"/>
      <c r="N76" s="33">
        <v>100</v>
      </c>
      <c r="O76" s="33" t="s">
        <v>72</v>
      </c>
      <c r="P76">
        <v>100</v>
      </c>
      <c r="Q76">
        <f>100*0.22</f>
        <v>22</v>
      </c>
      <c r="R76">
        <v>0</v>
      </c>
    </row>
    <row r="77" spans="2:19">
      <c r="B77" s="22">
        <v>3</v>
      </c>
      <c r="C77" s="33" t="s">
        <v>155</v>
      </c>
      <c r="D77" s="33" t="s">
        <v>154</v>
      </c>
      <c r="E77" s="33" t="s">
        <v>28</v>
      </c>
      <c r="F77" s="54">
        <v>3</v>
      </c>
      <c r="G77" s="55"/>
      <c r="H77" s="33">
        <v>89300</v>
      </c>
      <c r="I77" s="54">
        <v>300</v>
      </c>
      <c r="J77" s="54"/>
      <c r="K77" s="55"/>
      <c r="L77" s="54">
        <v>89300</v>
      </c>
      <c r="M77" s="55"/>
      <c r="N77" s="33">
        <v>300</v>
      </c>
      <c r="O77" s="33" t="s">
        <v>85</v>
      </c>
      <c r="P77">
        <v>300</v>
      </c>
      <c r="Q77">
        <f>300*0.22</f>
        <v>66</v>
      </c>
      <c r="R77">
        <v>0</v>
      </c>
    </row>
    <row r="78" spans="2:19" ht="24">
      <c r="B78" s="22">
        <v>4</v>
      </c>
      <c r="C78" s="33" t="s">
        <v>199</v>
      </c>
      <c r="D78" s="33" t="s">
        <v>155</v>
      </c>
      <c r="E78" s="33" t="s">
        <v>28</v>
      </c>
      <c r="F78" s="54">
        <v>6</v>
      </c>
      <c r="G78" s="55"/>
      <c r="H78" s="33">
        <v>89000</v>
      </c>
      <c r="I78" s="54">
        <v>16000</v>
      </c>
      <c r="J78" s="54"/>
      <c r="K78" s="55"/>
      <c r="L78" s="54">
        <v>89000</v>
      </c>
      <c r="M78" s="55"/>
      <c r="N78" s="33">
        <v>16000</v>
      </c>
      <c r="O78" s="33" t="s">
        <v>195</v>
      </c>
      <c r="P78">
        <v>16000</v>
      </c>
      <c r="Q78">
        <f>16000*0.34</f>
        <v>5440</v>
      </c>
      <c r="R78">
        <v>0</v>
      </c>
      <c r="S78">
        <f>N79*1%</f>
        <v>730</v>
      </c>
    </row>
    <row r="79" spans="2:19" ht="24">
      <c r="B79" s="22">
        <v>5</v>
      </c>
      <c r="C79" s="33" t="s">
        <v>196</v>
      </c>
      <c r="D79" s="33" t="s">
        <v>199</v>
      </c>
      <c r="E79" s="33" t="s">
        <v>28</v>
      </c>
      <c r="F79" s="54">
        <v>7</v>
      </c>
      <c r="G79" s="55"/>
      <c r="H79" s="33">
        <v>73000</v>
      </c>
      <c r="I79" s="54">
        <v>73000</v>
      </c>
      <c r="J79" s="54"/>
      <c r="K79" s="55"/>
      <c r="L79" s="54">
        <v>73000</v>
      </c>
      <c r="M79" s="55"/>
      <c r="N79" s="33">
        <v>73000</v>
      </c>
      <c r="O79" s="33" t="s">
        <v>194</v>
      </c>
      <c r="P79">
        <v>73000</v>
      </c>
      <c r="Q79">
        <f>73000*0.4</f>
        <v>29200</v>
      </c>
      <c r="R79">
        <v>0</v>
      </c>
    </row>
    <row r="80" spans="2:19">
      <c r="B80" s="25">
        <v>1</v>
      </c>
      <c r="C80" s="34" t="s">
        <v>58</v>
      </c>
      <c r="D80" s="34" t="s">
        <v>51</v>
      </c>
      <c r="E80" s="34" t="s">
        <v>28</v>
      </c>
      <c r="F80" s="56">
        <v>5</v>
      </c>
      <c r="G80" s="57"/>
      <c r="H80" s="34">
        <f>H81+H83+H85+I80</f>
        <v>12740</v>
      </c>
      <c r="I80" s="56">
        <v>440</v>
      </c>
      <c r="J80" s="56"/>
      <c r="K80" s="57"/>
      <c r="L80" s="56">
        <v>5120</v>
      </c>
      <c r="M80" s="57"/>
      <c r="N80" s="34">
        <v>1120</v>
      </c>
      <c r="O80" s="34" t="s">
        <v>165</v>
      </c>
      <c r="P80">
        <v>120</v>
      </c>
      <c r="Q80">
        <f>120*0.3</f>
        <v>36</v>
      </c>
      <c r="R80">
        <f>700*(0.3-0.26)+L85*(0.3-0.22)</f>
        <v>51.999999999999986</v>
      </c>
      <c r="S80">
        <f>N83*1%</f>
        <v>40</v>
      </c>
    </row>
    <row r="81" spans="2:19">
      <c r="B81" s="25">
        <v>2</v>
      </c>
      <c r="C81" s="34" t="s">
        <v>59</v>
      </c>
      <c r="D81" s="34" t="s">
        <v>58</v>
      </c>
      <c r="E81" s="34" t="s">
        <v>31</v>
      </c>
      <c r="F81" s="56">
        <v>4</v>
      </c>
      <c r="G81" s="57"/>
      <c r="H81" s="34">
        <v>3900</v>
      </c>
      <c r="I81" s="56">
        <v>3400</v>
      </c>
      <c r="J81" s="56"/>
      <c r="K81" s="57"/>
      <c r="L81" s="56">
        <v>700</v>
      </c>
      <c r="M81" s="57"/>
      <c r="N81" s="34">
        <v>700</v>
      </c>
      <c r="O81" s="34" t="s">
        <v>70</v>
      </c>
      <c r="P81">
        <v>200</v>
      </c>
      <c r="Q81">
        <f>200*0.26</f>
        <v>52</v>
      </c>
      <c r="R81">
        <f>500*(0.26-0.22)</f>
        <v>20.000000000000004</v>
      </c>
    </row>
    <row r="82" spans="2:19">
      <c r="B82" s="25">
        <v>3</v>
      </c>
      <c r="C82" s="34" t="s">
        <v>153</v>
      </c>
      <c r="D82" s="34" t="s">
        <v>59</v>
      </c>
      <c r="E82" s="34" t="s">
        <v>68</v>
      </c>
      <c r="F82" s="56">
        <v>3</v>
      </c>
      <c r="G82" s="57"/>
      <c r="H82" s="34">
        <v>500</v>
      </c>
      <c r="I82" s="56">
        <v>500</v>
      </c>
      <c r="J82" s="56"/>
      <c r="K82" s="57"/>
      <c r="L82" s="56">
        <v>500</v>
      </c>
      <c r="M82" s="57"/>
      <c r="N82" s="34">
        <v>500</v>
      </c>
      <c r="O82" s="34" t="s">
        <v>164</v>
      </c>
      <c r="P82">
        <v>500</v>
      </c>
      <c r="Q82">
        <f>500*0.22</f>
        <v>110</v>
      </c>
      <c r="R82">
        <v>0</v>
      </c>
    </row>
    <row r="83" spans="2:19">
      <c r="B83" s="25">
        <v>2</v>
      </c>
      <c r="C83" s="34" t="s">
        <v>60</v>
      </c>
      <c r="D83" s="34" t="s">
        <v>58</v>
      </c>
      <c r="E83" s="34" t="s">
        <v>30</v>
      </c>
      <c r="F83" s="56">
        <v>5</v>
      </c>
      <c r="G83" s="57"/>
      <c r="H83" s="34">
        <v>8100</v>
      </c>
      <c r="I83" s="56">
        <v>7100</v>
      </c>
      <c r="J83" s="56"/>
      <c r="K83" s="57"/>
      <c r="L83" s="56">
        <v>4000</v>
      </c>
      <c r="M83" s="57"/>
      <c r="N83" s="34">
        <v>4000</v>
      </c>
      <c r="O83" s="34" t="s">
        <v>163</v>
      </c>
      <c r="P83">
        <v>3000</v>
      </c>
      <c r="Q83">
        <f>3000*0.3</f>
        <v>900</v>
      </c>
      <c r="R83">
        <f>1000*(0.3-0.26)</f>
        <v>39.999999999999979</v>
      </c>
    </row>
    <row r="84" spans="2:19">
      <c r="B84" s="25">
        <v>3</v>
      </c>
      <c r="C84" s="34" t="s">
        <v>152</v>
      </c>
      <c r="D84" s="34" t="s">
        <v>60</v>
      </c>
      <c r="E84" s="34" t="s">
        <v>31</v>
      </c>
      <c r="F84" s="56">
        <v>4</v>
      </c>
      <c r="G84" s="57"/>
      <c r="H84" s="34">
        <v>1000</v>
      </c>
      <c r="I84" s="56">
        <v>1000</v>
      </c>
      <c r="J84" s="56"/>
      <c r="K84" s="57"/>
      <c r="L84" s="56">
        <v>1000</v>
      </c>
      <c r="M84" s="57"/>
      <c r="N84" s="34">
        <v>1000</v>
      </c>
      <c r="O84" s="34" t="s">
        <v>162</v>
      </c>
      <c r="P84">
        <v>1000</v>
      </c>
      <c r="Q84">
        <f>1000*0.26</f>
        <v>260</v>
      </c>
      <c r="R84">
        <v>0</v>
      </c>
    </row>
    <row r="85" spans="2:19">
      <c r="B85" s="25">
        <v>2</v>
      </c>
      <c r="C85" s="34" t="s">
        <v>151</v>
      </c>
      <c r="D85" s="34" t="s">
        <v>58</v>
      </c>
      <c r="E85" s="34" t="s">
        <v>30</v>
      </c>
      <c r="F85" s="56">
        <v>3</v>
      </c>
      <c r="G85" s="57"/>
      <c r="H85" s="34">
        <v>300</v>
      </c>
      <c r="I85" s="56">
        <v>300</v>
      </c>
      <c r="J85" s="56"/>
      <c r="K85" s="57"/>
      <c r="L85" s="56">
        <v>300</v>
      </c>
      <c r="M85" s="57"/>
      <c r="N85" s="34">
        <v>300</v>
      </c>
      <c r="O85" s="34" t="s">
        <v>85</v>
      </c>
      <c r="P85">
        <v>300</v>
      </c>
      <c r="Q85">
        <f>300*0.22</f>
        <v>66</v>
      </c>
      <c r="R85">
        <v>0</v>
      </c>
    </row>
    <row r="86" spans="2:19" ht="24">
      <c r="B86" s="27">
        <v>1</v>
      </c>
      <c r="C86" s="35" t="s">
        <v>61</v>
      </c>
      <c r="D86" s="35" t="s">
        <v>51</v>
      </c>
      <c r="E86" s="35" t="s">
        <v>29</v>
      </c>
      <c r="F86" s="58">
        <v>5</v>
      </c>
      <c r="G86" s="59"/>
      <c r="H86" s="35">
        <v>20270</v>
      </c>
      <c r="I86" s="58">
        <v>370</v>
      </c>
      <c r="J86" s="58"/>
      <c r="K86" s="59"/>
      <c r="L86" s="58">
        <v>9600</v>
      </c>
      <c r="M86" s="59"/>
      <c r="N86" s="35">
        <v>600</v>
      </c>
      <c r="O86" s="35" t="s">
        <v>70</v>
      </c>
      <c r="P86">
        <v>200</v>
      </c>
      <c r="Q86">
        <f>200*0.3</f>
        <v>60</v>
      </c>
      <c r="R86">
        <f>400*(0.3-0.22)</f>
        <v>31.999999999999996</v>
      </c>
      <c r="S86">
        <f>L87*0.01+L88*0.01</f>
        <v>90</v>
      </c>
    </row>
    <row r="87" spans="2:19" ht="24">
      <c r="B87" s="27">
        <v>2</v>
      </c>
      <c r="C87" s="35" t="s">
        <v>62</v>
      </c>
      <c r="D87" s="35" t="s">
        <v>61</v>
      </c>
      <c r="E87" s="35" t="s">
        <v>29</v>
      </c>
      <c r="F87" s="58">
        <v>5</v>
      </c>
      <c r="G87" s="59"/>
      <c r="H87" s="35">
        <v>14000</v>
      </c>
      <c r="I87" s="58">
        <v>14000</v>
      </c>
      <c r="J87" s="58"/>
      <c r="K87" s="59"/>
      <c r="L87" s="58">
        <v>7000</v>
      </c>
      <c r="M87" s="59"/>
      <c r="N87" s="35">
        <v>7000</v>
      </c>
      <c r="O87" s="35" t="s">
        <v>71</v>
      </c>
      <c r="P87">
        <v>7000</v>
      </c>
      <c r="Q87">
        <f>7000*0.3</f>
        <v>2100</v>
      </c>
      <c r="R87">
        <v>0</v>
      </c>
    </row>
    <row r="88" spans="2:19" ht="24">
      <c r="B88" s="27">
        <v>2</v>
      </c>
      <c r="C88" s="35" t="s">
        <v>63</v>
      </c>
      <c r="D88" s="35" t="s">
        <v>61</v>
      </c>
      <c r="E88" s="35" t="s">
        <v>28</v>
      </c>
      <c r="F88" s="58">
        <v>5</v>
      </c>
      <c r="G88" s="59"/>
      <c r="H88" s="35">
        <v>5500</v>
      </c>
      <c r="I88" s="58">
        <v>5500</v>
      </c>
      <c r="J88" s="58"/>
      <c r="K88" s="59"/>
      <c r="L88" s="58">
        <v>2000</v>
      </c>
      <c r="M88" s="59"/>
      <c r="N88" s="35">
        <v>2000</v>
      </c>
      <c r="O88" s="35" t="s">
        <v>161</v>
      </c>
      <c r="P88">
        <v>2000</v>
      </c>
      <c r="Q88">
        <f>2000*0.3</f>
        <v>600</v>
      </c>
      <c r="R88">
        <v>0</v>
      </c>
    </row>
    <row r="89" spans="2:19" ht="24">
      <c r="B89" s="27">
        <v>2</v>
      </c>
      <c r="C89" s="35" t="s">
        <v>149</v>
      </c>
      <c r="D89" s="35" t="s">
        <v>61</v>
      </c>
      <c r="E89" s="35" t="s">
        <v>29</v>
      </c>
      <c r="F89" s="58">
        <v>3</v>
      </c>
      <c r="G89" s="59"/>
      <c r="H89" s="35">
        <v>200</v>
      </c>
      <c r="I89" s="58">
        <v>200</v>
      </c>
      <c r="J89" s="58"/>
      <c r="K89" s="59"/>
      <c r="L89" s="58">
        <v>200</v>
      </c>
      <c r="M89" s="59"/>
      <c r="N89" s="35">
        <v>200</v>
      </c>
      <c r="O89" s="35" t="s">
        <v>70</v>
      </c>
      <c r="P89">
        <v>200</v>
      </c>
      <c r="Q89">
        <f>200*0.22</f>
        <v>44</v>
      </c>
      <c r="R89">
        <v>0</v>
      </c>
    </row>
    <row r="90" spans="2:19" ht="24">
      <c r="B90" s="27">
        <v>2</v>
      </c>
      <c r="C90" s="35" t="s">
        <v>150</v>
      </c>
      <c r="D90" s="35" t="s">
        <v>61</v>
      </c>
      <c r="E90" s="35" t="s">
        <v>28</v>
      </c>
      <c r="F90" s="58">
        <v>3</v>
      </c>
      <c r="G90" s="59"/>
      <c r="H90" s="35">
        <v>200</v>
      </c>
      <c r="I90" s="58">
        <v>200</v>
      </c>
      <c r="J90" s="58"/>
      <c r="K90" s="59"/>
      <c r="L90" s="58">
        <v>200</v>
      </c>
      <c r="M90" s="59"/>
      <c r="N90" s="35">
        <v>200</v>
      </c>
      <c r="O90" s="35" t="s">
        <v>70</v>
      </c>
      <c r="P90">
        <v>200</v>
      </c>
      <c r="Q90">
        <f>200*0.22</f>
        <v>44</v>
      </c>
      <c r="R90">
        <v>0</v>
      </c>
    </row>
    <row r="91" spans="2:19">
      <c r="B91" s="29">
        <v>1</v>
      </c>
      <c r="C91" s="36" t="s">
        <v>64</v>
      </c>
      <c r="D91" s="36" t="s">
        <v>51</v>
      </c>
      <c r="E91" s="36" t="s">
        <v>30</v>
      </c>
      <c r="F91" s="60">
        <v>4</v>
      </c>
      <c r="G91" s="61"/>
      <c r="H91" s="36">
        <v>1065</v>
      </c>
      <c r="I91" s="60">
        <v>265</v>
      </c>
      <c r="J91" s="60"/>
      <c r="K91" s="61"/>
      <c r="L91" s="60">
        <v>700</v>
      </c>
      <c r="M91" s="61"/>
      <c r="N91" s="36">
        <v>700</v>
      </c>
      <c r="O91" s="36" t="s">
        <v>72</v>
      </c>
      <c r="P91">
        <v>100</v>
      </c>
      <c r="Q91">
        <f>100*0.26</f>
        <v>26</v>
      </c>
      <c r="R91">
        <f>(L92+L93+L94)*(0.26-0.22)</f>
        <v>24.000000000000004</v>
      </c>
    </row>
    <row r="92" spans="2:19">
      <c r="B92" s="29">
        <v>2</v>
      </c>
      <c r="C92" s="36" t="s">
        <v>65</v>
      </c>
      <c r="D92" s="36" t="s">
        <v>64</v>
      </c>
      <c r="E92" s="36" t="s">
        <v>28</v>
      </c>
      <c r="F92" s="60">
        <v>3</v>
      </c>
      <c r="G92" s="61"/>
      <c r="H92" s="36">
        <v>400</v>
      </c>
      <c r="I92" s="60">
        <v>400</v>
      </c>
      <c r="J92" s="60"/>
      <c r="K92" s="61"/>
      <c r="L92" s="60">
        <v>200</v>
      </c>
      <c r="M92" s="61"/>
      <c r="N92" s="36">
        <v>200</v>
      </c>
      <c r="O92" s="36" t="s">
        <v>70</v>
      </c>
      <c r="P92">
        <v>200</v>
      </c>
      <c r="Q92">
        <f>P92*0.22</f>
        <v>44</v>
      </c>
      <c r="R92">
        <v>0</v>
      </c>
    </row>
    <row r="93" spans="2:19">
      <c r="B93" s="29">
        <v>2</v>
      </c>
      <c r="C93" s="36" t="s">
        <v>147</v>
      </c>
      <c r="D93" s="36" t="s">
        <v>64</v>
      </c>
      <c r="E93" s="36" t="s">
        <v>29</v>
      </c>
      <c r="F93" s="60">
        <v>3</v>
      </c>
      <c r="G93" s="61"/>
      <c r="H93" s="36">
        <v>200</v>
      </c>
      <c r="I93" s="60">
        <v>200</v>
      </c>
      <c r="J93" s="60"/>
      <c r="K93" s="61"/>
      <c r="L93" s="60">
        <v>200</v>
      </c>
      <c r="M93" s="61"/>
      <c r="N93" s="36">
        <v>200</v>
      </c>
      <c r="O93" s="36" t="s">
        <v>70</v>
      </c>
      <c r="P93">
        <v>200</v>
      </c>
      <c r="Q93">
        <f t="shared" ref="Q93:Q94" si="1">P93*0.22</f>
        <v>44</v>
      </c>
      <c r="R93">
        <v>0</v>
      </c>
    </row>
    <row r="94" spans="2:19">
      <c r="B94" s="29">
        <v>2</v>
      </c>
      <c r="C94" s="36" t="s">
        <v>148</v>
      </c>
      <c r="D94" s="36" t="s">
        <v>64</v>
      </c>
      <c r="E94" s="36" t="s">
        <v>28</v>
      </c>
      <c r="F94" s="60">
        <v>3</v>
      </c>
      <c r="G94" s="61"/>
      <c r="H94" s="36">
        <v>200</v>
      </c>
      <c r="I94" s="60">
        <v>200</v>
      </c>
      <c r="J94" s="60"/>
      <c r="K94" s="61"/>
      <c r="L94" s="60">
        <v>200</v>
      </c>
      <c r="M94" s="61"/>
      <c r="N94" s="36">
        <v>200</v>
      </c>
      <c r="O94" s="36" t="s">
        <v>70</v>
      </c>
      <c r="P94">
        <v>200</v>
      </c>
      <c r="Q94">
        <f t="shared" si="1"/>
        <v>44</v>
      </c>
      <c r="R94">
        <v>0</v>
      </c>
    </row>
    <row r="95" spans="2:19">
      <c r="B95" s="37"/>
      <c r="C95" s="37"/>
      <c r="D95" s="37"/>
      <c r="E95" s="37"/>
      <c r="F95" s="62"/>
      <c r="G95" s="62"/>
      <c r="H95" s="37"/>
      <c r="I95" s="62"/>
      <c r="J95" s="62"/>
      <c r="K95" s="62"/>
      <c r="L95" s="62"/>
      <c r="M95" s="62"/>
      <c r="N95" s="37"/>
      <c r="O95" s="37"/>
    </row>
    <row r="96" spans="2:19">
      <c r="B96" s="63" t="s">
        <v>86</v>
      </c>
      <c r="C96" s="63"/>
      <c r="D96" s="63"/>
      <c r="E96" s="63"/>
      <c r="F96" s="63"/>
      <c r="G96" s="64" t="s">
        <v>46</v>
      </c>
      <c r="H96" s="64"/>
      <c r="I96" s="64"/>
      <c r="J96" s="11" t="s">
        <v>47</v>
      </c>
      <c r="K96" s="63" t="s">
        <v>46</v>
      </c>
      <c r="L96" s="63"/>
      <c r="M96" s="63"/>
      <c r="N96" s="63"/>
      <c r="O96" s="63"/>
    </row>
    <row r="97" spans="2:19">
      <c r="P97">
        <f>SUM(P55:P94)</f>
        <v>464650</v>
      </c>
      <c r="Q97">
        <f t="shared" ref="Q97:S97" si="2">SUM(Q55:Q94)</f>
        <v>190471</v>
      </c>
      <c r="R97">
        <f t="shared" si="2"/>
        <v>7107.7999999999993</v>
      </c>
      <c r="S97">
        <f t="shared" si="2"/>
        <v>5485</v>
      </c>
    </row>
    <row r="98" spans="2:19">
      <c r="B98" t="s">
        <v>207</v>
      </c>
    </row>
    <row r="99" spans="2:19">
      <c r="B99" t="s">
        <v>214</v>
      </c>
      <c r="Q99">
        <f>Q97+R97</f>
        <v>197578.8</v>
      </c>
      <c r="R99">
        <f>Q97+R97+S97</f>
        <v>203063.8</v>
      </c>
    </row>
    <row r="100" spans="2:19">
      <c r="B100" t="s">
        <v>88</v>
      </c>
    </row>
    <row r="102" spans="2:19">
      <c r="R102">
        <f>R99/P97</f>
        <v>0.4370252878510707</v>
      </c>
    </row>
  </sheetData>
  <mergeCells count="276">
    <mergeCell ref="F5:G5"/>
    <mergeCell ref="I5:K5"/>
    <mergeCell ref="L5:M5"/>
    <mergeCell ref="F6:G6"/>
    <mergeCell ref="I6:K6"/>
    <mergeCell ref="L6:M6"/>
    <mergeCell ref="B1:O1"/>
    <mergeCell ref="B2:O2"/>
    <mergeCell ref="B3:D3"/>
    <mergeCell ref="E3:K3"/>
    <mergeCell ref="L3:O3"/>
    <mergeCell ref="F4:G4"/>
    <mergeCell ref="I4:K4"/>
    <mergeCell ref="L4:M4"/>
    <mergeCell ref="F9:G9"/>
    <mergeCell ref="I9:K9"/>
    <mergeCell ref="L9:M9"/>
    <mergeCell ref="F10:G10"/>
    <mergeCell ref="I10:K10"/>
    <mergeCell ref="L10:M10"/>
    <mergeCell ref="F7:G7"/>
    <mergeCell ref="I7:K7"/>
    <mergeCell ref="L7:M7"/>
    <mergeCell ref="F8:G8"/>
    <mergeCell ref="I8:K8"/>
    <mergeCell ref="L8:M8"/>
    <mergeCell ref="F13:G13"/>
    <mergeCell ref="I13:K13"/>
    <mergeCell ref="L13:M13"/>
    <mergeCell ref="F14:G14"/>
    <mergeCell ref="I14:K14"/>
    <mergeCell ref="L14:M14"/>
    <mergeCell ref="F11:G11"/>
    <mergeCell ref="I11:K11"/>
    <mergeCell ref="L11:M11"/>
    <mergeCell ref="F12:G12"/>
    <mergeCell ref="I12:K12"/>
    <mergeCell ref="L12:M12"/>
    <mergeCell ref="F17:G17"/>
    <mergeCell ref="I17:K17"/>
    <mergeCell ref="L17:M17"/>
    <mergeCell ref="F18:G18"/>
    <mergeCell ref="I18:K18"/>
    <mergeCell ref="L18:M18"/>
    <mergeCell ref="F15:G15"/>
    <mergeCell ref="I15:K15"/>
    <mergeCell ref="L15:M15"/>
    <mergeCell ref="F16:G16"/>
    <mergeCell ref="I16:K16"/>
    <mergeCell ref="L16:M16"/>
    <mergeCell ref="F21:G21"/>
    <mergeCell ref="I21:K21"/>
    <mergeCell ref="L21:M21"/>
    <mergeCell ref="F22:G22"/>
    <mergeCell ref="I22:K22"/>
    <mergeCell ref="L22:M22"/>
    <mergeCell ref="F19:G19"/>
    <mergeCell ref="I19:K19"/>
    <mergeCell ref="L19:M19"/>
    <mergeCell ref="F20:G20"/>
    <mergeCell ref="I20:K20"/>
    <mergeCell ref="L20:M20"/>
    <mergeCell ref="F25:G25"/>
    <mergeCell ref="I25:K25"/>
    <mergeCell ref="L25:M25"/>
    <mergeCell ref="F26:G26"/>
    <mergeCell ref="I26:K26"/>
    <mergeCell ref="L26:M26"/>
    <mergeCell ref="F23:G23"/>
    <mergeCell ref="I23:K23"/>
    <mergeCell ref="L23:M23"/>
    <mergeCell ref="F24:G24"/>
    <mergeCell ref="I24:K24"/>
    <mergeCell ref="L24:M24"/>
    <mergeCell ref="F29:G29"/>
    <mergeCell ref="I29:K29"/>
    <mergeCell ref="L29:M29"/>
    <mergeCell ref="F30:G30"/>
    <mergeCell ref="I30:K30"/>
    <mergeCell ref="L30:M30"/>
    <mergeCell ref="F27:G27"/>
    <mergeCell ref="I27:K27"/>
    <mergeCell ref="L27:M27"/>
    <mergeCell ref="F28:G28"/>
    <mergeCell ref="I28:K28"/>
    <mergeCell ref="L28:M28"/>
    <mergeCell ref="F33:G33"/>
    <mergeCell ref="I33:K33"/>
    <mergeCell ref="L33:M33"/>
    <mergeCell ref="F34:G34"/>
    <mergeCell ref="I34:K34"/>
    <mergeCell ref="L34:M34"/>
    <mergeCell ref="F31:G31"/>
    <mergeCell ref="I31:K31"/>
    <mergeCell ref="L31:M31"/>
    <mergeCell ref="F32:G32"/>
    <mergeCell ref="I32:K32"/>
    <mergeCell ref="L32:M32"/>
    <mergeCell ref="F37:G37"/>
    <mergeCell ref="I37:K37"/>
    <mergeCell ref="L37:M37"/>
    <mergeCell ref="F38:G38"/>
    <mergeCell ref="I38:K38"/>
    <mergeCell ref="L38:M38"/>
    <mergeCell ref="F35:G35"/>
    <mergeCell ref="I35:K35"/>
    <mergeCell ref="L35:M35"/>
    <mergeCell ref="F36:G36"/>
    <mergeCell ref="I36:K36"/>
    <mergeCell ref="L36:M36"/>
    <mergeCell ref="F41:G41"/>
    <mergeCell ref="I41:K41"/>
    <mergeCell ref="L41:M41"/>
    <mergeCell ref="F42:G42"/>
    <mergeCell ref="I42:K42"/>
    <mergeCell ref="L42:M42"/>
    <mergeCell ref="F39:G39"/>
    <mergeCell ref="I39:K39"/>
    <mergeCell ref="L39:M39"/>
    <mergeCell ref="F40:G40"/>
    <mergeCell ref="I40:K40"/>
    <mergeCell ref="L40:M40"/>
    <mergeCell ref="F45:G45"/>
    <mergeCell ref="I45:K45"/>
    <mergeCell ref="L45:M45"/>
    <mergeCell ref="F46:G46"/>
    <mergeCell ref="I46:K46"/>
    <mergeCell ref="L46:M46"/>
    <mergeCell ref="F43:G43"/>
    <mergeCell ref="I43:K43"/>
    <mergeCell ref="L43:M43"/>
    <mergeCell ref="F44:G44"/>
    <mergeCell ref="I44:K44"/>
    <mergeCell ref="L44:M44"/>
    <mergeCell ref="B52:D52"/>
    <mergeCell ref="E52:K52"/>
    <mergeCell ref="L52:O52"/>
    <mergeCell ref="F53:G53"/>
    <mergeCell ref="I53:K53"/>
    <mergeCell ref="L53:M53"/>
    <mergeCell ref="B47:F47"/>
    <mergeCell ref="G47:I47"/>
    <mergeCell ref="K47:L47"/>
    <mergeCell ref="M47:O47"/>
    <mergeCell ref="B50:O50"/>
    <mergeCell ref="B51:O51"/>
    <mergeCell ref="F56:G56"/>
    <mergeCell ref="I56:K56"/>
    <mergeCell ref="L56:M56"/>
    <mergeCell ref="F57:G57"/>
    <mergeCell ref="I57:K57"/>
    <mergeCell ref="L57:M57"/>
    <mergeCell ref="F54:G54"/>
    <mergeCell ref="I54:K54"/>
    <mergeCell ref="L54:M54"/>
    <mergeCell ref="F55:G55"/>
    <mergeCell ref="I55:K55"/>
    <mergeCell ref="L55:M55"/>
    <mergeCell ref="F60:G60"/>
    <mergeCell ref="I60:K60"/>
    <mergeCell ref="L60:M60"/>
    <mergeCell ref="F61:G61"/>
    <mergeCell ref="I61:K61"/>
    <mergeCell ref="L61:M61"/>
    <mergeCell ref="F58:G58"/>
    <mergeCell ref="I58:K58"/>
    <mergeCell ref="L58:M58"/>
    <mergeCell ref="F59:G59"/>
    <mergeCell ref="I59:K59"/>
    <mergeCell ref="L59:M59"/>
    <mergeCell ref="F64:G64"/>
    <mergeCell ref="I64:K64"/>
    <mergeCell ref="L64:M64"/>
    <mergeCell ref="F65:G65"/>
    <mergeCell ref="I65:K65"/>
    <mergeCell ref="L65:M65"/>
    <mergeCell ref="F62:G62"/>
    <mergeCell ref="I62:K62"/>
    <mergeCell ref="L62:M62"/>
    <mergeCell ref="F63:G63"/>
    <mergeCell ref="I63:K63"/>
    <mergeCell ref="L63:M63"/>
    <mergeCell ref="F68:G68"/>
    <mergeCell ref="I68:K68"/>
    <mergeCell ref="L68:M68"/>
    <mergeCell ref="F69:G69"/>
    <mergeCell ref="I69:K69"/>
    <mergeCell ref="L69:M69"/>
    <mergeCell ref="F66:G66"/>
    <mergeCell ref="I66:K66"/>
    <mergeCell ref="L66:M66"/>
    <mergeCell ref="F67:G67"/>
    <mergeCell ref="I67:K67"/>
    <mergeCell ref="L67:M67"/>
    <mergeCell ref="F72:G72"/>
    <mergeCell ref="I72:K72"/>
    <mergeCell ref="L72:M72"/>
    <mergeCell ref="F73:G73"/>
    <mergeCell ref="I73:K73"/>
    <mergeCell ref="L73:M73"/>
    <mergeCell ref="F70:G70"/>
    <mergeCell ref="I70:K70"/>
    <mergeCell ref="L70:M70"/>
    <mergeCell ref="F71:G71"/>
    <mergeCell ref="I71:K71"/>
    <mergeCell ref="L71:M71"/>
    <mergeCell ref="F76:G76"/>
    <mergeCell ref="I76:K76"/>
    <mergeCell ref="L76:M76"/>
    <mergeCell ref="F77:G77"/>
    <mergeCell ref="I77:K77"/>
    <mergeCell ref="L77:M77"/>
    <mergeCell ref="F74:G74"/>
    <mergeCell ref="I74:K74"/>
    <mergeCell ref="L74:M74"/>
    <mergeCell ref="F75:G75"/>
    <mergeCell ref="I75:K75"/>
    <mergeCell ref="L75:M75"/>
    <mergeCell ref="F80:G80"/>
    <mergeCell ref="I80:K80"/>
    <mergeCell ref="L80:M80"/>
    <mergeCell ref="F81:G81"/>
    <mergeCell ref="I81:K81"/>
    <mergeCell ref="L81:M81"/>
    <mergeCell ref="F78:G78"/>
    <mergeCell ref="I78:K78"/>
    <mergeCell ref="L78:M78"/>
    <mergeCell ref="F79:G79"/>
    <mergeCell ref="I79:K79"/>
    <mergeCell ref="L79:M79"/>
    <mergeCell ref="F84:G84"/>
    <mergeCell ref="I84:K84"/>
    <mergeCell ref="L84:M84"/>
    <mergeCell ref="F85:G85"/>
    <mergeCell ref="I85:K85"/>
    <mergeCell ref="L85:M85"/>
    <mergeCell ref="F82:G82"/>
    <mergeCell ref="I82:K82"/>
    <mergeCell ref="L82:M82"/>
    <mergeCell ref="F83:G83"/>
    <mergeCell ref="I83:K83"/>
    <mergeCell ref="L83:M83"/>
    <mergeCell ref="F88:G88"/>
    <mergeCell ref="I88:K88"/>
    <mergeCell ref="L88:M88"/>
    <mergeCell ref="F89:G89"/>
    <mergeCell ref="I89:K89"/>
    <mergeCell ref="L89:M89"/>
    <mergeCell ref="F86:G86"/>
    <mergeCell ref="I86:K86"/>
    <mergeCell ref="L86:M86"/>
    <mergeCell ref="F87:G87"/>
    <mergeCell ref="I87:K87"/>
    <mergeCell ref="L87:M87"/>
    <mergeCell ref="F92:G92"/>
    <mergeCell ref="I92:K92"/>
    <mergeCell ref="L92:M92"/>
    <mergeCell ref="F93:G93"/>
    <mergeCell ref="I93:K93"/>
    <mergeCell ref="L93:M93"/>
    <mergeCell ref="F90:G90"/>
    <mergeCell ref="I90:K90"/>
    <mergeCell ref="L90:M90"/>
    <mergeCell ref="F91:G91"/>
    <mergeCell ref="I91:K91"/>
    <mergeCell ref="L91:M91"/>
    <mergeCell ref="B96:F96"/>
    <mergeCell ref="G96:I96"/>
    <mergeCell ref="K96:L96"/>
    <mergeCell ref="M96:O96"/>
    <mergeCell ref="F94:G94"/>
    <mergeCell ref="I94:K94"/>
    <mergeCell ref="L94:M94"/>
    <mergeCell ref="F95:G95"/>
    <mergeCell ref="I95:K95"/>
    <mergeCell ref="L95:M9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会员加入表格</vt:lpstr>
      <vt:lpstr>月度销售汇总</vt:lpstr>
      <vt:lpstr>网络图</vt:lpstr>
      <vt:lpstr>网络树</vt:lpstr>
      <vt:lpstr>网络图 (正确)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2014-07-05T18:57:06Z</dcterms:modified>
</cp:coreProperties>
</file>