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13e4f97582377005/Documents/"/>
    </mc:Choice>
  </mc:AlternateContent>
  <xr:revisionPtr revIDLastSave="62" documentId="8_{4EC79F52-CA80-44C2-9E2F-C386BA9E2B04}" xr6:coauthVersionLast="47" xr6:coauthVersionMax="47" xr10:uidLastSave="{F8C17D6B-33BC-4E69-8ACD-F81C07E39C71}"/>
  <bookViews>
    <workbookView xWindow="-110" yWindow="-110" windowWidth="25180" windowHeight="16140" firstSheet="1" activeTab="10" xr2:uid="{00000000-000D-0000-FFFF-FFFF00000000}"/>
  </bookViews>
  <sheets>
    <sheet name="Budget" sheetId="1" r:id="rId1"/>
    <sheet name="Yearly Increase" sheetId="2" r:id="rId2"/>
    <sheet name="April" sheetId="3" r:id="rId3"/>
    <sheet name="May" sheetId="4" r:id="rId4"/>
    <sheet name="June" sheetId="6" r:id="rId5"/>
    <sheet name="July" sheetId="7" r:id="rId6"/>
    <sheet name="August" sheetId="10" r:id="rId7"/>
    <sheet name="September" sheetId="8" r:id="rId8"/>
    <sheet name="October " sheetId="11" r:id="rId9"/>
    <sheet name="November" sheetId="13" r:id="rId10"/>
    <sheet name="December" sheetId="14" r:id="rId11"/>
  </sheets>
  <definedNames>
    <definedName name="_xlnm._FilterDatabase" localSheetId="0" hidden="1">Budget!$B$19:$F$19</definedName>
    <definedName name="_xlnm._FilterDatabase" localSheetId="3" hidden="1">May!$A$24:$B$24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4" l="1"/>
  <c r="C7" i="14"/>
  <c r="E17" i="2"/>
  <c r="D16" i="2"/>
  <c r="E16" i="2"/>
  <c r="L4" i="1"/>
  <c r="L3" i="1"/>
  <c r="L5" i="1"/>
  <c r="C10" i="1"/>
  <c r="F8" i="1"/>
  <c r="F9" i="1"/>
  <c r="E15" i="2"/>
  <c r="D15" i="2"/>
  <c r="C8" i="1"/>
  <c r="F10" i="1"/>
  <c r="F12" i="1"/>
  <c r="F11" i="1"/>
  <c r="F14" i="1"/>
  <c r="C17" i="1"/>
  <c r="F22" i="1"/>
  <c r="G12" i="1"/>
  <c r="C9" i="13"/>
  <c r="C29" i="13"/>
  <c r="C30" i="13"/>
  <c r="B56" i="13"/>
  <c r="C9" i="11"/>
  <c r="C29" i="11"/>
  <c r="C30" i="11"/>
  <c r="B56" i="11"/>
  <c r="D51" i="1"/>
  <c r="E4" i="2"/>
  <c r="I23" i="2"/>
  <c r="E13" i="2"/>
  <c r="E12" i="2"/>
  <c r="E11" i="2"/>
  <c r="E10" i="2"/>
  <c r="E9" i="2"/>
  <c r="E8" i="2"/>
  <c r="E7" i="2"/>
  <c r="E6" i="2"/>
  <c r="E5" i="2"/>
  <c r="E14" i="2"/>
  <c r="F4" i="1"/>
  <c r="C7" i="1"/>
  <c r="D14" i="2"/>
  <c r="H23" i="2"/>
  <c r="C4" i="1"/>
  <c r="D23" i="2"/>
  <c r="D32" i="2" s="1"/>
  <c r="D4" i="2"/>
  <c r="D5" i="2"/>
  <c r="D6" i="2"/>
  <c r="D7" i="2"/>
  <c r="D8" i="2"/>
  <c r="D9" i="2"/>
  <c r="D10" i="2"/>
  <c r="D11" i="2"/>
  <c r="D12" i="2"/>
  <c r="D13" i="2"/>
  <c r="D53" i="1"/>
  <c r="F42" i="1"/>
  <c r="C5" i="10"/>
  <c r="C26" i="10"/>
  <c r="C27" i="10"/>
  <c r="B50" i="10"/>
  <c r="C23" i="10"/>
  <c r="D24" i="10"/>
  <c r="C11" i="10"/>
  <c r="D12" i="10"/>
  <c r="F32" i="1"/>
  <c r="I6" i="1"/>
  <c r="I8" i="1"/>
  <c r="I14" i="1"/>
  <c r="I11" i="1"/>
  <c r="I15" i="1"/>
  <c r="I18" i="1"/>
  <c r="I12" i="1"/>
  <c r="I9" i="1"/>
  <c r="B51" i="4"/>
  <c r="B50" i="4"/>
  <c r="B49" i="4"/>
  <c r="B53" i="4"/>
  <c r="C10" i="8"/>
  <c r="C4" i="8"/>
  <c r="C23" i="8"/>
  <c r="C24" i="8"/>
  <c r="B47" i="8"/>
  <c r="C20" i="8"/>
  <c r="D21" i="8"/>
  <c r="D11" i="8"/>
  <c r="C5" i="7"/>
  <c r="C10" i="7"/>
  <c r="C25" i="7"/>
  <c r="C26" i="7"/>
  <c r="B49" i="7"/>
  <c r="C22" i="7"/>
  <c r="D23" i="7"/>
  <c r="D11" i="7"/>
  <c r="C4" i="4"/>
  <c r="C21" i="4"/>
  <c r="C22" i="4"/>
  <c r="B46" i="4"/>
  <c r="C10" i="6"/>
  <c r="C9" i="4"/>
  <c r="D10" i="4"/>
  <c r="C4" i="6"/>
  <c r="C24" i="6"/>
  <c r="C25" i="6"/>
  <c r="B48" i="6"/>
  <c r="C21" i="6"/>
  <c r="D22" i="6"/>
  <c r="D11" i="6"/>
  <c r="C18" i="4"/>
  <c r="D19" i="4"/>
  <c r="C20" i="3"/>
  <c r="C4" i="3"/>
  <c r="C21" i="3"/>
  <c r="B36" i="3"/>
  <c r="C17" i="3"/>
  <c r="D18" i="3"/>
  <c r="C9" i="3"/>
  <c r="D10" i="3"/>
  <c r="F33" i="1"/>
  <c r="F28" i="1"/>
  <c r="F29" i="1"/>
  <c r="F30" i="1"/>
  <c r="F47" i="1"/>
  <c r="F50" i="1"/>
  <c r="F45" i="1"/>
  <c r="F46" i="1"/>
  <c r="F48" i="1"/>
  <c r="F52" i="1"/>
  <c r="F51" i="1"/>
  <c r="F20" i="1"/>
  <c r="F21" i="1"/>
  <c r="F41" i="1"/>
  <c r="F39" i="1"/>
  <c r="F43" i="1"/>
  <c r="F40" i="1"/>
  <c r="F49" i="1"/>
  <c r="F26" i="1"/>
  <c r="F23" i="1"/>
  <c r="F24" i="1"/>
  <c r="F25" i="1"/>
  <c r="F27" i="1"/>
  <c r="F31" i="1"/>
  <c r="F34" i="1"/>
  <c r="F35" i="1"/>
  <c r="F36" i="1"/>
  <c r="F37" i="1"/>
  <c r="F38" i="1"/>
  <c r="F44" i="1"/>
  <c r="F53" i="1"/>
  <c r="F5" i="1"/>
  <c r="F7" i="1"/>
  <c r="C5" i="1"/>
  <c r="C9" i="1"/>
  <c r="C12" i="1"/>
  <c r="C11" i="1"/>
  <c r="C16" i="1"/>
  <c r="C18" i="1"/>
  <c r="D12" i="1"/>
  <c r="F15" i="1"/>
  <c r="E22" i="1"/>
  <c r="E52" i="1"/>
  <c r="E51" i="1"/>
  <c r="E50" i="1"/>
  <c r="E49" i="1"/>
  <c r="E48" i="1"/>
  <c r="H26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H25" i="1"/>
  <c r="E24" i="1"/>
  <c r="E23" i="1"/>
  <c r="E21" i="1"/>
  <c r="E20" i="1"/>
  <c r="H24" i="1"/>
  <c r="D54" i="1"/>
  <c r="D63" i="1"/>
  <c r="D64" i="1"/>
  <c r="D65" i="1"/>
  <c r="D66" i="1"/>
  <c r="D67" i="1"/>
  <c r="D68" i="1"/>
  <c r="D69" i="1"/>
  <c r="D70" i="1"/>
  <c r="D71" i="1"/>
  <c r="D72" i="1"/>
  <c r="D73" i="1"/>
  <c r="D62" i="1"/>
  <c r="D56" i="1"/>
  <c r="D59" i="1"/>
  <c r="C28" i="14" l="1"/>
  <c r="B54" i="14" s="1"/>
  <c r="D33" i="2"/>
  <c r="D34" i="2"/>
  <c r="D35" i="2"/>
  <c r="D36" i="2"/>
  <c r="G23" i="2"/>
  <c r="D28" i="2"/>
  <c r="D30" i="2"/>
  <c r="D31" i="2"/>
  <c r="D26" i="2"/>
  <c r="D27" i="2"/>
  <c r="D29" i="2"/>
</calcChain>
</file>

<file path=xl/sharedStrings.xml><?xml version="1.0" encoding="utf-8"?>
<sst xmlns="http://schemas.openxmlformats.org/spreadsheetml/2006/main" count="448" uniqueCount="185">
  <si>
    <t>Income</t>
  </si>
  <si>
    <t>Potential Income</t>
  </si>
  <si>
    <t>Mortgage Calculator</t>
  </si>
  <si>
    <t>HR</t>
  </si>
  <si>
    <t>Salary</t>
  </si>
  <si>
    <t>Price</t>
  </si>
  <si>
    <t>Weekly</t>
  </si>
  <si>
    <t>Bonus</t>
  </si>
  <si>
    <t>Hourly Rate</t>
  </si>
  <si>
    <t>Interest Rate</t>
  </si>
  <si>
    <t>Yearly</t>
  </si>
  <si>
    <t>Annually Salary</t>
  </si>
  <si>
    <t>Term/N</t>
  </si>
  <si>
    <t xml:space="preserve">Monthly </t>
  </si>
  <si>
    <t>Down Payment %</t>
  </si>
  <si>
    <t>Monthly</t>
  </si>
  <si>
    <t>Down Payment</t>
  </si>
  <si>
    <t>Bi-Week</t>
  </si>
  <si>
    <t xml:space="preserve">Loan Amount </t>
  </si>
  <si>
    <t>Taxes</t>
  </si>
  <si>
    <t>Rate/12</t>
  </si>
  <si>
    <t>Deductions</t>
  </si>
  <si>
    <t xml:space="preserve">#Payments </t>
  </si>
  <si>
    <t>Net Monthly</t>
  </si>
  <si>
    <t>Principal</t>
  </si>
  <si>
    <t>Net Bi-Weekly</t>
  </si>
  <si>
    <t>Additional Income</t>
  </si>
  <si>
    <t xml:space="preserve">Mortgage Payment </t>
  </si>
  <si>
    <t xml:space="preserve">Annually Net Income </t>
  </si>
  <si>
    <t xml:space="preserve">Insurance </t>
  </si>
  <si>
    <t>Other</t>
  </si>
  <si>
    <t>Mortgage Insurance</t>
  </si>
  <si>
    <t>Bal</t>
  </si>
  <si>
    <t>Total</t>
  </si>
  <si>
    <t>Percentage</t>
  </si>
  <si>
    <t>Annual</t>
  </si>
  <si>
    <t xml:space="preserve">Total Mortgage Payment </t>
  </si>
  <si>
    <t>Bills</t>
  </si>
  <si>
    <t>Amounts</t>
  </si>
  <si>
    <t>Housing</t>
  </si>
  <si>
    <t>Electric</t>
  </si>
  <si>
    <t xml:space="preserve">Car Insurance </t>
  </si>
  <si>
    <t>Loan Pmt</t>
  </si>
  <si>
    <t>Gas/Water/Sewer/Trash/Recycling</t>
  </si>
  <si>
    <t xml:space="preserve">50 percent of your income lumped together for rent, insurance, transportation, groceries, utilities and the debts you have for minimum credit card payments, car payments or student loan payments.  </t>
  </si>
  <si>
    <t>TV</t>
  </si>
  <si>
    <t>You have 30 percent for pleasure, such as cable TV or online services, dining or nightlife, hobbies, sporting events, gym memberships, or other entertainment activities.</t>
  </si>
  <si>
    <t>Phones</t>
  </si>
  <si>
    <t>That leaves you with 20 percent for your savings and an emergency fund to use if anything unexpected pops up.</t>
  </si>
  <si>
    <t>Internet</t>
  </si>
  <si>
    <t>Gas</t>
  </si>
  <si>
    <t>Food</t>
  </si>
  <si>
    <t>Food (Eating Out)</t>
  </si>
  <si>
    <t>House/Car Ins</t>
  </si>
  <si>
    <t>Random Subscriptions</t>
  </si>
  <si>
    <t>Microsoft</t>
  </si>
  <si>
    <t>Water Softener</t>
  </si>
  <si>
    <t>Amazon</t>
  </si>
  <si>
    <t>Nebraska Furniture</t>
  </si>
  <si>
    <t>IV Appointment</t>
  </si>
  <si>
    <t>Hair</t>
  </si>
  <si>
    <t>Meds</t>
  </si>
  <si>
    <t>Gym</t>
  </si>
  <si>
    <t>Credit Cards</t>
  </si>
  <si>
    <t>Victoria</t>
  </si>
  <si>
    <t>ABC Mouse</t>
  </si>
  <si>
    <t>Diagpers/Wipes</t>
  </si>
  <si>
    <t>Activities</t>
  </si>
  <si>
    <t>Entertainment</t>
  </si>
  <si>
    <t>Household</t>
  </si>
  <si>
    <t>Savings</t>
  </si>
  <si>
    <t>Misc</t>
  </si>
  <si>
    <t>Tithes</t>
  </si>
  <si>
    <t>ChildCare</t>
  </si>
  <si>
    <t>Debt</t>
  </si>
  <si>
    <t>Surplus Money</t>
  </si>
  <si>
    <t xml:space="preserve">12mo Previous </t>
  </si>
  <si>
    <t>Deficit:</t>
  </si>
  <si>
    <t>Saving</t>
  </si>
  <si>
    <t>Mo</t>
  </si>
  <si>
    <t>Year</t>
  </si>
  <si>
    <t>Dollar Increase</t>
  </si>
  <si>
    <t>Increase of Year by %</t>
  </si>
  <si>
    <t>MIN</t>
  </si>
  <si>
    <t>MAX</t>
  </si>
  <si>
    <t>MID</t>
  </si>
  <si>
    <t>DESIRED $</t>
  </si>
  <si>
    <t>MID%</t>
  </si>
  <si>
    <t xml:space="preserve">INCREASE </t>
  </si>
  <si>
    <t xml:space="preserve">%INCREASE </t>
  </si>
  <si>
    <t xml:space="preserve">
</t>
  </si>
  <si>
    <t>Pay Check</t>
  </si>
  <si>
    <t>20190405CK</t>
  </si>
  <si>
    <t>20190419CK</t>
  </si>
  <si>
    <t>Months Balance</t>
  </si>
  <si>
    <t>Main Bills</t>
  </si>
  <si>
    <t>Rent</t>
  </si>
  <si>
    <t>MidAmerican</t>
  </si>
  <si>
    <t>Insurance</t>
  </si>
  <si>
    <t>Subscription</t>
  </si>
  <si>
    <t>Injection</t>
  </si>
  <si>
    <t>L Credit Debt</t>
  </si>
  <si>
    <t>Sling</t>
  </si>
  <si>
    <t>Car Payment</t>
  </si>
  <si>
    <t>Remaining</t>
  </si>
  <si>
    <t>Ledger</t>
  </si>
  <si>
    <t>Book fees</t>
  </si>
  <si>
    <t>Groceries</t>
  </si>
  <si>
    <t>Credit L</t>
  </si>
  <si>
    <t>Credit V</t>
  </si>
  <si>
    <t>Massage</t>
  </si>
  <si>
    <t>.</t>
  </si>
  <si>
    <t>Facial</t>
  </si>
  <si>
    <t>House hold</t>
  </si>
  <si>
    <t>Eating Out</t>
  </si>
  <si>
    <t>Left</t>
  </si>
  <si>
    <t>L Phoenix</t>
  </si>
  <si>
    <t>Google</t>
  </si>
  <si>
    <t xml:space="preserve">Vsecured </t>
  </si>
  <si>
    <t>MidK</t>
  </si>
  <si>
    <t>Birthday</t>
  </si>
  <si>
    <t>Van Plates</t>
  </si>
  <si>
    <t>L Cards</t>
  </si>
  <si>
    <t>Take out</t>
  </si>
  <si>
    <t>Medication</t>
  </si>
  <si>
    <t>China Foot</t>
  </si>
  <si>
    <t>Remaining Monthly Balance</t>
  </si>
  <si>
    <t>Davis Country</t>
  </si>
  <si>
    <t>Car Plates</t>
  </si>
  <si>
    <t>20190705CK</t>
  </si>
  <si>
    <t>20190712CK</t>
  </si>
  <si>
    <t>Other Income</t>
  </si>
  <si>
    <t>VCards</t>
  </si>
  <si>
    <t>LCards</t>
  </si>
  <si>
    <t>20210806CK</t>
  </si>
  <si>
    <t>20210823CK</t>
  </si>
  <si>
    <t>Childta credit</t>
  </si>
  <si>
    <t>ATT</t>
  </si>
  <si>
    <t>Water</t>
  </si>
  <si>
    <t>Medicom</t>
  </si>
  <si>
    <t>NFM Credit</t>
  </si>
  <si>
    <t>Bestbuy</t>
  </si>
  <si>
    <t>Flooring</t>
  </si>
  <si>
    <t>Lifetime</t>
  </si>
  <si>
    <t>Discover</t>
  </si>
  <si>
    <t>Overdraft</t>
  </si>
  <si>
    <t>School Supplies</t>
  </si>
  <si>
    <t>Nike</t>
  </si>
  <si>
    <t>Target</t>
  </si>
  <si>
    <t>DQ</t>
  </si>
  <si>
    <t>Pizza</t>
  </si>
  <si>
    <t>NFL</t>
  </si>
  <si>
    <t>PayPal</t>
  </si>
  <si>
    <t>Darrell</t>
  </si>
  <si>
    <t>Popeyes</t>
  </si>
  <si>
    <t>Burlington</t>
  </si>
  <si>
    <t>BKing</t>
  </si>
  <si>
    <t>EA</t>
  </si>
  <si>
    <t>Payday</t>
  </si>
  <si>
    <t>Negative</t>
  </si>
  <si>
    <t>20221005STCH</t>
  </si>
  <si>
    <t>20221012STCH</t>
  </si>
  <si>
    <t>20221014WLCK</t>
  </si>
  <si>
    <t>20221019STCH</t>
  </si>
  <si>
    <t>20221026STCH</t>
  </si>
  <si>
    <t>20221028WLCK</t>
  </si>
  <si>
    <t>7th</t>
  </si>
  <si>
    <t>1st</t>
  </si>
  <si>
    <t>3rd</t>
  </si>
  <si>
    <t>14th</t>
  </si>
  <si>
    <t>26th</t>
  </si>
  <si>
    <t>13th</t>
  </si>
  <si>
    <t>Walmart Card</t>
  </si>
  <si>
    <t>19th</t>
  </si>
  <si>
    <t xml:space="preserve">Amazon </t>
  </si>
  <si>
    <t>30th</t>
  </si>
  <si>
    <t>11th</t>
  </si>
  <si>
    <t>20241204RECH</t>
  </si>
  <si>
    <t>20241218RECH</t>
  </si>
  <si>
    <t>20241204WLCK</t>
  </si>
  <si>
    <t>20241218WLCK</t>
  </si>
  <si>
    <t>Youtube</t>
  </si>
  <si>
    <t>Mortgage</t>
  </si>
  <si>
    <t>Mom</t>
  </si>
  <si>
    <t>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</si>
</sst>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$-409]#,##0.00"/>
    <numFmt numFmtId="166" formatCode="_([$$-409]* #,##0.0_);_([$$-409]* \(#,##0.0\);_([$$-409]* &quot;-&quot;??_);_(@_)"/>
    <numFmt numFmtId="167" formatCode="0.00000"/>
    <numFmt numFmtId="168" formatCode="_(* #,##0_);_(* \(#,##0\);_(* &quot;-&quot;??_);_(@_)"/>
    <numFmt numFmtId="169" formatCode="[$$-409]#,##0.000"/>
    <numFmt numFmtId="170" formatCode="_(&quot;$&quot;* #,##0.000_);_(&quot;$&quot;* \(#,##0.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medium">
        <color rgb="FF505050"/>
      </right>
      <top style="thin">
        <color indexed="64"/>
      </top>
      <bottom style="medium">
        <color rgb="FF50505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/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/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505050"/>
      </right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190">
    <xf numFmtId="0" fontId="0" fillId="0" borderId="0" xfId="0"/>
    <xf numFmtId="44" fontId="0" fillId="0" borderId="1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14" xfId="1" applyFont="1" applyBorder="1"/>
    <xf numFmtId="44" fontId="2" fillId="0" borderId="15" xfId="1" applyFont="1" applyBorder="1"/>
    <xf numFmtId="44" fontId="0" fillId="0" borderId="16" xfId="1" applyFont="1" applyBorder="1"/>
    <xf numFmtId="44" fontId="0" fillId="0" borderId="18" xfId="1" applyFont="1" applyBorder="1"/>
    <xf numFmtId="44" fontId="0" fillId="0" borderId="22" xfId="1" applyFont="1" applyBorder="1"/>
    <xf numFmtId="44" fontId="0" fillId="2" borderId="27" xfId="1" applyFont="1" applyFill="1" applyBorder="1"/>
    <xf numFmtId="44" fontId="0" fillId="2" borderId="28" xfId="1" applyFont="1" applyFill="1" applyBorder="1"/>
    <xf numFmtId="44" fontId="0" fillId="2" borderId="26" xfId="1" applyFont="1" applyFill="1" applyBorder="1"/>
    <xf numFmtId="0" fontId="3" fillId="3" borderId="38" xfId="0" applyFont="1" applyFill="1" applyBorder="1" applyAlignment="1">
      <alignment wrapText="1"/>
    </xf>
    <xf numFmtId="44" fontId="0" fillId="4" borderId="26" xfId="1" applyFont="1" applyFill="1" applyBorder="1"/>
    <xf numFmtId="10" fontId="0" fillId="0" borderId="10" xfId="1" applyNumberFormat="1" applyFont="1" applyBorder="1"/>
    <xf numFmtId="44" fontId="2" fillId="0" borderId="45" xfId="1" applyFont="1" applyBorder="1"/>
    <xf numFmtId="166" fontId="3" fillId="4" borderId="39" xfId="0" applyNumberFormat="1" applyFont="1" applyFill="1" applyBorder="1"/>
    <xf numFmtId="0" fontId="1" fillId="5" borderId="0" xfId="2"/>
    <xf numFmtId="0" fontId="1" fillId="7" borderId="0" xfId="4"/>
    <xf numFmtId="0" fontId="1" fillId="6" borderId="0" xfId="3"/>
    <xf numFmtId="165" fontId="1" fillId="7" borderId="0" xfId="4" applyNumberFormat="1"/>
    <xf numFmtId="165" fontId="1" fillId="6" borderId="0" xfId="3" applyNumberFormat="1"/>
    <xf numFmtId="165" fontId="1" fillId="5" borderId="0" xfId="2" applyNumberFormat="1"/>
    <xf numFmtId="0" fontId="2" fillId="5" borderId="0" xfId="2" applyFont="1"/>
    <xf numFmtId="0" fontId="2" fillId="0" borderId="0" xfId="0" applyFont="1"/>
    <xf numFmtId="0" fontId="1" fillId="8" borderId="0" xfId="5"/>
    <xf numFmtId="165" fontId="1" fillId="8" borderId="0" xfId="5" applyNumberFormat="1"/>
    <xf numFmtId="165" fontId="0" fillId="0" borderId="0" xfId="0" applyNumberFormat="1"/>
    <xf numFmtId="0" fontId="1" fillId="9" borderId="0" xfId="6"/>
    <xf numFmtId="165" fontId="1" fillId="9" borderId="0" xfId="6" applyNumberFormat="1"/>
    <xf numFmtId="16" fontId="0" fillId="0" borderId="0" xfId="0" applyNumberFormat="1"/>
    <xf numFmtId="165" fontId="0" fillId="3" borderId="0" xfId="0" applyNumberFormat="1" applyFill="1"/>
    <xf numFmtId="0" fontId="6" fillId="10" borderId="0" xfId="7" applyAlignment="1">
      <alignment wrapText="1"/>
    </xf>
    <xf numFmtId="0" fontId="1" fillId="12" borderId="0" xfId="8" applyFill="1" applyAlignment="1">
      <alignment horizontal="left" wrapText="1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4" fontId="7" fillId="0" borderId="53" xfId="1" applyFont="1" applyBorder="1"/>
    <xf numFmtId="44" fontId="7" fillId="0" borderId="54" xfId="1" applyFont="1" applyBorder="1"/>
    <xf numFmtId="44" fontId="0" fillId="16" borderId="16" xfId="1" applyFont="1" applyFill="1" applyBorder="1"/>
    <xf numFmtId="44" fontId="0" fillId="16" borderId="51" xfId="1" applyFont="1" applyFill="1" applyBorder="1"/>
    <xf numFmtId="0" fontId="2" fillId="14" borderId="33" xfId="0" applyFont="1" applyFill="1" applyBorder="1"/>
    <xf numFmtId="0" fontId="2" fillId="14" borderId="40" xfId="0" applyFont="1" applyFill="1" applyBorder="1"/>
    <xf numFmtId="0" fontId="2" fillId="14" borderId="11" xfId="0" applyFont="1" applyFill="1" applyBorder="1"/>
    <xf numFmtId="165" fontId="0" fillId="0" borderId="11" xfId="0" applyNumberFormat="1" applyBorder="1"/>
    <xf numFmtId="10" fontId="0" fillId="0" borderId="0" xfId="0" applyNumberFormat="1" applyAlignment="1">
      <alignment horizontal="left"/>
    </xf>
    <xf numFmtId="165" fontId="0" fillId="0" borderId="11" xfId="0" applyNumberFormat="1" applyBorder="1" applyAlignment="1">
      <alignment horizontal="left"/>
    </xf>
    <xf numFmtId="10" fontId="0" fillId="0" borderId="11" xfId="0" applyNumberFormat="1" applyBorder="1" applyAlignment="1">
      <alignment horizontal="left"/>
    </xf>
    <xf numFmtId="10" fontId="0" fillId="0" borderId="57" xfId="0" applyNumberFormat="1" applyBorder="1" applyAlignment="1">
      <alignment horizontal="left"/>
    </xf>
    <xf numFmtId="165" fontId="0" fillId="0" borderId="57" xfId="0" applyNumberFormat="1" applyBorder="1"/>
    <xf numFmtId="165" fontId="0" fillId="15" borderId="11" xfId="0" applyNumberFormat="1" applyFill="1" applyBorder="1" applyAlignment="1">
      <alignment horizontal="left"/>
    </xf>
    <xf numFmtId="0" fontId="0" fillId="15" borderId="11" xfId="0" applyFill="1" applyBorder="1"/>
    <xf numFmtId="0" fontId="0" fillId="17" borderId="11" xfId="0" applyFill="1" applyBorder="1"/>
    <xf numFmtId="165" fontId="0" fillId="17" borderId="11" xfId="0" applyNumberFormat="1" applyFill="1" applyBorder="1" applyAlignment="1">
      <alignment horizontal="left"/>
    </xf>
    <xf numFmtId="0" fontId="0" fillId="17" borderId="58" xfId="0" applyFill="1" applyBorder="1"/>
    <xf numFmtId="10" fontId="0" fillId="0" borderId="58" xfId="0" applyNumberFormat="1" applyBorder="1"/>
    <xf numFmtId="165" fontId="0" fillId="0" borderId="58" xfId="0" applyNumberFormat="1" applyBorder="1"/>
    <xf numFmtId="10" fontId="0" fillId="0" borderId="0" xfId="0" applyNumberFormat="1"/>
    <xf numFmtId="10" fontId="0" fillId="0" borderId="11" xfId="0" applyNumberFormat="1" applyBorder="1"/>
    <xf numFmtId="0" fontId="0" fillId="6" borderId="0" xfId="3" applyFont="1"/>
    <xf numFmtId="165" fontId="0" fillId="6" borderId="0" xfId="3" applyNumberFormat="1" applyFont="1"/>
    <xf numFmtId="165" fontId="0" fillId="5" borderId="0" xfId="2" applyNumberFormat="1" applyFont="1"/>
    <xf numFmtId="0" fontId="0" fillId="5" borderId="0" xfId="2" applyFont="1"/>
    <xf numFmtId="0" fontId="0" fillId="9" borderId="0" xfId="6" applyFont="1"/>
    <xf numFmtId="165" fontId="0" fillId="9" borderId="0" xfId="6" applyNumberFormat="1" applyFont="1"/>
    <xf numFmtId="0" fontId="0" fillId="8" borderId="0" xfId="5" applyFont="1"/>
    <xf numFmtId="165" fontId="0" fillId="8" borderId="0" xfId="5" applyNumberFormat="1" applyFont="1"/>
    <xf numFmtId="0" fontId="0" fillId="12" borderId="0" xfId="8" applyFont="1" applyFill="1" applyAlignment="1">
      <alignment horizontal="left" wrapText="1"/>
    </xf>
    <xf numFmtId="0" fontId="0" fillId="19" borderId="0" xfId="3" applyFont="1" applyFill="1"/>
    <xf numFmtId="165" fontId="0" fillId="19" borderId="0" xfId="3" applyNumberFormat="1" applyFont="1" applyFill="1"/>
    <xf numFmtId="0" fontId="0" fillId="19" borderId="0" xfId="4" applyFont="1" applyFill="1"/>
    <xf numFmtId="165" fontId="0" fillId="19" borderId="0" xfId="4" applyNumberFormat="1" applyFont="1" applyFill="1"/>
    <xf numFmtId="0" fontId="0" fillId="20" borderId="0" xfId="4" applyFont="1" applyFill="1"/>
    <xf numFmtId="165" fontId="0" fillId="20" borderId="0" xfId="4" applyNumberFormat="1" applyFont="1" applyFill="1"/>
    <xf numFmtId="0" fontId="0" fillId="20" borderId="0" xfId="3" applyFont="1" applyFill="1"/>
    <xf numFmtId="165" fontId="0" fillId="20" borderId="0" xfId="3" applyNumberFormat="1" applyFont="1" applyFill="1"/>
    <xf numFmtId="0" fontId="3" fillId="3" borderId="63" xfId="0" applyFont="1" applyFill="1" applyBorder="1" applyAlignment="1">
      <alignment wrapText="1"/>
    </xf>
    <xf numFmtId="0" fontId="3" fillId="14" borderId="47" xfId="0" applyFont="1" applyFill="1" applyBorder="1"/>
    <xf numFmtId="0" fontId="2" fillId="14" borderId="47" xfId="0" applyFont="1" applyFill="1" applyBorder="1" applyAlignment="1">
      <alignment horizontal="center"/>
    </xf>
    <xf numFmtId="0" fontId="2" fillId="14" borderId="4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0" fillId="0" borderId="0" xfId="0" applyFont="1"/>
    <xf numFmtId="0" fontId="0" fillId="18" borderId="26" xfId="0" applyFont="1" applyFill="1" applyBorder="1"/>
    <xf numFmtId="0" fontId="0" fillId="0" borderId="59" xfId="0" applyFont="1" applyBorder="1"/>
    <xf numFmtId="0" fontId="0" fillId="2" borderId="30" xfId="0" applyFont="1" applyFill="1" applyBorder="1"/>
    <xf numFmtId="0" fontId="0" fillId="2" borderId="33" xfId="0" applyFont="1" applyFill="1" applyBorder="1"/>
    <xf numFmtId="0" fontId="0" fillId="13" borderId="42" xfId="0" applyFont="1" applyFill="1" applyBorder="1"/>
    <xf numFmtId="6" fontId="0" fillId="0" borderId="43" xfId="0" applyNumberFormat="1" applyFont="1" applyBorder="1"/>
    <xf numFmtId="0" fontId="0" fillId="18" borderId="27" xfId="0" applyFont="1" applyFill="1" applyBorder="1"/>
    <xf numFmtId="165" fontId="0" fillId="0" borderId="60" xfId="0" applyNumberFormat="1" applyFont="1" applyBorder="1"/>
    <xf numFmtId="0" fontId="0" fillId="2" borderId="31" xfId="0" applyFont="1" applyFill="1" applyBorder="1"/>
    <xf numFmtId="0" fontId="0" fillId="2" borderId="35" xfId="0" applyFont="1" applyFill="1" applyBorder="1"/>
    <xf numFmtId="0" fontId="0" fillId="13" borderId="35" xfId="0" applyFont="1" applyFill="1" applyBorder="1"/>
    <xf numFmtId="10" fontId="0" fillId="0" borderId="36" xfId="0" applyNumberFormat="1" applyFont="1" applyBorder="1"/>
    <xf numFmtId="0" fontId="0" fillId="18" borderId="28" xfId="0" applyFont="1" applyFill="1" applyBorder="1"/>
    <xf numFmtId="169" fontId="0" fillId="0" borderId="61" xfId="0" applyNumberFormat="1" applyFont="1" applyBorder="1"/>
    <xf numFmtId="0" fontId="0" fillId="2" borderId="32" xfId="0" applyFont="1" applyFill="1" applyBorder="1"/>
    <xf numFmtId="0" fontId="0" fillId="2" borderId="40" xfId="0" applyFont="1" applyFill="1" applyBorder="1"/>
    <xf numFmtId="3" fontId="0" fillId="0" borderId="36" xfId="0" applyNumberFormat="1" applyFont="1" applyBorder="1"/>
    <xf numFmtId="0" fontId="0" fillId="0" borderId="0" xfId="0" applyFont="1" applyAlignment="1">
      <alignment wrapText="1"/>
    </xf>
    <xf numFmtId="0" fontId="0" fillId="2" borderId="25" xfId="0" applyFont="1" applyFill="1" applyBorder="1"/>
    <xf numFmtId="0" fontId="0" fillId="2" borderId="29" xfId="0" applyFont="1" applyFill="1" applyBorder="1"/>
    <xf numFmtId="0" fontId="0" fillId="2" borderId="38" xfId="0" applyFont="1" applyFill="1" applyBorder="1"/>
    <xf numFmtId="165" fontId="0" fillId="0" borderId="0" xfId="0" applyNumberFormat="1" applyFont="1"/>
    <xf numFmtId="0" fontId="0" fillId="0" borderId="0" xfId="0" applyFont="1" applyAlignment="1">
      <alignment vertical="top" wrapText="1"/>
    </xf>
    <xf numFmtId="0" fontId="0" fillId="2" borderId="42" xfId="0" applyFont="1" applyFill="1" applyBorder="1"/>
    <xf numFmtId="6" fontId="0" fillId="0" borderId="36" xfId="0" applyNumberFormat="1" applyFont="1" applyBorder="1"/>
    <xf numFmtId="169" fontId="0" fillId="0" borderId="0" xfId="0" applyNumberFormat="1" applyFont="1"/>
    <xf numFmtId="44" fontId="0" fillId="13" borderId="35" xfId="0" applyNumberFormat="1" applyFont="1" applyFill="1" applyBorder="1" applyAlignment="1">
      <alignment horizontal="left" vertical="top"/>
    </xf>
    <xf numFmtId="44" fontId="0" fillId="2" borderId="27" xfId="0" applyNumberFormat="1" applyFont="1" applyFill="1" applyBorder="1"/>
    <xf numFmtId="167" fontId="0" fillId="0" borderId="36" xfId="0" applyNumberFormat="1" applyFont="1" applyBorder="1"/>
    <xf numFmtId="44" fontId="0" fillId="2" borderId="32" xfId="0" applyNumberFormat="1" applyFont="1" applyFill="1" applyBorder="1"/>
    <xf numFmtId="44" fontId="0" fillId="2" borderId="44" xfId="0" applyNumberFormat="1" applyFont="1" applyFill="1" applyBorder="1"/>
    <xf numFmtId="0" fontId="0" fillId="2" borderId="56" xfId="0" applyFont="1" applyFill="1" applyBorder="1"/>
    <xf numFmtId="44" fontId="0" fillId="14" borderId="44" xfId="0" applyNumberFormat="1" applyFont="1" applyFill="1" applyBorder="1"/>
    <xf numFmtId="0" fontId="0" fillId="13" borderId="56" xfId="0" applyFont="1" applyFill="1" applyBorder="1"/>
    <xf numFmtId="168" fontId="0" fillId="0" borderId="37" xfId="0" applyNumberFormat="1" applyFont="1" applyBorder="1"/>
    <xf numFmtId="44" fontId="0" fillId="13" borderId="33" xfId="0" applyNumberFormat="1" applyFont="1" applyFill="1" applyBorder="1"/>
    <xf numFmtId="8" fontId="0" fillId="0" borderId="34" xfId="0" applyNumberFormat="1" applyFont="1" applyBorder="1"/>
    <xf numFmtId="165" fontId="0" fillId="0" borderId="36" xfId="0" applyNumberFormat="1" applyFont="1" applyBorder="1"/>
    <xf numFmtId="0" fontId="0" fillId="0" borderId="2" xfId="0" applyFont="1" applyBorder="1"/>
    <xf numFmtId="0" fontId="0" fillId="13" borderId="40" xfId="0" applyFont="1" applyFill="1" applyBorder="1"/>
    <xf numFmtId="165" fontId="0" fillId="0" borderId="41" xfId="0" applyNumberFormat="1" applyFont="1" applyBorder="1" applyAlignment="1">
      <alignment wrapText="1"/>
    </xf>
    <xf numFmtId="0" fontId="0" fillId="0" borderId="5" xfId="0" applyFont="1" applyBorder="1"/>
    <xf numFmtId="0" fontId="0" fillId="14" borderId="35" xfId="0" applyFont="1" applyFill="1" applyBorder="1"/>
    <xf numFmtId="0" fontId="0" fillId="0" borderId="4" xfId="0" applyFont="1" applyBorder="1"/>
    <xf numFmtId="0" fontId="0" fillId="15" borderId="49" xfId="0" applyFont="1" applyFill="1" applyBorder="1"/>
    <xf numFmtId="8" fontId="0" fillId="15" borderId="50" xfId="0" applyNumberFormat="1" applyFont="1" applyFill="1" applyBorder="1"/>
    <xf numFmtId="8" fontId="0" fillId="0" borderId="0" xfId="0" applyNumberFormat="1" applyFont="1"/>
    <xf numFmtId="0" fontId="0" fillId="0" borderId="6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2" borderId="11" xfId="0" applyNumberFormat="1" applyFont="1" applyFill="1" applyBorder="1" applyAlignment="1">
      <alignment vertical="center"/>
    </xf>
    <xf numFmtId="0" fontId="0" fillId="16" borderId="7" xfId="0" applyFont="1" applyFill="1" applyBorder="1" applyAlignment="1">
      <alignment horizontal="center"/>
    </xf>
    <xf numFmtId="0" fontId="0" fillId="16" borderId="20" xfId="0" applyFont="1" applyFill="1" applyBorder="1" applyAlignment="1">
      <alignment horizontal="center"/>
    </xf>
    <xf numFmtId="0" fontId="0" fillId="16" borderId="9" xfId="0" applyFont="1" applyFill="1" applyBorder="1" applyAlignment="1">
      <alignment horizontal="center"/>
    </xf>
    <xf numFmtId="0" fontId="0" fillId="16" borderId="1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38" xfId="0" applyFont="1" applyBorder="1"/>
    <xf numFmtId="44" fontId="0" fillId="0" borderId="39" xfId="0" applyNumberFormat="1" applyFont="1" applyBorder="1"/>
    <xf numFmtId="44" fontId="0" fillId="4" borderId="34" xfId="0" applyNumberFormat="1" applyFont="1" applyFill="1" applyBorder="1"/>
    <xf numFmtId="8" fontId="0" fillId="4" borderId="41" xfId="0" applyNumberFormat="1" applyFont="1" applyFill="1" applyBorder="1"/>
    <xf numFmtId="0" fontId="0" fillId="0" borderId="11" xfId="0" applyFont="1" applyBorder="1"/>
    <xf numFmtId="0" fontId="0" fillId="14" borderId="11" xfId="0" applyFont="1" applyFill="1" applyBorder="1"/>
    <xf numFmtId="8" fontId="0" fillId="0" borderId="11" xfId="0" applyNumberFormat="1" applyFont="1" applyBorder="1"/>
    <xf numFmtId="170" fontId="0" fillId="4" borderId="34" xfId="0" applyNumberFormat="1" applyFont="1" applyFill="1" applyBorder="1"/>
    <xf numFmtId="44" fontId="0" fillId="3" borderId="36" xfId="0" applyNumberFormat="1" applyFont="1" applyFill="1" applyBorder="1"/>
    <xf numFmtId="44" fontId="0" fillId="3" borderId="41" xfId="0" applyNumberFormat="1" applyFont="1" applyFill="1" applyBorder="1"/>
    <xf numFmtId="0" fontId="0" fillId="3" borderId="39" xfId="0" applyFont="1" applyFill="1" applyBorder="1"/>
    <xf numFmtId="44" fontId="0" fillId="3" borderId="43" xfId="0" applyNumberFormat="1" applyFont="1" applyFill="1" applyBorder="1"/>
    <xf numFmtId="44" fontId="0" fillId="3" borderId="62" xfId="0" applyNumberFormat="1" applyFont="1" applyFill="1" applyBorder="1"/>
    <xf numFmtId="164" fontId="3" fillId="3" borderId="64" xfId="0" applyNumberFormat="1" applyFont="1" applyFill="1" applyBorder="1"/>
    <xf numFmtId="44" fontId="3" fillId="14" borderId="44" xfId="0" applyNumberFormat="1" applyFont="1" applyFill="1" applyBorder="1"/>
    <xf numFmtId="44" fontId="2" fillId="0" borderId="44" xfId="1" applyFont="1" applyBorder="1"/>
    <xf numFmtId="44" fontId="7" fillId="0" borderId="29" xfId="1" applyFont="1" applyBorder="1"/>
    <xf numFmtId="165" fontId="0" fillId="0" borderId="46" xfId="1" applyNumberFormat="1" applyFont="1" applyBorder="1"/>
    <xf numFmtId="165" fontId="0" fillId="0" borderId="27" xfId="1" applyNumberFormat="1" applyFont="1" applyBorder="1"/>
    <xf numFmtId="0" fontId="5" fillId="2" borderId="11" xfId="0" applyFont="1" applyFill="1" applyBorder="1" applyAlignment="1">
      <alignment wrapText="1"/>
    </xf>
    <xf numFmtId="165" fontId="0" fillId="0" borderId="52" xfId="1" applyNumberFormat="1" applyFont="1" applyBorder="1"/>
    <xf numFmtId="165" fontId="0" fillId="2" borderId="44" xfId="0" applyNumberFormat="1" applyFont="1" applyFill="1" applyBorder="1"/>
    <xf numFmtId="0" fontId="4" fillId="17" borderId="65" xfId="0" applyFont="1" applyFill="1" applyBorder="1" applyAlignment="1">
      <alignment wrapText="1"/>
    </xf>
    <xf numFmtId="165" fontId="5" fillId="0" borderId="65" xfId="0" applyNumberFormat="1" applyFont="1" applyBorder="1" applyAlignment="1">
      <alignment horizontal="left" wrapText="1"/>
    </xf>
    <xf numFmtId="165" fontId="5" fillId="0" borderId="65" xfId="0" applyNumberFormat="1" applyFont="1" applyBorder="1" applyAlignment="1">
      <alignment wrapText="1"/>
    </xf>
    <xf numFmtId="165" fontId="0" fillId="0" borderId="65" xfId="0" applyNumberFormat="1" applyBorder="1"/>
    <xf numFmtId="165" fontId="0" fillId="0" borderId="65" xfId="0" applyNumberFormat="1" applyBorder="1" applyAlignment="1">
      <alignment horizontal="left"/>
    </xf>
    <xf numFmtId="0" fontId="0" fillId="0" borderId="65" xfId="0" applyBorder="1"/>
    <xf numFmtId="0" fontId="4" fillId="17" borderId="6" xfId="0" applyFont="1" applyFill="1" applyBorder="1" applyAlignment="1">
      <alignment wrapText="1"/>
    </xf>
    <xf numFmtId="165" fontId="4" fillId="17" borderId="66" xfId="0" applyNumberFormat="1" applyFont="1" applyFill="1" applyBorder="1" applyAlignment="1">
      <alignment horizontal="left" wrapText="1"/>
    </xf>
    <xf numFmtId="0" fontId="4" fillId="17" borderId="66" xfId="0" applyFont="1" applyFill="1" applyBorder="1" applyAlignment="1">
      <alignment wrapText="1"/>
    </xf>
    <xf numFmtId="0" fontId="4" fillId="17" borderId="67" xfId="0" applyFont="1" applyFill="1" applyBorder="1" applyAlignment="1">
      <alignment wrapText="1"/>
    </xf>
    <xf numFmtId="0" fontId="5" fillId="17" borderId="7" xfId="0" applyFont="1" applyFill="1" applyBorder="1" applyAlignment="1">
      <alignment wrapText="1"/>
    </xf>
    <xf numFmtId="10" fontId="0" fillId="0" borderId="68" xfId="0" applyNumberFormat="1" applyBorder="1"/>
    <xf numFmtId="0" fontId="0" fillId="17" borderId="7" xfId="0" applyFill="1" applyBorder="1"/>
    <xf numFmtId="0" fontId="0" fillId="0" borderId="7" xfId="0" applyBorder="1"/>
    <xf numFmtId="10" fontId="0" fillId="17" borderId="68" xfId="0" applyNumberFormat="1" applyFill="1" applyBorder="1"/>
    <xf numFmtId="0" fontId="0" fillId="0" borderId="8" xfId="0" applyBorder="1"/>
    <xf numFmtId="165" fontId="0" fillId="0" borderId="69" xfId="0" applyNumberFormat="1" applyBorder="1" applyAlignment="1">
      <alignment horizontal="left"/>
    </xf>
    <xf numFmtId="0" fontId="0" fillId="0" borderId="69" xfId="0" applyBorder="1"/>
    <xf numFmtId="10" fontId="0" fillId="17" borderId="70" xfId="0" applyNumberFormat="1" applyFill="1" applyBorder="1"/>
    <xf numFmtId="0" fontId="0" fillId="21" borderId="0" xfId="3" applyFont="1" applyFill="1"/>
    <xf numFmtId="165" fontId="0" fillId="21" borderId="0" xfId="3" applyNumberFormat="1" applyFont="1" applyFill="1"/>
  </cellXfs>
  <cellStyles count="9">
    <cellStyle name="20% - Accent2" xfId="2" builtinId="34"/>
    <cellStyle name="20% - Accent3" xfId="6" builtinId="38"/>
    <cellStyle name="20% - Accent5" xfId="3" builtinId="46"/>
    <cellStyle name="20% - Accent6" xfId="4" builtinId="50"/>
    <cellStyle name="40% - Accent3" xfId="5" builtinId="39"/>
    <cellStyle name="60% - Accent6" xfId="8" builtinId="52"/>
    <cellStyle name="Accent6" xfId="7" builtinId="49"/>
    <cellStyle name="Currency" xfId="1" builtinId="4"/>
    <cellStyle name="Normal" xfId="0" builtinId="0"/>
  </cellStyles>
  <dxfs count="1">
    <dxf>
      <fill>
        <patternFill patternType="solid">
          <fgColor rgb="FFDB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3"/>
  <sheetViews>
    <sheetView zoomScale="70" zoomScaleNormal="70" workbookViewId="0">
      <selection activeCell="D1" sqref="D1"/>
    </sheetView>
  </sheetViews>
  <sheetFormatPr defaultRowHeight="14.5" x14ac:dyDescent="0.35"/>
  <cols>
    <col min="1" max="1" width="8.7265625" style="83"/>
    <col min="2" max="2" width="15.7265625" style="83" customWidth="1"/>
    <col min="3" max="3" width="14" style="83" bestFit="1" customWidth="1"/>
    <col min="4" max="4" width="13.81640625" style="83" customWidth="1"/>
    <col min="5" max="5" width="18.453125" style="83" customWidth="1"/>
    <col min="6" max="6" width="27.81640625" style="83" customWidth="1"/>
    <col min="7" max="7" width="14.1796875" style="83" customWidth="1"/>
    <col min="8" max="8" width="22.453125" style="83" customWidth="1"/>
    <col min="9" max="9" width="37.54296875" style="83" customWidth="1"/>
    <col min="10" max="10" width="8.7265625" style="83"/>
    <col min="11" max="11" width="14.54296875" style="83" customWidth="1"/>
    <col min="12" max="12" width="18" style="83" customWidth="1"/>
    <col min="13" max="13" width="19.54296875" style="83" customWidth="1"/>
    <col min="14" max="16384" width="8.7265625" style="83"/>
  </cols>
  <sheetData>
    <row r="2" spans="2:13" ht="15" thickBot="1" x14ac:dyDescent="0.4">
      <c r="B2" s="79" t="s">
        <v>0</v>
      </c>
      <c r="C2" s="80"/>
      <c r="E2" s="79" t="s">
        <v>1</v>
      </c>
      <c r="F2" s="80"/>
      <c r="H2" s="77" t="s">
        <v>2</v>
      </c>
      <c r="I2" s="78"/>
      <c r="K2" s="84" t="s">
        <v>3</v>
      </c>
      <c r="L2" s="85">
        <v>18</v>
      </c>
    </row>
    <row r="3" spans="2:13" x14ac:dyDescent="0.35">
      <c r="B3" s="86" t="s">
        <v>4</v>
      </c>
      <c r="C3" s="13">
        <v>107000</v>
      </c>
      <c r="E3" s="87" t="s">
        <v>4</v>
      </c>
      <c r="F3" s="154">
        <v>140000</v>
      </c>
      <c r="H3" s="88" t="s">
        <v>5</v>
      </c>
      <c r="I3" s="89">
        <v>320000</v>
      </c>
      <c r="K3" s="90" t="s">
        <v>6</v>
      </c>
      <c r="L3" s="91">
        <f>40*L2</f>
        <v>720</v>
      </c>
    </row>
    <row r="4" spans="2:13" ht="15" thickBot="1" x14ac:dyDescent="0.4">
      <c r="B4" s="92" t="s">
        <v>7</v>
      </c>
      <c r="C4" s="9">
        <f>C3*0.15</f>
        <v>16050</v>
      </c>
      <c r="E4" s="93" t="s">
        <v>8</v>
      </c>
      <c r="F4" s="155">
        <f>F8/80</f>
        <v>67.307692307692307</v>
      </c>
      <c r="H4" s="94" t="s">
        <v>9</v>
      </c>
      <c r="I4" s="95">
        <v>7.4999999999999997E-2</v>
      </c>
      <c r="K4" s="96" t="s">
        <v>10</v>
      </c>
      <c r="L4" s="97">
        <f>L3*52</f>
        <v>37440</v>
      </c>
    </row>
    <row r="5" spans="2:13" ht="15" customHeight="1" thickBot="1" x14ac:dyDescent="0.4">
      <c r="B5" s="98" t="s">
        <v>11</v>
      </c>
      <c r="C5" s="10">
        <f>C3+C4</f>
        <v>123050</v>
      </c>
      <c r="E5" s="99" t="s">
        <v>11</v>
      </c>
      <c r="F5" s="156">
        <f>F3</f>
        <v>140000</v>
      </c>
      <c r="H5" s="94" t="s">
        <v>12</v>
      </c>
      <c r="I5" s="100">
        <v>30</v>
      </c>
      <c r="K5" s="96" t="s">
        <v>13</v>
      </c>
      <c r="L5" s="97">
        <f>L3*4</f>
        <v>2880</v>
      </c>
      <c r="M5" s="101"/>
    </row>
    <row r="6" spans="2:13" ht="18" customHeight="1" thickBot="1" x14ac:dyDescent="0.4">
      <c r="B6" s="102"/>
      <c r="C6" s="103"/>
      <c r="E6" s="104"/>
      <c r="F6" s="157"/>
      <c r="H6" s="94" t="s">
        <v>14</v>
      </c>
      <c r="I6" s="95">
        <f>I7/I3</f>
        <v>3.3906249999999999E-2</v>
      </c>
      <c r="L6" s="105"/>
      <c r="M6" s="106"/>
    </row>
    <row r="7" spans="2:13" x14ac:dyDescent="0.35">
      <c r="B7" s="86" t="s">
        <v>15</v>
      </c>
      <c r="C7" s="11">
        <f>C8*2</f>
        <v>8230.7692307692305</v>
      </c>
      <c r="E7" s="107" t="s">
        <v>15</v>
      </c>
      <c r="F7" s="158">
        <f>F8*2</f>
        <v>10769.23076923077</v>
      </c>
      <c r="H7" s="94" t="s">
        <v>16</v>
      </c>
      <c r="I7" s="108">
        <v>10850</v>
      </c>
      <c r="L7" s="109"/>
    </row>
    <row r="8" spans="2:13" x14ac:dyDescent="0.35">
      <c r="B8" s="92" t="s">
        <v>17</v>
      </c>
      <c r="C8" s="9">
        <f>C3/26</f>
        <v>4115.3846153846152</v>
      </c>
      <c r="E8" s="93" t="s">
        <v>17</v>
      </c>
      <c r="F8" s="155">
        <f>F3/26</f>
        <v>5384.6153846153848</v>
      </c>
      <c r="H8" s="110" t="s">
        <v>18</v>
      </c>
      <c r="I8" s="108">
        <f>I3-I7</f>
        <v>309150</v>
      </c>
    </row>
    <row r="9" spans="2:13" x14ac:dyDescent="0.35">
      <c r="B9" s="92" t="s">
        <v>19</v>
      </c>
      <c r="C9" s="111">
        <f>C8*0.121</f>
        <v>497.96153846153845</v>
      </c>
      <c r="E9" s="93" t="s">
        <v>19</v>
      </c>
      <c r="F9" s="155">
        <f>F8*0.1522</f>
        <v>819.53846153846155</v>
      </c>
      <c r="H9" s="94" t="s">
        <v>20</v>
      </c>
      <c r="I9" s="112">
        <f>I4/12</f>
        <v>6.2499999999999995E-3</v>
      </c>
    </row>
    <row r="10" spans="2:13" x14ac:dyDescent="0.35">
      <c r="B10" s="92" t="s">
        <v>21</v>
      </c>
      <c r="C10" s="111">
        <f>C8*0.174</f>
        <v>716.07692307692298</v>
      </c>
      <c r="E10" s="93" t="s">
        <v>21</v>
      </c>
      <c r="F10" s="155">
        <f>0.05*F8</f>
        <v>269.23076923076923</v>
      </c>
      <c r="H10" s="94" t="s">
        <v>22</v>
      </c>
      <c r="I10" s="100">
        <v>360</v>
      </c>
    </row>
    <row r="11" spans="2:13" x14ac:dyDescent="0.35">
      <c r="B11" s="92" t="s">
        <v>23</v>
      </c>
      <c r="C11" s="111">
        <f>C12*2</f>
        <v>5802.6923076923076</v>
      </c>
      <c r="E11" s="93" t="s">
        <v>23</v>
      </c>
      <c r="F11" s="155">
        <f>F12*2</f>
        <v>8591.6923076923067</v>
      </c>
      <c r="H11" s="94" t="s">
        <v>24</v>
      </c>
      <c r="I11" s="108">
        <f>I3</f>
        <v>320000</v>
      </c>
    </row>
    <row r="12" spans="2:13" x14ac:dyDescent="0.35">
      <c r="B12" s="98" t="s">
        <v>25</v>
      </c>
      <c r="C12" s="113">
        <f xml:space="preserve"> C8-C9-C10</f>
        <v>2901.3461538461538</v>
      </c>
      <c r="D12" s="114">
        <f>C12*26</f>
        <v>75435</v>
      </c>
      <c r="E12" s="115" t="s">
        <v>25</v>
      </c>
      <c r="F12" s="159">
        <f>F8-F9-F10</f>
        <v>4295.8461538461534</v>
      </c>
      <c r="G12" s="116">
        <f>F12*26</f>
        <v>111691.99999999999</v>
      </c>
      <c r="H12" s="117" t="s">
        <v>19</v>
      </c>
      <c r="I12" s="118">
        <f>I11*0.0153</f>
        <v>4896</v>
      </c>
    </row>
    <row r="14" spans="2:13" ht="29" x14ac:dyDescent="0.35">
      <c r="B14" s="12" t="s">
        <v>26</v>
      </c>
      <c r="C14" s="16">
        <v>0</v>
      </c>
      <c r="E14" s="75" t="s">
        <v>1</v>
      </c>
      <c r="F14" s="160">
        <f>F11</f>
        <v>8591.6923076923067</v>
      </c>
      <c r="H14" s="119" t="s">
        <v>27</v>
      </c>
      <c r="I14" s="120">
        <f>PMT(I4/12,I5*12,-I8)</f>
        <v>2161.6216531909167</v>
      </c>
    </row>
    <row r="15" spans="2:13" x14ac:dyDescent="0.35">
      <c r="E15" s="76" t="s">
        <v>28</v>
      </c>
      <c r="F15" s="161">
        <f>D12+G12</f>
        <v>187127</v>
      </c>
      <c r="H15" s="94" t="s">
        <v>19</v>
      </c>
      <c r="I15" s="121">
        <f>(I11*0.0153)/12</f>
        <v>408</v>
      </c>
    </row>
    <row r="16" spans="2:13" ht="17.25" customHeight="1" x14ac:dyDescent="0.35">
      <c r="B16" s="122" t="s">
        <v>0</v>
      </c>
      <c r="C16" s="1">
        <f>C11</f>
        <v>5802.6923076923076</v>
      </c>
      <c r="H16" s="123" t="s">
        <v>29</v>
      </c>
      <c r="I16" s="124">
        <v>300</v>
      </c>
    </row>
    <row r="17" spans="2:9" x14ac:dyDescent="0.35">
      <c r="B17" s="125" t="s">
        <v>30</v>
      </c>
      <c r="C17" s="2">
        <f>C14+F14</f>
        <v>8591.6923076923067</v>
      </c>
      <c r="H17" s="126" t="s">
        <v>31</v>
      </c>
      <c r="I17" s="121">
        <v>200</v>
      </c>
    </row>
    <row r="18" spans="2:9" x14ac:dyDescent="0.35">
      <c r="B18" s="127" t="s">
        <v>32</v>
      </c>
      <c r="C18" s="3">
        <f>C16+C17</f>
        <v>14394.384615384613</v>
      </c>
      <c r="D18" s="5" t="s">
        <v>33</v>
      </c>
      <c r="E18" s="15" t="s">
        <v>34</v>
      </c>
      <c r="F18" s="162" t="s">
        <v>35</v>
      </c>
      <c r="H18" s="128" t="s">
        <v>36</v>
      </c>
      <c r="I18" s="129">
        <f>SUM(I14:I17)</f>
        <v>3069.6216531909167</v>
      </c>
    </row>
    <row r="19" spans="2:9" x14ac:dyDescent="0.35">
      <c r="B19" s="81" t="s">
        <v>37</v>
      </c>
      <c r="C19" s="82"/>
      <c r="D19" s="36" t="s">
        <v>38</v>
      </c>
      <c r="E19" s="37" t="s">
        <v>34</v>
      </c>
      <c r="F19" s="163" t="s">
        <v>35</v>
      </c>
      <c r="I19" s="130"/>
    </row>
    <row r="20" spans="2:9" x14ac:dyDescent="0.35">
      <c r="B20" s="131" t="s">
        <v>39</v>
      </c>
      <c r="C20" s="132"/>
      <c r="D20" s="6">
        <v>2389</v>
      </c>
      <c r="E20" s="14">
        <f>D20/C$18</f>
        <v>0.16596749800937333</v>
      </c>
      <c r="F20" s="164">
        <f>D20*12</f>
        <v>28668</v>
      </c>
    </row>
    <row r="21" spans="2:9" x14ac:dyDescent="0.35">
      <c r="B21" s="133" t="s">
        <v>40</v>
      </c>
      <c r="C21" s="134"/>
      <c r="D21" s="6">
        <v>168</v>
      </c>
      <c r="E21" s="14">
        <f>D21/C$18</f>
        <v>1.1671217942894399E-2</v>
      </c>
      <c r="F21" s="165">
        <f>D21*12</f>
        <v>2016</v>
      </c>
    </row>
    <row r="22" spans="2:9" x14ac:dyDescent="0.35">
      <c r="B22" s="135" t="s">
        <v>41</v>
      </c>
      <c r="C22" s="136"/>
      <c r="D22" s="6">
        <v>160</v>
      </c>
      <c r="E22" s="14">
        <f>D22/C$18</f>
        <v>1.1115445659899428E-2</v>
      </c>
      <c r="F22" s="165">
        <f>D22*12</f>
        <v>1920</v>
      </c>
    </row>
    <row r="23" spans="2:9" x14ac:dyDescent="0.35">
      <c r="B23" s="133" t="s">
        <v>42</v>
      </c>
      <c r="C23" s="134"/>
      <c r="D23" s="6">
        <v>400</v>
      </c>
      <c r="E23" s="14">
        <f t="shared" ref="E23:E52" si="0">D23/C$18</f>
        <v>2.7788614149748571E-2</v>
      </c>
      <c r="F23" s="165">
        <f t="shared" ref="F23:F52" si="1">D23*12</f>
        <v>4800</v>
      </c>
    </row>
    <row r="24" spans="2:9" ht="87" x14ac:dyDescent="0.35">
      <c r="B24" s="133" t="s">
        <v>43</v>
      </c>
      <c r="C24" s="134"/>
      <c r="D24" s="6">
        <v>385</v>
      </c>
      <c r="E24" s="14">
        <f t="shared" si="0"/>
        <v>2.6746541119132997E-2</v>
      </c>
      <c r="F24" s="165">
        <f t="shared" si="1"/>
        <v>4620</v>
      </c>
      <c r="H24" s="137">
        <f>E20+E21+E23+E29+E31</f>
        <v>0.24711025132663914</v>
      </c>
      <c r="I24" s="166" t="s">
        <v>44</v>
      </c>
    </row>
    <row r="25" spans="2:9" ht="72.5" x14ac:dyDescent="0.35">
      <c r="B25" s="133" t="s">
        <v>45</v>
      </c>
      <c r="C25" s="134"/>
      <c r="D25" s="6">
        <v>81</v>
      </c>
      <c r="E25" s="14">
        <f t="shared" si="0"/>
        <v>5.6271943653240855E-3</v>
      </c>
      <c r="F25" s="165">
        <f t="shared" si="1"/>
        <v>972</v>
      </c>
      <c r="H25" s="137">
        <f>E25+E26+E27+E33+E43+E40+E45+E46+E39</f>
        <v>7.5793445093439243E-2</v>
      </c>
      <c r="I25" s="166" t="s">
        <v>46</v>
      </c>
    </row>
    <row r="26" spans="2:9" ht="43.5" x14ac:dyDescent="0.35">
      <c r="B26" s="133" t="s">
        <v>47</v>
      </c>
      <c r="C26" s="134"/>
      <c r="D26" s="6">
        <v>660</v>
      </c>
      <c r="E26" s="14">
        <f t="shared" si="0"/>
        <v>4.585121334708514E-2</v>
      </c>
      <c r="F26" s="165">
        <f t="shared" si="1"/>
        <v>7920</v>
      </c>
      <c r="H26" s="137">
        <f>E48</f>
        <v>0</v>
      </c>
      <c r="I26" s="166" t="s">
        <v>48</v>
      </c>
    </row>
    <row r="27" spans="2:9" x14ac:dyDescent="0.35">
      <c r="B27" s="133" t="s">
        <v>49</v>
      </c>
      <c r="C27" s="134"/>
      <c r="D27" s="6">
        <v>160</v>
      </c>
      <c r="E27" s="14">
        <f t="shared" si="0"/>
        <v>1.1115445659899428E-2</v>
      </c>
      <c r="F27" s="165">
        <f t="shared" si="1"/>
        <v>1920</v>
      </c>
    </row>
    <row r="28" spans="2:9" x14ac:dyDescent="0.35">
      <c r="B28" s="138" t="s">
        <v>50</v>
      </c>
      <c r="C28" s="139"/>
      <c r="D28" s="38">
        <v>150</v>
      </c>
      <c r="E28" s="14">
        <f t="shared" si="0"/>
        <v>1.0420730306155713E-2</v>
      </c>
      <c r="F28" s="165">
        <f t="shared" si="1"/>
        <v>1800</v>
      </c>
    </row>
    <row r="29" spans="2:9" x14ac:dyDescent="0.35">
      <c r="B29" s="138" t="s">
        <v>51</v>
      </c>
      <c r="C29" s="139"/>
      <c r="D29" s="38">
        <v>600</v>
      </c>
      <c r="E29" s="14">
        <f t="shared" si="0"/>
        <v>4.1682921224622853E-2</v>
      </c>
      <c r="F29" s="165">
        <f t="shared" si="1"/>
        <v>7200</v>
      </c>
    </row>
    <row r="30" spans="2:9" x14ac:dyDescent="0.35">
      <c r="B30" s="140" t="s">
        <v>52</v>
      </c>
      <c r="C30" s="141"/>
      <c r="D30" s="38">
        <v>0</v>
      </c>
      <c r="E30" s="14">
        <f t="shared" si="0"/>
        <v>0</v>
      </c>
      <c r="F30" s="165">
        <f t="shared" si="1"/>
        <v>0</v>
      </c>
    </row>
    <row r="31" spans="2:9" x14ac:dyDescent="0.35">
      <c r="B31" s="133" t="s">
        <v>53</v>
      </c>
      <c r="C31" s="134"/>
      <c r="D31" s="6">
        <v>0</v>
      </c>
      <c r="E31" s="14">
        <f t="shared" si="0"/>
        <v>0</v>
      </c>
      <c r="F31" s="165">
        <f t="shared" si="1"/>
        <v>0</v>
      </c>
    </row>
    <row r="32" spans="2:9" x14ac:dyDescent="0.35">
      <c r="B32" s="140" t="s">
        <v>54</v>
      </c>
      <c r="C32" s="141"/>
      <c r="D32" s="39">
        <v>100</v>
      </c>
      <c r="E32" s="14">
        <f t="shared" si="0"/>
        <v>6.9471535374371427E-3</v>
      </c>
      <c r="F32" s="167">
        <f>D32*12</f>
        <v>1200</v>
      </c>
    </row>
    <row r="33" spans="2:6" x14ac:dyDescent="0.35">
      <c r="B33" s="133" t="s">
        <v>55</v>
      </c>
      <c r="C33" s="134"/>
      <c r="D33" s="6">
        <v>0</v>
      </c>
      <c r="E33" s="14">
        <f t="shared" si="0"/>
        <v>0</v>
      </c>
      <c r="F33" s="165">
        <f>D33*12</f>
        <v>0</v>
      </c>
    </row>
    <row r="34" spans="2:6" x14ac:dyDescent="0.35">
      <c r="B34" s="133" t="s">
        <v>56</v>
      </c>
      <c r="C34" s="134"/>
      <c r="D34" s="6">
        <v>0</v>
      </c>
      <c r="E34" s="14">
        <f t="shared" si="0"/>
        <v>0</v>
      </c>
      <c r="F34" s="165">
        <f t="shared" si="1"/>
        <v>0</v>
      </c>
    </row>
    <row r="35" spans="2:6" x14ac:dyDescent="0.35">
      <c r="B35" s="133" t="s">
        <v>57</v>
      </c>
      <c r="C35" s="134"/>
      <c r="D35" s="6">
        <v>0</v>
      </c>
      <c r="E35" s="14">
        <f t="shared" si="0"/>
        <v>0</v>
      </c>
      <c r="F35" s="165">
        <f t="shared" si="1"/>
        <v>0</v>
      </c>
    </row>
    <row r="36" spans="2:6" x14ac:dyDescent="0.35">
      <c r="B36" s="133" t="s">
        <v>58</v>
      </c>
      <c r="C36" s="134"/>
      <c r="D36" s="6">
        <v>100</v>
      </c>
      <c r="E36" s="14">
        <f t="shared" si="0"/>
        <v>6.9471535374371427E-3</v>
      </c>
      <c r="F36" s="165">
        <f t="shared" si="1"/>
        <v>1200</v>
      </c>
    </row>
    <row r="37" spans="2:6" x14ac:dyDescent="0.35">
      <c r="B37" s="133" t="s">
        <v>59</v>
      </c>
      <c r="C37" s="134"/>
      <c r="D37" s="6">
        <v>0</v>
      </c>
      <c r="E37" s="14">
        <f t="shared" si="0"/>
        <v>0</v>
      </c>
      <c r="F37" s="165">
        <f t="shared" si="1"/>
        <v>0</v>
      </c>
    </row>
    <row r="38" spans="2:6" x14ac:dyDescent="0.35">
      <c r="B38" s="138" t="s">
        <v>60</v>
      </c>
      <c r="C38" s="139"/>
      <c r="D38" s="38">
        <v>80</v>
      </c>
      <c r="E38" s="14">
        <f t="shared" si="0"/>
        <v>5.5577228299497142E-3</v>
      </c>
      <c r="F38" s="165">
        <f t="shared" si="1"/>
        <v>960</v>
      </c>
    </row>
    <row r="39" spans="2:6" x14ac:dyDescent="0.35">
      <c r="B39" s="138" t="s">
        <v>61</v>
      </c>
      <c r="C39" s="139"/>
      <c r="D39" s="38">
        <v>100</v>
      </c>
      <c r="E39" s="14">
        <f t="shared" si="0"/>
        <v>6.9471535374371427E-3</v>
      </c>
      <c r="F39" s="165">
        <f t="shared" si="1"/>
        <v>1200</v>
      </c>
    </row>
    <row r="40" spans="2:6" x14ac:dyDescent="0.35">
      <c r="B40" s="133" t="s">
        <v>62</v>
      </c>
      <c r="C40" s="134"/>
      <c r="D40" s="6">
        <v>90</v>
      </c>
      <c r="E40" s="14">
        <f t="shared" si="0"/>
        <v>6.2524381836934284E-3</v>
      </c>
      <c r="F40" s="165">
        <f>D40*12</f>
        <v>1080</v>
      </c>
    </row>
    <row r="41" spans="2:6" x14ac:dyDescent="0.35">
      <c r="B41" s="133" t="s">
        <v>63</v>
      </c>
      <c r="C41" s="134"/>
      <c r="D41" s="6"/>
      <c r="E41" s="14">
        <f t="shared" si="0"/>
        <v>0</v>
      </c>
      <c r="F41" s="165">
        <f>D41*12</f>
        <v>0</v>
      </c>
    </row>
    <row r="42" spans="2:6" x14ac:dyDescent="0.35">
      <c r="B42" s="140" t="s">
        <v>64</v>
      </c>
      <c r="C42" s="141"/>
      <c r="D42" s="38"/>
      <c r="E42" s="14">
        <f t="shared" si="0"/>
        <v>0</v>
      </c>
      <c r="F42" s="165">
        <f>D42*12</f>
        <v>0</v>
      </c>
    </row>
    <row r="43" spans="2:6" x14ac:dyDescent="0.35">
      <c r="B43" s="133" t="s">
        <v>65</v>
      </c>
      <c r="C43" s="134"/>
      <c r="D43" s="6">
        <v>0</v>
      </c>
      <c r="E43" s="14">
        <f t="shared" si="0"/>
        <v>0</v>
      </c>
      <c r="F43" s="165">
        <f t="shared" si="1"/>
        <v>0</v>
      </c>
    </row>
    <row r="44" spans="2:6" x14ac:dyDescent="0.35">
      <c r="B44" s="133" t="s">
        <v>66</v>
      </c>
      <c r="C44" s="134"/>
      <c r="D44" s="6">
        <v>0</v>
      </c>
      <c r="E44" s="14">
        <f t="shared" si="0"/>
        <v>0</v>
      </c>
      <c r="F44" s="165">
        <f t="shared" si="1"/>
        <v>0</v>
      </c>
    </row>
    <row r="45" spans="2:6" x14ac:dyDescent="0.35">
      <c r="B45" s="133" t="s">
        <v>67</v>
      </c>
      <c r="C45" s="134"/>
      <c r="D45" s="6">
        <v>0</v>
      </c>
      <c r="E45" s="14">
        <f t="shared" si="0"/>
        <v>0</v>
      </c>
      <c r="F45" s="165">
        <f t="shared" si="1"/>
        <v>0</v>
      </c>
    </row>
    <row r="46" spans="2:6" x14ac:dyDescent="0.35">
      <c r="B46" s="133" t="s">
        <v>68</v>
      </c>
      <c r="C46" s="134"/>
      <c r="D46" s="6">
        <v>0</v>
      </c>
      <c r="E46" s="14">
        <f t="shared" si="0"/>
        <v>0</v>
      </c>
      <c r="F46" s="165">
        <f t="shared" si="1"/>
        <v>0</v>
      </c>
    </row>
    <row r="47" spans="2:6" ht="15" customHeight="1" x14ac:dyDescent="0.35">
      <c r="B47" s="133" t="s">
        <v>69</v>
      </c>
      <c r="C47" s="134"/>
      <c r="D47" s="6">
        <v>0</v>
      </c>
      <c r="E47" s="14">
        <f t="shared" si="0"/>
        <v>0</v>
      </c>
      <c r="F47" s="165">
        <f>D47*12</f>
        <v>0</v>
      </c>
    </row>
    <row r="48" spans="2:6" x14ac:dyDescent="0.35">
      <c r="B48" s="138" t="s">
        <v>70</v>
      </c>
      <c r="C48" s="139"/>
      <c r="D48" s="38">
        <v>0</v>
      </c>
      <c r="E48" s="14">
        <f t="shared" si="0"/>
        <v>0</v>
      </c>
      <c r="F48" s="165">
        <f t="shared" si="1"/>
        <v>0</v>
      </c>
    </row>
    <row r="49" spans="2:6" x14ac:dyDescent="0.35">
      <c r="B49" s="133" t="s">
        <v>71</v>
      </c>
      <c r="C49" s="134"/>
      <c r="D49" s="6">
        <v>0</v>
      </c>
      <c r="E49" s="14">
        <f t="shared" si="0"/>
        <v>0</v>
      </c>
      <c r="F49" s="165">
        <f t="shared" si="1"/>
        <v>0</v>
      </c>
    </row>
    <row r="50" spans="2:6" x14ac:dyDescent="0.35">
      <c r="B50" s="138" t="s">
        <v>72</v>
      </c>
      <c r="C50" s="139"/>
      <c r="D50" s="38">
        <v>0</v>
      </c>
      <c r="E50" s="14">
        <f t="shared" si="0"/>
        <v>0</v>
      </c>
      <c r="F50" s="165">
        <f>D50*12</f>
        <v>0</v>
      </c>
    </row>
    <row r="51" spans="2:6" x14ac:dyDescent="0.35">
      <c r="B51" s="135" t="s">
        <v>73</v>
      </c>
      <c r="C51" s="142"/>
      <c r="D51" s="6">
        <f>IF(F3=0,0,0)</f>
        <v>0</v>
      </c>
      <c r="E51" s="14">
        <f t="shared" si="0"/>
        <v>0</v>
      </c>
      <c r="F51" s="165">
        <f>D51*12</f>
        <v>0</v>
      </c>
    </row>
    <row r="52" spans="2:6" x14ac:dyDescent="0.35">
      <c r="B52" s="143" t="s">
        <v>74</v>
      </c>
      <c r="C52" s="144"/>
      <c r="D52" s="7">
        <v>0</v>
      </c>
      <c r="E52" s="14">
        <f t="shared" si="0"/>
        <v>0</v>
      </c>
      <c r="F52" s="167">
        <f t="shared" si="1"/>
        <v>0</v>
      </c>
    </row>
    <row r="53" spans="2:6" x14ac:dyDescent="0.35">
      <c r="C53" s="145" t="s">
        <v>32</v>
      </c>
      <c r="D53" s="8">
        <f>SUM(D20:D52)</f>
        <v>5623</v>
      </c>
      <c r="F53" s="168">
        <f>SUM(F20:F52)</f>
        <v>67476</v>
      </c>
    </row>
    <row r="54" spans="2:6" x14ac:dyDescent="0.35">
      <c r="C54" s="146" t="s">
        <v>75</v>
      </c>
      <c r="D54" s="4">
        <f>C18-D53</f>
        <v>8771.3846153846134</v>
      </c>
    </row>
    <row r="56" spans="2:6" x14ac:dyDescent="0.35">
      <c r="C56" s="147" t="s">
        <v>76</v>
      </c>
      <c r="D56" s="148">
        <f>D54*12</f>
        <v>105256.61538461536</v>
      </c>
    </row>
    <row r="59" spans="2:6" x14ac:dyDescent="0.35">
      <c r="C59" s="40" t="s">
        <v>77</v>
      </c>
      <c r="D59" s="149">
        <f>D56</f>
        <v>105256.61538461536</v>
      </c>
    </row>
    <row r="60" spans="2:6" x14ac:dyDescent="0.35">
      <c r="C60" s="41" t="s">
        <v>78</v>
      </c>
      <c r="D60" s="150">
        <v>0</v>
      </c>
    </row>
    <row r="61" spans="2:6" x14ac:dyDescent="0.35">
      <c r="C61" s="42" t="s">
        <v>79</v>
      </c>
      <c r="D61" s="151"/>
    </row>
    <row r="62" spans="2:6" x14ac:dyDescent="0.35">
      <c r="C62" s="152">
        <v>1</v>
      </c>
      <c r="D62" s="153">
        <f>D73+D54</f>
        <v>105256.61538461533</v>
      </c>
    </row>
    <row r="63" spans="2:6" x14ac:dyDescent="0.35">
      <c r="C63" s="152">
        <v>2</v>
      </c>
      <c r="D63" s="153">
        <f>D60+D54</f>
        <v>8771.3846153846134</v>
      </c>
    </row>
    <row r="64" spans="2:6" x14ac:dyDescent="0.35">
      <c r="C64" s="152">
        <v>3</v>
      </c>
      <c r="D64" s="153">
        <f>D63+D54</f>
        <v>17542.769230769227</v>
      </c>
    </row>
    <row r="65" spans="3:4" x14ac:dyDescent="0.35">
      <c r="C65" s="152">
        <v>4</v>
      </c>
      <c r="D65" s="153">
        <f>D64+D54</f>
        <v>26314.15384615384</v>
      </c>
    </row>
    <row r="66" spans="3:4" x14ac:dyDescent="0.35">
      <c r="C66" s="152">
        <v>5</v>
      </c>
      <c r="D66" s="153">
        <f>D65+D54</f>
        <v>35085.538461538454</v>
      </c>
    </row>
    <row r="67" spans="3:4" x14ac:dyDescent="0.35">
      <c r="C67" s="152">
        <v>6</v>
      </c>
      <c r="D67" s="153">
        <f>D66+D54</f>
        <v>43856.923076923063</v>
      </c>
    </row>
    <row r="68" spans="3:4" x14ac:dyDescent="0.35">
      <c r="C68" s="152">
        <v>7</v>
      </c>
      <c r="D68" s="153">
        <f>D67+D54</f>
        <v>52628.307692307673</v>
      </c>
    </row>
    <row r="69" spans="3:4" x14ac:dyDescent="0.35">
      <c r="C69" s="152">
        <v>8</v>
      </c>
      <c r="D69" s="153">
        <f>D68+D54</f>
        <v>61399.692307692283</v>
      </c>
    </row>
    <row r="70" spans="3:4" x14ac:dyDescent="0.35">
      <c r="C70" s="152">
        <v>9</v>
      </c>
      <c r="D70" s="153">
        <f>D69+D54</f>
        <v>70171.076923076893</v>
      </c>
    </row>
    <row r="71" spans="3:4" x14ac:dyDescent="0.35">
      <c r="C71" s="152">
        <v>10</v>
      </c>
      <c r="D71" s="153">
        <f>D70+D54</f>
        <v>78942.461538461503</v>
      </c>
    </row>
    <row r="72" spans="3:4" x14ac:dyDescent="0.35">
      <c r="C72" s="152">
        <v>11</v>
      </c>
      <c r="D72" s="153">
        <f>D71+D54</f>
        <v>87713.846153846112</v>
      </c>
    </row>
    <row r="73" spans="3:4" x14ac:dyDescent="0.35">
      <c r="C73" s="152">
        <v>12</v>
      </c>
      <c r="D73" s="153">
        <f>D72+D54</f>
        <v>96485.230769230722</v>
      </c>
    </row>
  </sheetData>
  <autoFilter ref="B19:F54" xr:uid="{55EEDCC8-A27D-C54D-BE50-CD730019BA30}">
    <filterColumn colId="0" showButton="0"/>
  </autoFilter>
  <mergeCells count="37">
    <mergeCell ref="B22:C22"/>
    <mergeCell ref="B51:C51"/>
    <mergeCell ref="B32:C32"/>
    <mergeCell ref="B48:C48"/>
    <mergeCell ref="B50:C50"/>
    <mergeCell ref="B23:C23"/>
    <mergeCell ref="B24:C24"/>
    <mergeCell ref="B28:C28"/>
    <mergeCell ref="B29:C29"/>
    <mergeCell ref="B30:C30"/>
    <mergeCell ref="B25:C25"/>
    <mergeCell ref="B26:C26"/>
    <mergeCell ref="B27:C27"/>
    <mergeCell ref="B31:C31"/>
    <mergeCell ref="B42:C42"/>
    <mergeCell ref="B52:C52"/>
    <mergeCell ref="B44:C44"/>
    <mergeCell ref="B33:C33"/>
    <mergeCell ref="B34:C34"/>
    <mergeCell ref="B35:C35"/>
    <mergeCell ref="B36:C36"/>
    <mergeCell ref="B41:C41"/>
    <mergeCell ref="B37:C37"/>
    <mergeCell ref="B38:C38"/>
    <mergeCell ref="B39:C39"/>
    <mergeCell ref="B43:C43"/>
    <mergeCell ref="B49:C49"/>
    <mergeCell ref="B47:C47"/>
    <mergeCell ref="B45:C45"/>
    <mergeCell ref="B46:C46"/>
    <mergeCell ref="B40:C40"/>
    <mergeCell ref="H2:I2"/>
    <mergeCell ref="E2:F2"/>
    <mergeCell ref="B2:C2"/>
    <mergeCell ref="B20:C20"/>
    <mergeCell ref="B21:C21"/>
    <mergeCell ref="B19:C19"/>
  </mergeCells>
  <pageMargins left="0.7" right="0.7" top="0.75" bottom="0.75" header="0.3" footer="0.3"/>
  <pageSetup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F011-03D2-8748-9034-6FDEA941F675}">
  <dimension ref="A1:C56"/>
  <sheetViews>
    <sheetView topLeftCell="A4" zoomScaleNormal="60" zoomScaleSheetLayoutView="100" workbookViewId="0">
      <selection activeCell="A4" sqref="A1:XFD1048576"/>
    </sheetView>
  </sheetViews>
  <sheetFormatPr defaultRowHeight="14.5" x14ac:dyDescent="0.35"/>
  <cols>
    <col min="1" max="1" width="14.54296875" customWidth="1"/>
    <col min="2" max="2" width="16.08984375" customWidth="1"/>
    <col min="3" max="3" width="12.7265625" bestFit="1" customWidth="1"/>
    <col min="4" max="5" width="10.26953125" customWidth="1"/>
  </cols>
  <sheetData>
    <row r="1" spans="1:3" x14ac:dyDescent="0.35">
      <c r="A1" s="23" t="s">
        <v>91</v>
      </c>
    </row>
    <row r="2" spans="1:3" x14ac:dyDescent="0.35">
      <c r="A2" s="58" t="s">
        <v>160</v>
      </c>
      <c r="B2" s="59">
        <v>1387</v>
      </c>
    </row>
    <row r="3" spans="1:3" x14ac:dyDescent="0.35">
      <c r="A3" s="67" t="s">
        <v>161</v>
      </c>
      <c r="B3" s="68">
        <v>933</v>
      </c>
    </row>
    <row r="4" spans="1:3" x14ac:dyDescent="0.35">
      <c r="A4" s="69" t="s">
        <v>162</v>
      </c>
      <c r="B4" s="70">
        <v>2646</v>
      </c>
    </row>
    <row r="5" spans="1:3" x14ac:dyDescent="0.35">
      <c r="A5" s="67" t="s">
        <v>163</v>
      </c>
      <c r="B5" s="68">
        <v>1258</v>
      </c>
    </row>
    <row r="6" spans="1:3" x14ac:dyDescent="0.35">
      <c r="A6" s="67" t="s">
        <v>164</v>
      </c>
      <c r="B6" s="68">
        <v>1387</v>
      </c>
    </row>
    <row r="7" spans="1:3" x14ac:dyDescent="0.35">
      <c r="A7" s="69" t="s">
        <v>165</v>
      </c>
      <c r="B7" s="70">
        <v>2646</v>
      </c>
    </row>
    <row r="9" spans="1:3" x14ac:dyDescent="0.35">
      <c r="B9" s="60" t="s">
        <v>94</v>
      </c>
      <c r="C9" s="60">
        <f>SUM(B2:B7)</f>
        <v>10257</v>
      </c>
    </row>
    <row r="12" spans="1:3" x14ac:dyDescent="0.35">
      <c r="A12" s="23" t="s">
        <v>95</v>
      </c>
    </row>
    <row r="14" spans="1:3" x14ac:dyDescent="0.35">
      <c r="A14" s="71" t="s">
        <v>97</v>
      </c>
      <c r="B14" s="72">
        <v>175</v>
      </c>
      <c r="C14" t="s">
        <v>176</v>
      </c>
    </row>
    <row r="15" spans="1:3" x14ac:dyDescent="0.35">
      <c r="A15" s="71" t="s">
        <v>137</v>
      </c>
      <c r="B15" s="72">
        <v>250</v>
      </c>
      <c r="C15" t="s">
        <v>176</v>
      </c>
    </row>
    <row r="16" spans="1:3" x14ac:dyDescent="0.35">
      <c r="A16" s="73" t="s">
        <v>98</v>
      </c>
      <c r="B16" s="74">
        <v>145</v>
      </c>
    </row>
    <row r="17" spans="1:3" x14ac:dyDescent="0.35">
      <c r="A17" s="73" t="s">
        <v>138</v>
      </c>
      <c r="B17" s="74">
        <v>270</v>
      </c>
    </row>
    <row r="18" spans="1:3" x14ac:dyDescent="0.35">
      <c r="A18" s="73" t="s">
        <v>140</v>
      </c>
      <c r="B18" s="74">
        <v>433</v>
      </c>
      <c r="C18" t="s">
        <v>176</v>
      </c>
    </row>
    <row r="19" spans="1:3" x14ac:dyDescent="0.35">
      <c r="A19" s="73" t="s">
        <v>141</v>
      </c>
      <c r="B19" s="74">
        <v>141</v>
      </c>
    </row>
    <row r="20" spans="1:3" x14ac:dyDescent="0.35">
      <c r="A20" s="73" t="s">
        <v>137</v>
      </c>
      <c r="B20" s="74">
        <v>270</v>
      </c>
    </row>
    <row r="21" spans="1:3" x14ac:dyDescent="0.35">
      <c r="A21" s="73" t="s">
        <v>102</v>
      </c>
      <c r="B21" s="74">
        <v>88</v>
      </c>
    </row>
    <row r="22" spans="1:3" x14ac:dyDescent="0.35">
      <c r="A22" s="73" t="s">
        <v>143</v>
      </c>
      <c r="B22" s="74">
        <v>225</v>
      </c>
    </row>
    <row r="23" spans="1:3" x14ac:dyDescent="0.35">
      <c r="A23" s="69" t="s">
        <v>96</v>
      </c>
      <c r="B23" s="70">
        <v>0</v>
      </c>
    </row>
    <row r="24" spans="1:3" x14ac:dyDescent="0.35">
      <c r="A24" s="67" t="s">
        <v>142</v>
      </c>
      <c r="B24" s="68">
        <v>0</v>
      </c>
    </row>
    <row r="25" spans="1:3" x14ac:dyDescent="0.35">
      <c r="A25" s="73" t="s">
        <v>103</v>
      </c>
      <c r="B25" s="74">
        <v>300</v>
      </c>
    </row>
    <row r="26" spans="1:3" x14ac:dyDescent="0.35">
      <c r="A26" s="73" t="s">
        <v>139</v>
      </c>
      <c r="B26" s="74">
        <v>150</v>
      </c>
    </row>
    <row r="29" spans="1:3" x14ac:dyDescent="0.35">
      <c r="B29" s="61" t="s">
        <v>95</v>
      </c>
      <c r="C29" s="60">
        <f>SUM(B14:B26)</f>
        <v>2447</v>
      </c>
    </row>
    <row r="30" spans="1:3" x14ac:dyDescent="0.35">
      <c r="B30" s="62" t="s">
        <v>104</v>
      </c>
      <c r="C30" s="63">
        <f>C9-C29</f>
        <v>7810</v>
      </c>
    </row>
    <row r="31" spans="1:3" x14ac:dyDescent="0.35">
      <c r="A31" s="24" t="s">
        <v>105</v>
      </c>
    </row>
    <row r="32" spans="1:3" x14ac:dyDescent="0.35">
      <c r="A32" s="64" t="s">
        <v>172</v>
      </c>
      <c r="B32" s="65">
        <v>170</v>
      </c>
      <c r="C32" t="s">
        <v>173</v>
      </c>
    </row>
    <row r="33" spans="1:3" x14ac:dyDescent="0.35">
      <c r="A33" s="64" t="s">
        <v>174</v>
      </c>
      <c r="B33" s="65">
        <v>177</v>
      </c>
      <c r="C33" t="s">
        <v>169</v>
      </c>
    </row>
    <row r="34" spans="1:3" x14ac:dyDescent="0.35">
      <c r="A34" s="64" t="s">
        <v>29</v>
      </c>
      <c r="B34" s="65">
        <v>160</v>
      </c>
      <c r="C34" t="s">
        <v>175</v>
      </c>
    </row>
    <row r="35" spans="1:3" ht="16.5" customHeight="1" x14ac:dyDescent="0.35">
      <c r="A35" s="64" t="s">
        <v>144</v>
      </c>
      <c r="B35" s="65"/>
      <c r="C35" s="30"/>
    </row>
    <row r="36" spans="1:3" x14ac:dyDescent="0.35">
      <c r="A36" s="64" t="s">
        <v>145</v>
      </c>
      <c r="B36" s="65"/>
      <c r="C36" s="30"/>
    </row>
    <row r="37" spans="1:3" x14ac:dyDescent="0.35">
      <c r="A37" s="64" t="s">
        <v>146</v>
      </c>
      <c r="B37" s="65"/>
      <c r="C37" s="30"/>
    </row>
    <row r="38" spans="1:3" x14ac:dyDescent="0.35">
      <c r="A38" s="64" t="s">
        <v>132</v>
      </c>
      <c r="B38" s="65"/>
      <c r="C38" s="30"/>
    </row>
    <row r="39" spans="1:3" x14ac:dyDescent="0.35">
      <c r="A39" s="64" t="s">
        <v>147</v>
      </c>
      <c r="B39" s="65"/>
      <c r="C39" s="30"/>
    </row>
    <row r="40" spans="1:3" x14ac:dyDescent="0.35">
      <c r="A40" s="64" t="s">
        <v>148</v>
      </c>
      <c r="B40" s="65"/>
      <c r="C40" s="30"/>
    </row>
    <row r="41" spans="1:3" x14ac:dyDescent="0.35">
      <c r="A41" s="64" t="s">
        <v>149</v>
      </c>
      <c r="B41" s="65"/>
      <c r="C41" s="30"/>
    </row>
    <row r="42" spans="1:3" x14ac:dyDescent="0.35">
      <c r="A42" s="64" t="s">
        <v>150</v>
      </c>
      <c r="B42" s="65"/>
      <c r="C42" s="30"/>
    </row>
    <row r="43" spans="1:3" x14ac:dyDescent="0.35">
      <c r="A43" s="64" t="s">
        <v>50</v>
      </c>
      <c r="B43" s="65"/>
      <c r="C43" s="30"/>
    </row>
    <row r="44" spans="1:3" x14ac:dyDescent="0.35">
      <c r="A44" s="64" t="s">
        <v>151</v>
      </c>
      <c r="B44" s="65"/>
      <c r="C44" s="30"/>
    </row>
    <row r="45" spans="1:3" x14ac:dyDescent="0.35">
      <c r="A45" s="64" t="s">
        <v>51</v>
      </c>
      <c r="B45" s="65"/>
      <c r="C45" s="30"/>
    </row>
    <row r="46" spans="1:3" x14ac:dyDescent="0.35">
      <c r="A46" s="64" t="s">
        <v>152</v>
      </c>
      <c r="B46" s="65"/>
      <c r="C46" s="30"/>
    </row>
    <row r="47" spans="1:3" x14ac:dyDescent="0.35">
      <c r="A47" s="64" t="s">
        <v>153</v>
      </c>
      <c r="B47" s="65"/>
      <c r="C47" s="30"/>
    </row>
    <row r="48" spans="1:3" x14ac:dyDescent="0.35">
      <c r="A48" s="64" t="s">
        <v>154</v>
      </c>
      <c r="B48" s="65"/>
      <c r="C48" s="30"/>
    </row>
    <row r="49" spans="1:3" x14ac:dyDescent="0.35">
      <c r="A49" s="64" t="s">
        <v>155</v>
      </c>
      <c r="B49" s="65"/>
      <c r="C49" s="30"/>
    </row>
    <row r="50" spans="1:3" x14ac:dyDescent="0.35">
      <c r="A50" s="64" t="s">
        <v>51</v>
      </c>
      <c r="B50" s="65"/>
      <c r="C50" s="30"/>
    </row>
    <row r="51" spans="1:3" x14ac:dyDescent="0.35">
      <c r="A51" s="64" t="s">
        <v>156</v>
      </c>
      <c r="B51" s="65"/>
      <c r="C51" s="30"/>
    </row>
    <row r="52" spans="1:3" x14ac:dyDescent="0.35">
      <c r="A52" s="64" t="s">
        <v>157</v>
      </c>
      <c r="B52" s="65"/>
    </row>
    <row r="53" spans="1:3" x14ac:dyDescent="0.35">
      <c r="A53" s="64" t="s">
        <v>107</v>
      </c>
      <c r="B53" s="65">
        <v>263</v>
      </c>
    </row>
    <row r="54" spans="1:3" x14ac:dyDescent="0.35">
      <c r="B54" s="27"/>
    </row>
    <row r="56" spans="1:3" ht="43.5" x14ac:dyDescent="0.35">
      <c r="A56" s="66" t="s">
        <v>126</v>
      </c>
      <c r="B56" s="27">
        <f>C30-SUM(B35:B53)</f>
        <v>7547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9230-5A18-4DD3-8CEA-71DB597290AE}">
  <dimension ref="A1:C54"/>
  <sheetViews>
    <sheetView tabSelected="1" workbookViewId="0">
      <selection activeCell="B18" sqref="B18"/>
    </sheetView>
  </sheetViews>
  <sheetFormatPr defaultRowHeight="14.5" x14ac:dyDescent="0.35"/>
  <cols>
    <col min="1" max="1" width="14.54296875" customWidth="1"/>
    <col min="2" max="2" width="16.08984375" customWidth="1"/>
    <col min="3" max="3" width="12.7265625" bestFit="1" customWidth="1"/>
    <col min="4" max="5" width="10.26953125" customWidth="1"/>
  </cols>
  <sheetData>
    <row r="1" spans="1:3" x14ac:dyDescent="0.35">
      <c r="A1" s="23" t="s">
        <v>91</v>
      </c>
    </row>
    <row r="2" spans="1:3" x14ac:dyDescent="0.35">
      <c r="A2" s="188" t="s">
        <v>177</v>
      </c>
      <c r="B2" s="189">
        <v>2203</v>
      </c>
    </row>
    <row r="3" spans="1:3" x14ac:dyDescent="0.35">
      <c r="A3" s="188" t="s">
        <v>178</v>
      </c>
      <c r="B3" s="189">
        <v>4406</v>
      </c>
    </row>
    <row r="4" spans="1:3" x14ac:dyDescent="0.35">
      <c r="A4" s="69" t="s">
        <v>179</v>
      </c>
      <c r="B4" s="70">
        <v>2900</v>
      </c>
    </row>
    <row r="5" spans="1:3" x14ac:dyDescent="0.35">
      <c r="A5" s="69" t="s">
        <v>180</v>
      </c>
      <c r="B5" s="70">
        <v>2900</v>
      </c>
    </row>
    <row r="7" spans="1:3" x14ac:dyDescent="0.35">
      <c r="B7" s="60" t="s">
        <v>94</v>
      </c>
      <c r="C7" s="60">
        <f>SUM(B2:B5)</f>
        <v>12409</v>
      </c>
    </row>
    <row r="10" spans="1:3" x14ac:dyDescent="0.35">
      <c r="A10" s="23" t="s">
        <v>95</v>
      </c>
    </row>
    <row r="12" spans="1:3" x14ac:dyDescent="0.35">
      <c r="A12" s="69" t="s">
        <v>97</v>
      </c>
      <c r="B12" s="70">
        <v>165</v>
      </c>
    </row>
    <row r="13" spans="1:3" x14ac:dyDescent="0.35">
      <c r="A13" s="69" t="s">
        <v>137</v>
      </c>
      <c r="B13" s="70">
        <v>425</v>
      </c>
    </row>
    <row r="14" spans="1:3" x14ac:dyDescent="0.35">
      <c r="A14" s="67" t="s">
        <v>98</v>
      </c>
      <c r="B14" s="68"/>
    </row>
    <row r="15" spans="1:3" x14ac:dyDescent="0.35">
      <c r="A15" s="67" t="s">
        <v>138</v>
      </c>
      <c r="B15" s="68">
        <v>350</v>
      </c>
    </row>
    <row r="16" spans="1:3" x14ac:dyDescent="0.35">
      <c r="A16" s="67" t="s">
        <v>140</v>
      </c>
      <c r="B16" s="68"/>
    </row>
    <row r="17" spans="1:3" x14ac:dyDescent="0.35">
      <c r="A17" s="67" t="s">
        <v>184</v>
      </c>
      <c r="B17" s="68">
        <v>500</v>
      </c>
    </row>
    <row r="18" spans="1:3" x14ac:dyDescent="0.35">
      <c r="A18" s="67" t="s">
        <v>137</v>
      </c>
      <c r="B18" s="68">
        <v>425</v>
      </c>
    </row>
    <row r="19" spans="1:3" x14ac:dyDescent="0.35">
      <c r="A19" s="67" t="s">
        <v>181</v>
      </c>
      <c r="B19" s="68">
        <v>104</v>
      </c>
    </row>
    <row r="20" spans="1:3" x14ac:dyDescent="0.35">
      <c r="A20" s="67" t="s">
        <v>143</v>
      </c>
      <c r="B20" s="68">
        <v>150</v>
      </c>
    </row>
    <row r="21" spans="1:3" x14ac:dyDescent="0.35">
      <c r="A21" s="69" t="s">
        <v>182</v>
      </c>
      <c r="B21" s="70">
        <v>2500</v>
      </c>
    </row>
    <row r="22" spans="1:3" x14ac:dyDescent="0.35">
      <c r="A22" s="67" t="s">
        <v>183</v>
      </c>
      <c r="B22" s="68">
        <v>400</v>
      </c>
    </row>
    <row r="23" spans="1:3" x14ac:dyDescent="0.35">
      <c r="A23" s="67" t="s">
        <v>103</v>
      </c>
      <c r="B23" s="68">
        <v>425</v>
      </c>
    </row>
    <row r="24" spans="1:3" x14ac:dyDescent="0.35">
      <c r="A24" s="67" t="s">
        <v>139</v>
      </c>
      <c r="B24" s="68">
        <v>160</v>
      </c>
    </row>
    <row r="27" spans="1:3" x14ac:dyDescent="0.35">
      <c r="B27" s="61" t="s">
        <v>95</v>
      </c>
      <c r="C27" s="60">
        <f>SUM(B12:B24)</f>
        <v>5604</v>
      </c>
    </row>
    <row r="28" spans="1:3" x14ac:dyDescent="0.35">
      <c r="B28" s="62" t="s">
        <v>104</v>
      </c>
      <c r="C28" s="63">
        <f>C7-C27</f>
        <v>6805</v>
      </c>
    </row>
    <row r="29" spans="1:3" x14ac:dyDescent="0.35">
      <c r="A29" s="24" t="s">
        <v>105</v>
      </c>
    </row>
    <row r="30" spans="1:3" x14ac:dyDescent="0.35">
      <c r="A30" s="64" t="s">
        <v>172</v>
      </c>
      <c r="B30" s="65"/>
    </row>
    <row r="31" spans="1:3" x14ac:dyDescent="0.35">
      <c r="A31" s="64" t="s">
        <v>174</v>
      </c>
      <c r="B31" s="65"/>
    </row>
    <row r="32" spans="1:3" x14ac:dyDescent="0.35">
      <c r="A32" s="64" t="s">
        <v>29</v>
      </c>
      <c r="B32" s="65"/>
    </row>
    <row r="33" spans="1:3" ht="16.5" customHeight="1" x14ac:dyDescent="0.35">
      <c r="A33" s="64" t="s">
        <v>144</v>
      </c>
      <c r="B33" s="65"/>
      <c r="C33" s="30"/>
    </row>
    <row r="34" spans="1:3" x14ac:dyDescent="0.35">
      <c r="A34" s="64" t="s">
        <v>145</v>
      </c>
      <c r="B34" s="65"/>
      <c r="C34" s="30"/>
    </row>
    <row r="35" spans="1:3" x14ac:dyDescent="0.35">
      <c r="A35" s="64" t="s">
        <v>146</v>
      </c>
      <c r="B35" s="65"/>
      <c r="C35" s="30"/>
    </row>
    <row r="36" spans="1:3" x14ac:dyDescent="0.35">
      <c r="A36" s="64" t="s">
        <v>132</v>
      </c>
      <c r="B36" s="65"/>
      <c r="C36" s="30"/>
    </row>
    <row r="37" spans="1:3" x14ac:dyDescent="0.35">
      <c r="A37" s="64" t="s">
        <v>147</v>
      </c>
      <c r="B37" s="65"/>
      <c r="C37" s="30"/>
    </row>
    <row r="38" spans="1:3" x14ac:dyDescent="0.35">
      <c r="A38" s="64" t="s">
        <v>148</v>
      </c>
      <c r="B38" s="65"/>
      <c r="C38" s="30"/>
    </row>
    <row r="39" spans="1:3" x14ac:dyDescent="0.35">
      <c r="A39" s="64" t="s">
        <v>149</v>
      </c>
      <c r="B39" s="65"/>
      <c r="C39" s="30"/>
    </row>
    <row r="40" spans="1:3" x14ac:dyDescent="0.35">
      <c r="A40" s="64" t="s">
        <v>150</v>
      </c>
      <c r="B40" s="65"/>
      <c r="C40" s="30"/>
    </row>
    <row r="41" spans="1:3" x14ac:dyDescent="0.35">
      <c r="A41" s="64" t="s">
        <v>50</v>
      </c>
      <c r="B41" s="65"/>
      <c r="C41" s="30"/>
    </row>
    <row r="42" spans="1:3" x14ac:dyDescent="0.35">
      <c r="A42" s="64" t="s">
        <v>151</v>
      </c>
      <c r="B42" s="65"/>
      <c r="C42" s="30"/>
    </row>
    <row r="43" spans="1:3" x14ac:dyDescent="0.35">
      <c r="A43" s="64" t="s">
        <v>51</v>
      </c>
      <c r="B43" s="65"/>
      <c r="C43" s="30"/>
    </row>
    <row r="44" spans="1:3" x14ac:dyDescent="0.35">
      <c r="A44" s="64" t="s">
        <v>152</v>
      </c>
      <c r="B44" s="65"/>
      <c r="C44" s="30"/>
    </row>
    <row r="45" spans="1:3" x14ac:dyDescent="0.35">
      <c r="A45" s="64" t="s">
        <v>153</v>
      </c>
      <c r="B45" s="65"/>
      <c r="C45" s="30"/>
    </row>
    <row r="46" spans="1:3" x14ac:dyDescent="0.35">
      <c r="A46" s="64" t="s">
        <v>154</v>
      </c>
      <c r="B46" s="65"/>
      <c r="C46" s="30"/>
    </row>
    <row r="47" spans="1:3" x14ac:dyDescent="0.35">
      <c r="A47" s="64" t="s">
        <v>155</v>
      </c>
      <c r="B47" s="65"/>
      <c r="C47" s="30"/>
    </row>
    <row r="48" spans="1:3" x14ac:dyDescent="0.35">
      <c r="A48" s="64" t="s">
        <v>51</v>
      </c>
      <c r="B48" s="65"/>
      <c r="C48" s="30"/>
    </row>
    <row r="49" spans="1:3" x14ac:dyDescent="0.35">
      <c r="A49" s="64" t="s">
        <v>156</v>
      </c>
      <c r="B49" s="65"/>
      <c r="C49" s="30"/>
    </row>
    <row r="50" spans="1:3" x14ac:dyDescent="0.35">
      <c r="A50" s="64" t="s">
        <v>157</v>
      </c>
      <c r="B50" s="65"/>
    </row>
    <row r="51" spans="1:3" x14ac:dyDescent="0.35">
      <c r="A51" s="64" t="s">
        <v>107</v>
      </c>
      <c r="B51" s="65"/>
    </row>
    <row r="52" spans="1:3" x14ac:dyDescent="0.35">
      <c r="B52" s="27"/>
    </row>
    <row r="54" spans="1:3" ht="43.5" x14ac:dyDescent="0.35">
      <c r="A54" s="66" t="s">
        <v>126</v>
      </c>
      <c r="B54" s="27">
        <f>C28-SUM(B33:B51)</f>
        <v>6805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21E6-2C40-E540-9D18-071C940C08EB}">
  <dimension ref="B1:I1047562"/>
  <sheetViews>
    <sheetView zoomScaleNormal="60" zoomScaleSheetLayoutView="100" workbookViewId="0">
      <selection activeCell="E18" sqref="E18"/>
    </sheetView>
  </sheetViews>
  <sheetFormatPr defaultRowHeight="14.5" x14ac:dyDescent="0.35"/>
  <cols>
    <col min="2" max="2" width="10.26953125" bestFit="1" customWidth="1"/>
    <col min="3" max="3" width="11.453125" style="34" bestFit="1" customWidth="1"/>
    <col min="4" max="4" width="17.26953125" customWidth="1"/>
    <col min="5" max="5" width="19.1796875" customWidth="1"/>
    <col min="6" max="6" width="12.7265625" bestFit="1" customWidth="1"/>
    <col min="7" max="7" width="11.81640625" bestFit="1" customWidth="1"/>
    <col min="8" max="8" width="10.26953125" bestFit="1" customWidth="1"/>
    <col min="9" max="9" width="11.7265625" bestFit="1" customWidth="1"/>
  </cols>
  <sheetData>
    <row r="1" spans="2:5" ht="24" customHeight="1" thickBot="1" x14ac:dyDescent="0.4"/>
    <row r="2" spans="2:5" x14ac:dyDescent="0.35">
      <c r="B2" s="175" t="s">
        <v>80</v>
      </c>
      <c r="C2" s="176" t="s">
        <v>4</v>
      </c>
      <c r="D2" s="177" t="s">
        <v>81</v>
      </c>
      <c r="E2" s="178" t="s">
        <v>82</v>
      </c>
    </row>
    <row r="3" spans="2:5" x14ac:dyDescent="0.35">
      <c r="B3" s="179">
        <v>2013</v>
      </c>
      <c r="C3" s="170">
        <v>26200</v>
      </c>
      <c r="D3" s="169"/>
      <c r="E3" s="180"/>
    </row>
    <row r="4" spans="2:5" x14ac:dyDescent="0.35">
      <c r="B4" s="179">
        <v>2014</v>
      </c>
      <c r="C4" s="170">
        <v>35700</v>
      </c>
      <c r="D4" s="171">
        <f t="shared" ref="D4:D16" si="0">C4-C3</f>
        <v>9500</v>
      </c>
      <c r="E4" s="180">
        <f t="shared" ref="E4:E13" si="1">C4/C3-1</f>
        <v>0.36259541984732824</v>
      </c>
    </row>
    <row r="5" spans="2:5" x14ac:dyDescent="0.35">
      <c r="B5" s="179">
        <v>2015</v>
      </c>
      <c r="C5" s="170">
        <v>39200</v>
      </c>
      <c r="D5" s="171">
        <f t="shared" si="0"/>
        <v>3500</v>
      </c>
      <c r="E5" s="180">
        <f t="shared" si="1"/>
        <v>9.8039215686274606E-2</v>
      </c>
    </row>
    <row r="6" spans="2:5" ht="20.25" customHeight="1" x14ac:dyDescent="0.35">
      <c r="B6" s="179">
        <v>2016</v>
      </c>
      <c r="C6" s="170">
        <v>46000.28</v>
      </c>
      <c r="D6" s="172">
        <f t="shared" si="0"/>
        <v>6800.2799999999988</v>
      </c>
      <c r="E6" s="180">
        <f t="shared" si="1"/>
        <v>0.17347653061224477</v>
      </c>
    </row>
    <row r="7" spans="2:5" ht="21" customHeight="1" x14ac:dyDescent="0.35">
      <c r="B7" s="179">
        <v>2017</v>
      </c>
      <c r="C7" s="170">
        <v>52081.81</v>
      </c>
      <c r="D7" s="171">
        <f t="shared" si="0"/>
        <v>6081.5299999999988</v>
      </c>
      <c r="E7" s="180">
        <f t="shared" si="1"/>
        <v>0.13220636917862238</v>
      </c>
    </row>
    <row r="8" spans="2:5" ht="20.25" customHeight="1" x14ac:dyDescent="0.35">
      <c r="B8" s="179">
        <v>2018</v>
      </c>
      <c r="C8" s="170">
        <v>68781.14</v>
      </c>
      <c r="D8" s="171">
        <f t="shared" si="0"/>
        <v>16699.330000000002</v>
      </c>
      <c r="E8" s="180">
        <f t="shared" si="1"/>
        <v>0.32063651397676085</v>
      </c>
    </row>
    <row r="9" spans="2:5" ht="18.75" customHeight="1" x14ac:dyDescent="0.35">
      <c r="B9" s="179">
        <v>2019</v>
      </c>
      <c r="C9" s="170">
        <v>72379</v>
      </c>
      <c r="D9" s="171">
        <f t="shared" si="0"/>
        <v>3597.8600000000006</v>
      </c>
      <c r="E9" s="180">
        <f t="shared" si="1"/>
        <v>5.230881605044635E-2</v>
      </c>
    </row>
    <row r="10" spans="2:5" x14ac:dyDescent="0.35">
      <c r="B10" s="181">
        <v>2020</v>
      </c>
      <c r="C10" s="173">
        <v>80400</v>
      </c>
      <c r="D10" s="172">
        <f t="shared" si="0"/>
        <v>8021</v>
      </c>
      <c r="E10" s="180">
        <f t="shared" si="1"/>
        <v>0.11081943657690774</v>
      </c>
    </row>
    <row r="11" spans="2:5" x14ac:dyDescent="0.35">
      <c r="B11" s="179">
        <v>2020</v>
      </c>
      <c r="C11" s="173">
        <v>92864</v>
      </c>
      <c r="D11" s="172">
        <f t="shared" si="0"/>
        <v>12464</v>
      </c>
      <c r="E11" s="180">
        <f t="shared" si="1"/>
        <v>0.1550248756218906</v>
      </c>
    </row>
    <row r="12" spans="2:5" x14ac:dyDescent="0.35">
      <c r="B12" s="181">
        <v>2021</v>
      </c>
      <c r="C12" s="173">
        <v>97508</v>
      </c>
      <c r="D12" s="172">
        <f t="shared" si="0"/>
        <v>4644</v>
      </c>
      <c r="E12" s="180">
        <f t="shared" si="1"/>
        <v>5.0008614748449309E-2</v>
      </c>
    </row>
    <row r="13" spans="2:5" x14ac:dyDescent="0.35">
      <c r="B13" s="181">
        <v>2022</v>
      </c>
      <c r="C13" s="173">
        <v>101200</v>
      </c>
      <c r="D13" s="172">
        <f t="shared" si="0"/>
        <v>3692</v>
      </c>
      <c r="E13" s="180">
        <f t="shared" si="1"/>
        <v>3.7863559913032807E-2</v>
      </c>
    </row>
    <row r="14" spans="2:5" x14ac:dyDescent="0.35">
      <c r="B14" s="181">
        <v>2022</v>
      </c>
      <c r="C14" s="173">
        <v>192720</v>
      </c>
      <c r="D14" s="172">
        <f t="shared" si="0"/>
        <v>91520</v>
      </c>
      <c r="E14" s="180">
        <f>C14/C13-1</f>
        <v>0.90434782608695663</v>
      </c>
    </row>
    <row r="15" spans="2:5" x14ac:dyDescent="0.35">
      <c r="B15" s="181">
        <v>2023</v>
      </c>
      <c r="C15" s="173">
        <v>196520</v>
      </c>
      <c r="D15" s="172">
        <f t="shared" si="0"/>
        <v>3800</v>
      </c>
      <c r="E15" s="180">
        <f>(C15/C14)-1</f>
        <v>1.9717725197177183E-2</v>
      </c>
    </row>
    <row r="16" spans="2:5" x14ac:dyDescent="0.35">
      <c r="B16" s="181">
        <v>2025</v>
      </c>
      <c r="C16" s="173">
        <v>247000</v>
      </c>
      <c r="D16" s="172">
        <f t="shared" si="0"/>
        <v>50480</v>
      </c>
      <c r="E16" s="180">
        <f>(C16/C15)-1</f>
        <v>0.25686952981884792</v>
      </c>
    </row>
    <row r="17" spans="2:9" x14ac:dyDescent="0.35">
      <c r="B17" s="182"/>
      <c r="C17" s="173"/>
      <c r="D17" s="174"/>
      <c r="E17" s="183">
        <f>AVERAGE(E4:E16)</f>
        <v>0.20568572563961068</v>
      </c>
    </row>
    <row r="18" spans="2:9" x14ac:dyDescent="0.35">
      <c r="B18" s="182"/>
      <c r="C18" s="173"/>
      <c r="D18" s="174"/>
      <c r="E18" s="183"/>
    </row>
    <row r="19" spans="2:9" ht="15" thickBot="1" x14ac:dyDescent="0.4">
      <c r="B19" s="184"/>
      <c r="C19" s="185"/>
      <c r="D19" s="186"/>
      <c r="E19" s="187"/>
    </row>
    <row r="20" spans="2:9" x14ac:dyDescent="0.35">
      <c r="E20" s="56"/>
    </row>
    <row r="22" spans="2:9" x14ac:dyDescent="0.35">
      <c r="B22" s="51" t="s">
        <v>83</v>
      </c>
      <c r="C22" s="52" t="s">
        <v>84</v>
      </c>
      <c r="D22" s="51" t="s">
        <v>85</v>
      </c>
      <c r="F22" s="51" t="s">
        <v>86</v>
      </c>
      <c r="G22" s="53" t="s">
        <v>87</v>
      </c>
      <c r="H22" s="53" t="s">
        <v>88</v>
      </c>
      <c r="I22" s="51" t="s">
        <v>89</v>
      </c>
    </row>
    <row r="23" spans="2:9" x14ac:dyDescent="0.35">
      <c r="B23" s="43">
        <v>96600</v>
      </c>
      <c r="C23" s="45">
        <v>171400</v>
      </c>
      <c r="D23" s="43">
        <f>MEDIAN(B23,C23)</f>
        <v>134000</v>
      </c>
      <c r="F23" s="43">
        <v>140000</v>
      </c>
      <c r="G23" s="54">
        <f>F23/D23</f>
        <v>1.044776119402985</v>
      </c>
      <c r="H23" s="55">
        <f>F23-C13</f>
        <v>38800</v>
      </c>
      <c r="I23" s="57">
        <f>F23/C13-1</f>
        <v>0.38339920948616601</v>
      </c>
    </row>
    <row r="24" spans="2:9" x14ac:dyDescent="0.35">
      <c r="B24" s="27"/>
      <c r="D24" s="27"/>
    </row>
    <row r="25" spans="2:9" x14ac:dyDescent="0.35">
      <c r="C25" s="49" t="s">
        <v>87</v>
      </c>
      <c r="D25" s="50"/>
    </row>
    <row r="26" spans="2:9" x14ac:dyDescent="0.35">
      <c r="C26" s="47">
        <v>0.9</v>
      </c>
      <c r="D26" s="48">
        <f>C26*$D$23</f>
        <v>120600</v>
      </c>
    </row>
    <row r="27" spans="2:9" x14ac:dyDescent="0.35">
      <c r="C27" s="46">
        <v>0.89</v>
      </c>
      <c r="D27" s="43">
        <f t="shared" ref="D27:D36" si="2">C27*$D$23</f>
        <v>119260</v>
      </c>
    </row>
    <row r="28" spans="2:9" x14ac:dyDescent="0.35">
      <c r="C28" s="46">
        <v>0.88</v>
      </c>
      <c r="D28" s="43">
        <f t="shared" si="2"/>
        <v>117920</v>
      </c>
    </row>
    <row r="29" spans="2:9" x14ac:dyDescent="0.35">
      <c r="C29" s="46">
        <v>0.87</v>
      </c>
      <c r="D29" s="43">
        <f t="shared" si="2"/>
        <v>116580</v>
      </c>
    </row>
    <row r="30" spans="2:9" x14ac:dyDescent="0.35">
      <c r="C30" s="46">
        <v>0.86</v>
      </c>
      <c r="D30" s="43">
        <f t="shared" si="2"/>
        <v>115240</v>
      </c>
    </row>
    <row r="31" spans="2:9" x14ac:dyDescent="0.35">
      <c r="C31" s="46">
        <v>0.85</v>
      </c>
      <c r="D31" s="43">
        <f t="shared" si="2"/>
        <v>113900</v>
      </c>
    </row>
    <row r="32" spans="2:9" x14ac:dyDescent="0.35">
      <c r="C32" s="46">
        <v>0.84</v>
      </c>
      <c r="D32" s="43">
        <f t="shared" si="2"/>
        <v>112560</v>
      </c>
    </row>
    <row r="33" spans="3:4" x14ac:dyDescent="0.35">
      <c r="C33" s="46">
        <v>0.83</v>
      </c>
      <c r="D33" s="43">
        <f t="shared" si="2"/>
        <v>111220</v>
      </c>
    </row>
    <row r="34" spans="3:4" x14ac:dyDescent="0.35">
      <c r="C34" s="46">
        <v>0.82</v>
      </c>
      <c r="D34" s="43">
        <f t="shared" si="2"/>
        <v>109880</v>
      </c>
    </row>
    <row r="35" spans="3:4" x14ac:dyDescent="0.35">
      <c r="C35" s="46">
        <v>0.81</v>
      </c>
      <c r="D35" s="43">
        <f t="shared" si="2"/>
        <v>108540</v>
      </c>
    </row>
    <row r="36" spans="3:4" x14ac:dyDescent="0.35">
      <c r="C36" s="46">
        <v>0.8</v>
      </c>
      <c r="D36" s="43">
        <f t="shared" si="2"/>
        <v>107200</v>
      </c>
    </row>
    <row r="37" spans="3:4" x14ac:dyDescent="0.35">
      <c r="C37" s="44"/>
    </row>
    <row r="38" spans="3:4" x14ac:dyDescent="0.35">
      <c r="C38" s="44"/>
    </row>
    <row r="39" spans="3:4" x14ac:dyDescent="0.35">
      <c r="C39" s="44"/>
    </row>
    <row r="1047562" spans="5:5" ht="29" x14ac:dyDescent="0.35">
      <c r="E1047562" s="3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A760-024D-8847-B437-81CB18D71FF3}">
  <dimension ref="A1:D36"/>
  <sheetViews>
    <sheetView topLeftCell="A15" zoomScaleNormal="60" zoomScaleSheetLayoutView="100" workbookViewId="0">
      <selection activeCell="C30" sqref="C30"/>
    </sheetView>
  </sheetViews>
  <sheetFormatPr defaultRowHeight="14.5" x14ac:dyDescent="0.35"/>
  <cols>
    <col min="1" max="1" width="11.453125" bestFit="1" customWidth="1"/>
    <col min="2" max="2" width="14.54296875" customWidth="1"/>
    <col min="3" max="3" width="12.7265625" bestFit="1" customWidth="1"/>
    <col min="4" max="4" width="10.26953125" customWidth="1"/>
  </cols>
  <sheetData>
    <row r="1" spans="1:4" x14ac:dyDescent="0.35">
      <c r="A1" s="23" t="s">
        <v>91</v>
      </c>
    </row>
    <row r="2" spans="1:4" x14ac:dyDescent="0.35">
      <c r="A2" s="18" t="s">
        <v>92</v>
      </c>
      <c r="B2" s="20">
        <v>1919</v>
      </c>
    </row>
    <row r="3" spans="1:4" x14ac:dyDescent="0.35">
      <c r="A3" s="19" t="s">
        <v>93</v>
      </c>
      <c r="B3" s="21">
        <v>1919</v>
      </c>
    </row>
    <row r="4" spans="1:4" x14ac:dyDescent="0.35">
      <c r="B4" s="22" t="s">
        <v>94</v>
      </c>
      <c r="C4" s="22">
        <f>SUM(B2:B3)</f>
        <v>3838</v>
      </c>
    </row>
    <row r="7" spans="1:4" x14ac:dyDescent="0.35">
      <c r="A7" s="23" t="s">
        <v>95</v>
      </c>
    </row>
    <row r="8" spans="1:4" x14ac:dyDescent="0.35">
      <c r="A8" s="18" t="s">
        <v>96</v>
      </c>
      <c r="B8" s="20">
        <v>1150</v>
      </c>
    </row>
    <row r="9" spans="1:4" x14ac:dyDescent="0.35">
      <c r="A9" s="18" t="s">
        <v>97</v>
      </c>
      <c r="B9" s="20">
        <v>175</v>
      </c>
      <c r="C9" s="20">
        <f>SUM(B8:B9)</f>
        <v>1325</v>
      </c>
    </row>
    <row r="10" spans="1:4" x14ac:dyDescent="0.35">
      <c r="D10" s="20">
        <f>B2-C9</f>
        <v>594</v>
      </c>
    </row>
    <row r="11" spans="1:4" x14ac:dyDescent="0.35">
      <c r="A11" s="19" t="s">
        <v>98</v>
      </c>
      <c r="B11" s="21">
        <v>128</v>
      </c>
    </row>
    <row r="12" spans="1:4" x14ac:dyDescent="0.35">
      <c r="A12" s="19" t="s">
        <v>99</v>
      </c>
      <c r="B12" s="21">
        <v>100</v>
      </c>
    </row>
    <row r="13" spans="1:4" x14ac:dyDescent="0.35">
      <c r="A13" s="19" t="s">
        <v>100</v>
      </c>
      <c r="B13" s="21">
        <v>119</v>
      </c>
    </row>
    <row r="14" spans="1:4" x14ac:dyDescent="0.35">
      <c r="A14" s="19" t="s">
        <v>101</v>
      </c>
      <c r="B14" s="21">
        <v>150</v>
      </c>
    </row>
    <row r="15" spans="1:4" x14ac:dyDescent="0.35">
      <c r="A15" s="19" t="s">
        <v>102</v>
      </c>
      <c r="B15" s="21">
        <v>60</v>
      </c>
    </row>
    <row r="16" spans="1:4" x14ac:dyDescent="0.35">
      <c r="A16" s="19" t="s">
        <v>103</v>
      </c>
      <c r="B16" s="21">
        <v>400</v>
      </c>
    </row>
    <row r="17" spans="1:4" x14ac:dyDescent="0.35">
      <c r="A17" s="19" t="s">
        <v>47</v>
      </c>
      <c r="B17" s="21">
        <v>295</v>
      </c>
      <c r="C17" s="21">
        <f>SUM(B11:B17)</f>
        <v>1252</v>
      </c>
    </row>
    <row r="18" spans="1:4" x14ac:dyDescent="0.35">
      <c r="D18" s="21">
        <f>B3-C17</f>
        <v>667</v>
      </c>
    </row>
    <row r="20" spans="1:4" x14ac:dyDescent="0.35">
      <c r="B20" s="17" t="s">
        <v>95</v>
      </c>
      <c r="C20" s="22">
        <f>SUM(B8:B17)</f>
        <v>2577</v>
      </c>
    </row>
    <row r="21" spans="1:4" x14ac:dyDescent="0.35">
      <c r="B21" s="28" t="s">
        <v>104</v>
      </c>
      <c r="C21" s="29">
        <f>C4-C20</f>
        <v>1261</v>
      </c>
    </row>
    <row r="22" spans="1:4" x14ac:dyDescent="0.35">
      <c r="A22" s="24" t="s">
        <v>105</v>
      </c>
    </row>
    <row r="23" spans="1:4" x14ac:dyDescent="0.35">
      <c r="A23" s="25" t="s">
        <v>106</v>
      </c>
      <c r="B23" s="26">
        <v>100</v>
      </c>
    </row>
    <row r="24" spans="1:4" x14ac:dyDescent="0.35">
      <c r="A24" s="25" t="s">
        <v>107</v>
      </c>
      <c r="B24" s="26">
        <v>175</v>
      </c>
    </row>
    <row r="25" spans="1:4" x14ac:dyDescent="0.35">
      <c r="A25" s="25" t="s">
        <v>108</v>
      </c>
      <c r="B25" s="26">
        <v>200</v>
      </c>
    </row>
    <row r="26" spans="1:4" x14ac:dyDescent="0.35">
      <c r="A26" s="25" t="s">
        <v>109</v>
      </c>
      <c r="B26" s="26">
        <v>180</v>
      </c>
    </row>
    <row r="27" spans="1:4" x14ac:dyDescent="0.35">
      <c r="A27" s="25" t="s">
        <v>110</v>
      </c>
      <c r="B27" s="26">
        <v>83</v>
      </c>
      <c r="D27" t="s">
        <v>111</v>
      </c>
    </row>
    <row r="28" spans="1:4" x14ac:dyDescent="0.35">
      <c r="A28" s="25" t="s">
        <v>112</v>
      </c>
      <c r="B28" s="26">
        <v>55</v>
      </c>
    </row>
    <row r="29" spans="1:4" x14ac:dyDescent="0.35">
      <c r="A29" s="25" t="s">
        <v>113</v>
      </c>
      <c r="B29" s="26">
        <v>200</v>
      </c>
    </row>
    <row r="30" spans="1:4" x14ac:dyDescent="0.35">
      <c r="A30" s="25" t="s">
        <v>107</v>
      </c>
      <c r="B30" s="26">
        <v>75</v>
      </c>
    </row>
    <row r="31" spans="1:4" x14ac:dyDescent="0.35">
      <c r="A31" s="25" t="s">
        <v>114</v>
      </c>
      <c r="B31" s="26">
        <v>30</v>
      </c>
    </row>
    <row r="32" spans="1:4" x14ac:dyDescent="0.35">
      <c r="A32" s="25" t="s">
        <v>107</v>
      </c>
      <c r="B32" s="26">
        <v>75</v>
      </c>
    </row>
    <row r="33" spans="1:2" x14ac:dyDescent="0.35">
      <c r="A33" s="25"/>
      <c r="B33" s="26"/>
    </row>
    <row r="34" spans="1:2" x14ac:dyDescent="0.35">
      <c r="B34" s="27"/>
    </row>
    <row r="36" spans="1:2" x14ac:dyDescent="0.35">
      <c r="A36" t="s">
        <v>115</v>
      </c>
      <c r="B36" s="27">
        <f>C21-SUM(B23:B33)</f>
        <v>88</v>
      </c>
    </row>
  </sheetData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58BF-D307-B24D-81A2-4B75BB0CC4C7}">
  <sheetPr filterMode="1"/>
  <dimension ref="A1:D53"/>
  <sheetViews>
    <sheetView zoomScaleNormal="60" zoomScaleSheetLayoutView="100"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4.54296875" customWidth="1"/>
    <col min="3" max="3" width="12.7265625" bestFit="1" customWidth="1"/>
    <col min="4" max="4" width="10.26953125" customWidth="1"/>
  </cols>
  <sheetData>
    <row r="1" spans="1:4" x14ac:dyDescent="0.35">
      <c r="A1" s="23" t="s">
        <v>91</v>
      </c>
    </row>
    <row r="2" spans="1:4" x14ac:dyDescent="0.35">
      <c r="A2" s="18" t="s">
        <v>92</v>
      </c>
      <c r="B2" s="20">
        <v>2300</v>
      </c>
    </row>
    <row r="3" spans="1:4" x14ac:dyDescent="0.35">
      <c r="A3" s="19" t="s">
        <v>93</v>
      </c>
      <c r="B3" s="21">
        <v>2300</v>
      </c>
    </row>
    <row r="4" spans="1:4" x14ac:dyDescent="0.35">
      <c r="B4" s="22" t="s">
        <v>94</v>
      </c>
      <c r="C4" s="22">
        <f>SUM(B2:B3)</f>
        <v>4600</v>
      </c>
    </row>
    <row r="7" spans="1:4" x14ac:dyDescent="0.35">
      <c r="A7" s="23" t="s">
        <v>95</v>
      </c>
    </row>
    <row r="8" spans="1:4" x14ac:dyDescent="0.35">
      <c r="A8" s="18" t="s">
        <v>96</v>
      </c>
      <c r="B8" s="20">
        <v>1250</v>
      </c>
    </row>
    <row r="9" spans="1:4" x14ac:dyDescent="0.35">
      <c r="A9" s="18" t="s">
        <v>97</v>
      </c>
      <c r="B9" s="20">
        <v>175</v>
      </c>
      <c r="C9" s="20">
        <f>SUM(B8:B9)</f>
        <v>1425</v>
      </c>
    </row>
    <row r="10" spans="1:4" x14ac:dyDescent="0.35">
      <c r="D10" s="20">
        <f>B2-C9</f>
        <v>875</v>
      </c>
    </row>
    <row r="11" spans="1:4" x14ac:dyDescent="0.35">
      <c r="A11" s="19" t="s">
        <v>98</v>
      </c>
      <c r="B11" s="21">
        <v>128</v>
      </c>
    </row>
    <row r="12" spans="1:4" x14ac:dyDescent="0.35">
      <c r="A12" s="19" t="s">
        <v>99</v>
      </c>
      <c r="B12" s="21">
        <v>100</v>
      </c>
    </row>
    <row r="13" spans="1:4" x14ac:dyDescent="0.35">
      <c r="A13" s="19" t="s">
        <v>101</v>
      </c>
      <c r="B13" s="21">
        <v>0</v>
      </c>
    </row>
    <row r="14" spans="1:4" x14ac:dyDescent="0.35">
      <c r="A14" s="19" t="s">
        <v>116</v>
      </c>
      <c r="B14" s="21">
        <v>35</v>
      </c>
    </row>
    <row r="15" spans="1:4" x14ac:dyDescent="0.35">
      <c r="A15" s="19" t="s">
        <v>117</v>
      </c>
      <c r="B15" s="21">
        <v>20</v>
      </c>
    </row>
    <row r="16" spans="1:4" x14ac:dyDescent="0.35">
      <c r="A16" s="19" t="s">
        <v>102</v>
      </c>
      <c r="B16" s="21">
        <v>60</v>
      </c>
    </row>
    <row r="17" spans="1:4" x14ac:dyDescent="0.35">
      <c r="A17" s="19" t="s">
        <v>103</v>
      </c>
      <c r="B17" s="21">
        <v>300</v>
      </c>
    </row>
    <row r="18" spans="1:4" x14ac:dyDescent="0.35">
      <c r="A18" s="19" t="s">
        <v>47</v>
      </c>
      <c r="B18" s="21">
        <v>400</v>
      </c>
      <c r="C18" s="21">
        <f>SUM(B11:B18)</f>
        <v>1043</v>
      </c>
    </row>
    <row r="19" spans="1:4" x14ac:dyDescent="0.35">
      <c r="D19" s="21">
        <f>B3-C18</f>
        <v>1257</v>
      </c>
    </row>
    <row r="21" spans="1:4" x14ac:dyDescent="0.35">
      <c r="B21" s="17" t="s">
        <v>95</v>
      </c>
      <c r="C21" s="22">
        <f>SUM(B8:B18)</f>
        <v>2468</v>
      </c>
    </row>
    <row r="22" spans="1:4" x14ac:dyDescent="0.35">
      <c r="B22" s="28" t="s">
        <v>104</v>
      </c>
      <c r="C22" s="29">
        <f>C4-C21</f>
        <v>2132</v>
      </c>
    </row>
    <row r="24" spans="1:4" x14ac:dyDescent="0.35">
      <c r="A24" s="24" t="s">
        <v>105</v>
      </c>
    </row>
    <row r="25" spans="1:4" x14ac:dyDescent="0.35">
      <c r="A25" s="25" t="s">
        <v>107</v>
      </c>
      <c r="B25" s="26">
        <v>54</v>
      </c>
      <c r="C25" s="30">
        <v>43590</v>
      </c>
    </row>
    <row r="26" spans="1:4" x14ac:dyDescent="0.35">
      <c r="A26" s="25" t="s">
        <v>118</v>
      </c>
      <c r="B26" s="26">
        <v>400</v>
      </c>
      <c r="C26" s="30">
        <v>43590</v>
      </c>
    </row>
    <row r="27" spans="1:4" x14ac:dyDescent="0.35">
      <c r="A27" s="25" t="s">
        <v>119</v>
      </c>
      <c r="B27" s="26">
        <v>31</v>
      </c>
      <c r="C27" s="30">
        <v>43590</v>
      </c>
    </row>
    <row r="28" spans="1:4" x14ac:dyDescent="0.35">
      <c r="A28" s="25" t="s">
        <v>78</v>
      </c>
      <c r="B28" s="26">
        <v>40</v>
      </c>
      <c r="C28" s="30">
        <v>43590</v>
      </c>
    </row>
    <row r="29" spans="1:4" x14ac:dyDescent="0.35">
      <c r="A29" s="25" t="s">
        <v>120</v>
      </c>
      <c r="B29" s="26">
        <v>145</v>
      </c>
      <c r="C29" s="30">
        <v>43590</v>
      </c>
    </row>
    <row r="30" spans="1:4" x14ac:dyDescent="0.35">
      <c r="A30" s="25" t="s">
        <v>50</v>
      </c>
      <c r="B30" s="26">
        <v>43</v>
      </c>
      <c r="C30" s="30">
        <v>43590</v>
      </c>
    </row>
    <row r="31" spans="1:4" x14ac:dyDescent="0.35">
      <c r="A31" s="25" t="s">
        <v>107</v>
      </c>
      <c r="B31" s="26">
        <v>52</v>
      </c>
      <c r="C31" s="30">
        <v>43591</v>
      </c>
    </row>
    <row r="32" spans="1:4" x14ac:dyDescent="0.35">
      <c r="A32" s="25" t="s">
        <v>118</v>
      </c>
      <c r="B32" s="26">
        <v>0</v>
      </c>
      <c r="C32" s="30">
        <v>43591</v>
      </c>
    </row>
    <row r="33" spans="1:3" x14ac:dyDescent="0.35">
      <c r="A33" s="25" t="s">
        <v>121</v>
      </c>
      <c r="B33" s="26">
        <v>62</v>
      </c>
      <c r="C33" s="30">
        <v>43591</v>
      </c>
    </row>
    <row r="34" spans="1:3" x14ac:dyDescent="0.35">
      <c r="A34" s="25" t="s">
        <v>122</v>
      </c>
      <c r="B34" s="26">
        <v>60</v>
      </c>
      <c r="C34" s="30">
        <v>43591</v>
      </c>
    </row>
    <row r="35" spans="1:3" x14ac:dyDescent="0.35">
      <c r="A35" s="25" t="s">
        <v>107</v>
      </c>
      <c r="B35" s="31">
        <v>55</v>
      </c>
      <c r="C35" s="30">
        <v>43591</v>
      </c>
    </row>
    <row r="36" spans="1:3" x14ac:dyDescent="0.35">
      <c r="A36" s="25" t="s">
        <v>118</v>
      </c>
      <c r="B36" s="31">
        <v>0</v>
      </c>
      <c r="C36" s="30">
        <v>43593</v>
      </c>
    </row>
    <row r="37" spans="1:3" x14ac:dyDescent="0.35">
      <c r="A37" s="25" t="s">
        <v>107</v>
      </c>
      <c r="B37" s="26">
        <v>32</v>
      </c>
      <c r="C37" s="30">
        <v>43594</v>
      </c>
    </row>
    <row r="38" spans="1:3" x14ac:dyDescent="0.35">
      <c r="A38" s="25" t="s">
        <v>107</v>
      </c>
      <c r="B38" s="26">
        <v>150</v>
      </c>
      <c r="C38" s="30">
        <v>43601</v>
      </c>
    </row>
    <row r="39" spans="1:3" x14ac:dyDescent="0.35">
      <c r="A39" s="25" t="s">
        <v>123</v>
      </c>
      <c r="B39" s="26">
        <v>50</v>
      </c>
      <c r="C39" s="30">
        <v>43601</v>
      </c>
    </row>
    <row r="40" spans="1:3" x14ac:dyDescent="0.35">
      <c r="A40" s="25" t="s">
        <v>124</v>
      </c>
      <c r="B40" s="26">
        <v>35</v>
      </c>
      <c r="C40" s="30">
        <v>43601</v>
      </c>
    </row>
    <row r="41" spans="1:3" x14ac:dyDescent="0.35">
      <c r="A41" s="25" t="s">
        <v>125</v>
      </c>
      <c r="B41" s="26">
        <v>45</v>
      </c>
      <c r="C41" s="30">
        <v>43601</v>
      </c>
    </row>
    <row r="42" spans="1:3" x14ac:dyDescent="0.35">
      <c r="A42" s="25" t="s">
        <v>118</v>
      </c>
      <c r="B42" s="26">
        <v>0</v>
      </c>
      <c r="C42" s="30">
        <v>43602</v>
      </c>
    </row>
    <row r="43" spans="1:3" x14ac:dyDescent="0.35">
      <c r="A43" s="25" t="s">
        <v>118</v>
      </c>
      <c r="B43" s="26">
        <v>0</v>
      </c>
      <c r="C43" s="30">
        <v>43602</v>
      </c>
    </row>
    <row r="44" spans="1:3" x14ac:dyDescent="0.35">
      <c r="A44" s="25" t="s">
        <v>107</v>
      </c>
      <c r="B44" s="26">
        <v>130</v>
      </c>
      <c r="C44" s="30">
        <v>43605</v>
      </c>
    </row>
    <row r="45" spans="1:3" x14ac:dyDescent="0.35">
      <c r="B45" s="27"/>
    </row>
    <row r="46" spans="1:3" ht="43.5" x14ac:dyDescent="0.35">
      <c r="A46" s="32" t="s">
        <v>126</v>
      </c>
      <c r="B46" s="27">
        <f>C22-SUM(B25:B44)</f>
        <v>748</v>
      </c>
    </row>
    <row r="49" spans="2:2" x14ac:dyDescent="0.35">
      <c r="B49" s="27">
        <f>SUM(B25:B44)</f>
        <v>1384</v>
      </c>
    </row>
    <row r="50" spans="2:2" x14ac:dyDescent="0.35">
      <c r="B50" s="27">
        <f>SUM(B11:B18)</f>
        <v>1043</v>
      </c>
    </row>
    <row r="51" spans="2:2" x14ac:dyDescent="0.35">
      <c r="B51" s="27">
        <f>SUM(B8:B9)</f>
        <v>1425</v>
      </c>
    </row>
    <row r="53" spans="2:2" x14ac:dyDescent="0.35">
      <c r="B53" s="27">
        <f>SUM(B49:B51)</f>
        <v>3852</v>
      </c>
    </row>
  </sheetData>
  <autoFilter ref="A24:B44" xr:uid="{29930E8F-1708-F846-914B-7D6FFD295FFB}">
    <filterColumn colId="1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64DF-28DC-9E45-A8E7-6E6E44CA5843}">
  <dimension ref="A1:D48"/>
  <sheetViews>
    <sheetView zoomScaleNormal="60" zoomScaleSheetLayoutView="100" workbookViewId="0">
      <selection activeCell="A69" sqref="A69"/>
    </sheetView>
  </sheetViews>
  <sheetFormatPr defaultRowHeight="14.5" x14ac:dyDescent="0.35"/>
  <cols>
    <col min="1" max="1" width="11.453125" bestFit="1" customWidth="1"/>
    <col min="2" max="2" width="14.54296875" customWidth="1"/>
    <col min="3" max="3" width="12.7265625" bestFit="1" customWidth="1"/>
    <col min="4" max="4" width="10.26953125" customWidth="1"/>
  </cols>
  <sheetData>
    <row r="1" spans="1:4" x14ac:dyDescent="0.35">
      <c r="A1" s="23" t="s">
        <v>91</v>
      </c>
    </row>
    <row r="2" spans="1:4" x14ac:dyDescent="0.35">
      <c r="A2" s="18" t="s">
        <v>92</v>
      </c>
      <c r="B2" s="20">
        <v>1919</v>
      </c>
    </row>
    <row r="3" spans="1:4" x14ac:dyDescent="0.35">
      <c r="A3" s="19" t="s">
        <v>93</v>
      </c>
      <c r="B3" s="21">
        <v>1919</v>
      </c>
    </row>
    <row r="4" spans="1:4" x14ac:dyDescent="0.35">
      <c r="B4" s="22" t="s">
        <v>94</v>
      </c>
      <c r="C4" s="22">
        <f>SUM(B2:B3)</f>
        <v>3838</v>
      </c>
    </row>
    <row r="7" spans="1:4" x14ac:dyDescent="0.35">
      <c r="A7" s="23" t="s">
        <v>95</v>
      </c>
    </row>
    <row r="8" spans="1:4" x14ac:dyDescent="0.35">
      <c r="A8" s="18" t="s">
        <v>96</v>
      </c>
      <c r="B8" s="20">
        <v>1150</v>
      </c>
    </row>
    <row r="9" spans="1:4" x14ac:dyDescent="0.35">
      <c r="A9" s="18" t="s">
        <v>127</v>
      </c>
      <c r="B9" s="20">
        <v>176</v>
      </c>
    </row>
    <row r="10" spans="1:4" x14ac:dyDescent="0.35">
      <c r="A10" s="18" t="s">
        <v>128</v>
      </c>
      <c r="B10" s="20">
        <v>257</v>
      </c>
      <c r="C10" s="20">
        <f>SUM(B8:B10)</f>
        <v>1583</v>
      </c>
    </row>
    <row r="11" spans="1:4" x14ac:dyDescent="0.35">
      <c r="D11" s="20">
        <f>B2-C10</f>
        <v>336</v>
      </c>
    </row>
    <row r="12" spans="1:4" x14ac:dyDescent="0.35">
      <c r="A12" s="19" t="s">
        <v>98</v>
      </c>
      <c r="B12" s="21">
        <v>128</v>
      </c>
    </row>
    <row r="13" spans="1:4" x14ac:dyDescent="0.35">
      <c r="A13" s="19" t="s">
        <v>97</v>
      </c>
      <c r="B13" s="21">
        <v>197</v>
      </c>
    </row>
    <row r="14" spans="1:4" x14ac:dyDescent="0.35">
      <c r="A14" s="19" t="s">
        <v>99</v>
      </c>
      <c r="B14" s="21">
        <v>100</v>
      </c>
    </row>
    <row r="15" spans="1:4" x14ac:dyDescent="0.35">
      <c r="A15" s="19" t="s">
        <v>100</v>
      </c>
      <c r="B15" s="21">
        <v>140</v>
      </c>
    </row>
    <row r="16" spans="1:4" x14ac:dyDescent="0.35">
      <c r="A16" s="19" t="s">
        <v>117</v>
      </c>
      <c r="B16" s="21">
        <v>20</v>
      </c>
    </row>
    <row r="17" spans="1:4" x14ac:dyDescent="0.35">
      <c r="A17" s="19" t="s">
        <v>116</v>
      </c>
      <c r="B17" s="21">
        <v>35</v>
      </c>
    </row>
    <row r="18" spans="1:4" x14ac:dyDescent="0.35">
      <c r="A18" s="19" t="s">
        <v>101</v>
      </c>
      <c r="B18" s="21">
        <v>150</v>
      </c>
    </row>
    <row r="19" spans="1:4" x14ac:dyDescent="0.35">
      <c r="A19" s="19" t="s">
        <v>102</v>
      </c>
      <c r="B19" s="21">
        <v>60</v>
      </c>
    </row>
    <row r="20" spans="1:4" x14ac:dyDescent="0.35">
      <c r="A20" s="19" t="s">
        <v>103</v>
      </c>
      <c r="B20" s="21">
        <v>400</v>
      </c>
    </row>
    <row r="21" spans="1:4" x14ac:dyDescent="0.35">
      <c r="A21" s="19" t="s">
        <v>47</v>
      </c>
      <c r="B21" s="21">
        <v>295</v>
      </c>
      <c r="C21" s="21">
        <f>SUM(B12:B21)</f>
        <v>1525</v>
      </c>
    </row>
    <row r="22" spans="1:4" x14ac:dyDescent="0.35">
      <c r="D22" s="21">
        <f>B3-C21</f>
        <v>394</v>
      </c>
    </row>
    <row r="24" spans="1:4" x14ac:dyDescent="0.35">
      <c r="B24" s="17" t="s">
        <v>95</v>
      </c>
      <c r="C24" s="22">
        <f>SUM(B8:B21)</f>
        <v>3108</v>
      </c>
    </row>
    <row r="25" spans="1:4" x14ac:dyDescent="0.35">
      <c r="B25" s="28" t="s">
        <v>104</v>
      </c>
      <c r="C25" s="29">
        <f>C4-C24</f>
        <v>730</v>
      </c>
    </row>
    <row r="26" spans="1:4" x14ac:dyDescent="0.35">
      <c r="A26" s="24" t="s">
        <v>105</v>
      </c>
    </row>
    <row r="27" spans="1:4" ht="24" customHeight="1" x14ac:dyDescent="0.35">
      <c r="A27" s="25"/>
      <c r="B27" s="26"/>
      <c r="C27" s="30"/>
    </row>
    <row r="28" spans="1:4" x14ac:dyDescent="0.35">
      <c r="A28" s="25"/>
      <c r="B28" s="26"/>
      <c r="C28" s="30"/>
    </row>
    <row r="29" spans="1:4" x14ac:dyDescent="0.35">
      <c r="A29" s="25"/>
      <c r="B29" s="26"/>
      <c r="C29" s="30"/>
    </row>
    <row r="30" spans="1:4" x14ac:dyDescent="0.35">
      <c r="A30" s="25"/>
      <c r="B30" s="26"/>
      <c r="C30" s="30"/>
    </row>
    <row r="31" spans="1:4" x14ac:dyDescent="0.35">
      <c r="A31" s="25"/>
      <c r="B31" s="26"/>
      <c r="C31" s="30"/>
    </row>
    <row r="32" spans="1:4" x14ac:dyDescent="0.35">
      <c r="A32" s="25"/>
      <c r="B32" s="26"/>
      <c r="C32" s="30"/>
    </row>
    <row r="33" spans="1:3" x14ac:dyDescent="0.35">
      <c r="A33" s="25"/>
      <c r="B33" s="26"/>
      <c r="C33" s="30"/>
    </row>
    <row r="34" spans="1:3" x14ac:dyDescent="0.35">
      <c r="A34" s="25"/>
      <c r="B34" s="26"/>
      <c r="C34" s="30"/>
    </row>
    <row r="35" spans="1:3" x14ac:dyDescent="0.35">
      <c r="A35" s="25"/>
      <c r="B35" s="26"/>
      <c r="C35" s="30"/>
    </row>
    <row r="36" spans="1:3" x14ac:dyDescent="0.35">
      <c r="A36" s="25"/>
      <c r="B36" s="26"/>
      <c r="C36" s="30"/>
    </row>
    <row r="37" spans="1:3" x14ac:dyDescent="0.35">
      <c r="A37" s="25"/>
      <c r="B37" s="26"/>
      <c r="C37" s="30"/>
    </row>
    <row r="38" spans="1:3" x14ac:dyDescent="0.35">
      <c r="A38" s="25"/>
      <c r="B38" s="26"/>
      <c r="C38" s="30"/>
    </row>
    <row r="39" spans="1:3" x14ac:dyDescent="0.35">
      <c r="A39" s="25"/>
      <c r="B39" s="26"/>
      <c r="C39" s="30"/>
    </row>
    <row r="40" spans="1:3" x14ac:dyDescent="0.35">
      <c r="A40" s="25"/>
      <c r="B40" s="26"/>
      <c r="C40" s="30"/>
    </row>
    <row r="41" spans="1:3" x14ac:dyDescent="0.35">
      <c r="A41" s="25"/>
      <c r="B41" s="26"/>
      <c r="C41" s="30"/>
    </row>
    <row r="42" spans="1:3" x14ac:dyDescent="0.35">
      <c r="A42" s="25"/>
      <c r="B42" s="26"/>
      <c r="C42" s="30"/>
    </row>
    <row r="43" spans="1:3" x14ac:dyDescent="0.35">
      <c r="A43" s="25"/>
      <c r="B43" s="26"/>
      <c r="C43" s="30"/>
    </row>
    <row r="44" spans="1:3" x14ac:dyDescent="0.35">
      <c r="A44" s="25"/>
      <c r="B44" s="26"/>
    </row>
    <row r="45" spans="1:3" x14ac:dyDescent="0.35">
      <c r="A45" s="25"/>
      <c r="B45" s="26"/>
    </row>
    <row r="46" spans="1:3" x14ac:dyDescent="0.35">
      <c r="B46" s="27"/>
    </row>
    <row r="48" spans="1:3" ht="43.5" x14ac:dyDescent="0.35">
      <c r="A48" s="33" t="s">
        <v>126</v>
      </c>
      <c r="B48" s="27">
        <f>C25-SUM(B27:B45)</f>
        <v>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B246-2FF6-E94A-8429-4B4A26F52C39}">
  <dimension ref="A1:D49"/>
  <sheetViews>
    <sheetView topLeftCell="A25" zoomScaleNormal="60" zoomScaleSheetLayoutView="100" workbookViewId="0">
      <selection activeCell="B29" sqref="B29"/>
    </sheetView>
  </sheetViews>
  <sheetFormatPr defaultRowHeight="14.5" x14ac:dyDescent="0.35"/>
  <cols>
    <col min="1" max="1" width="11.453125" bestFit="1" customWidth="1"/>
    <col min="2" max="2" width="14.54296875" customWidth="1"/>
    <col min="3" max="3" width="12.7265625" bestFit="1" customWidth="1"/>
    <col min="4" max="4" width="10.26953125" customWidth="1"/>
  </cols>
  <sheetData>
    <row r="1" spans="1:4" x14ac:dyDescent="0.35">
      <c r="A1" s="23" t="s">
        <v>91</v>
      </c>
    </row>
    <row r="2" spans="1:4" x14ac:dyDescent="0.35">
      <c r="A2" s="18" t="s">
        <v>129</v>
      </c>
      <c r="B2" s="20">
        <v>1919</v>
      </c>
    </row>
    <row r="3" spans="1:4" x14ac:dyDescent="0.35">
      <c r="A3" s="19" t="s">
        <v>130</v>
      </c>
      <c r="B3" s="21">
        <v>1919</v>
      </c>
    </row>
    <row r="4" spans="1:4" x14ac:dyDescent="0.35">
      <c r="A4" s="19" t="s">
        <v>131</v>
      </c>
      <c r="B4" s="21">
        <v>330</v>
      </c>
    </row>
    <row r="5" spans="1:4" x14ac:dyDescent="0.35">
      <c r="B5" s="22" t="s">
        <v>94</v>
      </c>
      <c r="C5" s="22">
        <f>SUM(B2:B4)</f>
        <v>4168</v>
      </c>
    </row>
    <row r="8" spans="1:4" x14ac:dyDescent="0.35">
      <c r="A8" s="23" t="s">
        <v>95</v>
      </c>
    </row>
    <row r="9" spans="1:4" x14ac:dyDescent="0.35">
      <c r="A9" s="18" t="s">
        <v>96</v>
      </c>
      <c r="B9" s="20">
        <v>1150</v>
      </c>
    </row>
    <row r="10" spans="1:4" x14ac:dyDescent="0.35">
      <c r="A10" s="18" t="s">
        <v>132</v>
      </c>
      <c r="B10" s="20">
        <v>400</v>
      </c>
      <c r="C10" s="20">
        <f>SUM(B9:B10)</f>
        <v>1550</v>
      </c>
    </row>
    <row r="11" spans="1:4" x14ac:dyDescent="0.35">
      <c r="D11" s="20">
        <f>B2-C10</f>
        <v>369</v>
      </c>
    </row>
    <row r="12" spans="1:4" x14ac:dyDescent="0.35">
      <c r="A12" s="19" t="s">
        <v>98</v>
      </c>
      <c r="B12" s="21">
        <v>128</v>
      </c>
    </row>
    <row r="13" spans="1:4" x14ac:dyDescent="0.35">
      <c r="A13" s="19" t="s">
        <v>97</v>
      </c>
      <c r="B13" s="21">
        <v>197</v>
      </c>
    </row>
    <row r="14" spans="1:4" x14ac:dyDescent="0.35">
      <c r="A14" s="19" t="s">
        <v>99</v>
      </c>
      <c r="B14" s="21">
        <v>100</v>
      </c>
    </row>
    <row r="15" spans="1:4" x14ac:dyDescent="0.35">
      <c r="A15" s="19" t="s">
        <v>100</v>
      </c>
      <c r="B15" s="21">
        <v>140</v>
      </c>
    </row>
    <row r="16" spans="1:4" x14ac:dyDescent="0.35">
      <c r="A16" s="19" t="s">
        <v>117</v>
      </c>
      <c r="B16" s="21">
        <v>20</v>
      </c>
    </row>
    <row r="17" spans="1:4" x14ac:dyDescent="0.35">
      <c r="A17" s="19" t="s">
        <v>116</v>
      </c>
      <c r="B17" s="21">
        <v>35</v>
      </c>
    </row>
    <row r="18" spans="1:4" x14ac:dyDescent="0.35">
      <c r="A18" s="19" t="s">
        <v>101</v>
      </c>
      <c r="B18" s="21">
        <v>150</v>
      </c>
    </row>
    <row r="19" spans="1:4" x14ac:dyDescent="0.35">
      <c r="A19" s="19" t="s">
        <v>133</v>
      </c>
      <c r="B19" s="21">
        <v>100</v>
      </c>
    </row>
    <row r="20" spans="1:4" x14ac:dyDescent="0.35">
      <c r="A20" s="19" t="s">
        <v>102</v>
      </c>
      <c r="B20" s="21">
        <v>60</v>
      </c>
    </row>
    <row r="21" spans="1:4" x14ac:dyDescent="0.35">
      <c r="A21" s="19" t="s">
        <v>103</v>
      </c>
      <c r="B21" s="21">
        <v>400</v>
      </c>
    </row>
    <row r="22" spans="1:4" x14ac:dyDescent="0.35">
      <c r="A22" s="19" t="s">
        <v>47</v>
      </c>
      <c r="B22" s="21">
        <v>198</v>
      </c>
      <c r="C22" s="21">
        <f>SUM(B12:B22)</f>
        <v>1528</v>
      </c>
    </row>
    <row r="23" spans="1:4" x14ac:dyDescent="0.35">
      <c r="D23" s="21">
        <f>B3-C22</f>
        <v>391</v>
      </c>
    </row>
    <row r="25" spans="1:4" x14ac:dyDescent="0.35">
      <c r="B25" s="17" t="s">
        <v>95</v>
      </c>
      <c r="C25" s="22">
        <f>SUM(B9:B22)</f>
        <v>3078</v>
      </c>
    </row>
    <row r="26" spans="1:4" x14ac:dyDescent="0.35">
      <c r="B26" s="28" t="s">
        <v>104</v>
      </c>
      <c r="C26" s="29">
        <f>C5-C25</f>
        <v>1090</v>
      </c>
    </row>
    <row r="27" spans="1:4" x14ac:dyDescent="0.35">
      <c r="A27" s="24" t="s">
        <v>105</v>
      </c>
    </row>
    <row r="28" spans="1:4" ht="15" customHeight="1" x14ac:dyDescent="0.35">
      <c r="A28" s="25" t="s">
        <v>70</v>
      </c>
      <c r="B28" s="26">
        <v>100</v>
      </c>
      <c r="C28" s="30"/>
    </row>
    <row r="29" spans="1:4" x14ac:dyDescent="0.35">
      <c r="A29" s="25" t="s">
        <v>107</v>
      </c>
      <c r="B29" s="26">
        <v>150</v>
      </c>
      <c r="C29" s="30"/>
    </row>
    <row r="30" spans="1:4" x14ac:dyDescent="0.35">
      <c r="A30" s="25"/>
      <c r="B30" s="26"/>
      <c r="C30" s="30"/>
    </row>
    <row r="31" spans="1:4" x14ac:dyDescent="0.35">
      <c r="A31" s="25"/>
      <c r="B31" s="26"/>
      <c r="C31" s="30"/>
    </row>
    <row r="32" spans="1:4" x14ac:dyDescent="0.35">
      <c r="A32" s="25"/>
      <c r="B32" s="26"/>
      <c r="C32" s="30"/>
    </row>
    <row r="33" spans="1:3" x14ac:dyDescent="0.35">
      <c r="A33" s="25"/>
      <c r="B33" s="26"/>
      <c r="C33" s="30"/>
    </row>
    <row r="34" spans="1:3" x14ac:dyDescent="0.35">
      <c r="A34" s="25"/>
      <c r="B34" s="26"/>
      <c r="C34" s="30"/>
    </row>
    <row r="35" spans="1:3" x14ac:dyDescent="0.35">
      <c r="A35" s="25"/>
      <c r="B35" s="26"/>
      <c r="C35" s="30"/>
    </row>
    <row r="36" spans="1:3" x14ac:dyDescent="0.35">
      <c r="A36" s="25"/>
      <c r="B36" s="26"/>
      <c r="C36" s="30"/>
    </row>
    <row r="37" spans="1:3" x14ac:dyDescent="0.35">
      <c r="A37" s="25"/>
      <c r="B37" s="26"/>
      <c r="C37" s="30"/>
    </row>
    <row r="38" spans="1:3" x14ac:dyDescent="0.35">
      <c r="A38" s="25"/>
      <c r="B38" s="26"/>
      <c r="C38" s="30"/>
    </row>
    <row r="39" spans="1:3" x14ac:dyDescent="0.35">
      <c r="A39" s="25"/>
      <c r="B39" s="26"/>
      <c r="C39" s="30"/>
    </row>
    <row r="40" spans="1:3" x14ac:dyDescent="0.35">
      <c r="A40" s="25"/>
      <c r="B40" s="26"/>
      <c r="C40" s="30"/>
    </row>
    <row r="41" spans="1:3" x14ac:dyDescent="0.35">
      <c r="A41" s="25"/>
      <c r="B41" s="26"/>
      <c r="C41" s="30"/>
    </row>
    <row r="42" spans="1:3" x14ac:dyDescent="0.35">
      <c r="A42" s="25"/>
      <c r="B42" s="26"/>
      <c r="C42" s="30"/>
    </row>
    <row r="43" spans="1:3" x14ac:dyDescent="0.35">
      <c r="A43" s="25"/>
      <c r="B43" s="26"/>
      <c r="C43" s="30"/>
    </row>
    <row r="44" spans="1:3" x14ac:dyDescent="0.35">
      <c r="A44" s="25"/>
      <c r="B44" s="26"/>
      <c r="C44" s="30"/>
    </row>
    <row r="45" spans="1:3" x14ac:dyDescent="0.35">
      <c r="A45" s="25"/>
      <c r="B45" s="26"/>
    </row>
    <row r="46" spans="1:3" x14ac:dyDescent="0.35">
      <c r="A46" s="25"/>
      <c r="B46" s="26"/>
    </row>
    <row r="47" spans="1:3" x14ac:dyDescent="0.35">
      <c r="B47" s="27"/>
    </row>
    <row r="49" spans="1:2" ht="43.5" x14ac:dyDescent="0.35">
      <c r="A49" s="33" t="s">
        <v>126</v>
      </c>
      <c r="B49" s="27">
        <f>C26-SUM(B28:B46)</f>
        <v>840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6609-1FBE-D749-AED9-6D825330CE89}">
  <dimension ref="A1:D50"/>
  <sheetViews>
    <sheetView topLeftCell="A23" zoomScaleNormal="60" zoomScaleSheetLayoutView="100" workbookViewId="0">
      <selection activeCell="B47" sqref="B47"/>
    </sheetView>
  </sheetViews>
  <sheetFormatPr defaultRowHeight="14.5" x14ac:dyDescent="0.35"/>
  <cols>
    <col min="1" max="2" width="14.54296875" customWidth="1"/>
    <col min="3" max="3" width="12.7265625" bestFit="1" customWidth="1"/>
    <col min="4" max="5" width="10.26953125" customWidth="1"/>
  </cols>
  <sheetData>
    <row r="1" spans="1:4" x14ac:dyDescent="0.35">
      <c r="A1" s="23" t="s">
        <v>91</v>
      </c>
    </row>
    <row r="2" spans="1:4" x14ac:dyDescent="0.35">
      <c r="A2" s="18" t="s">
        <v>134</v>
      </c>
      <c r="B2" s="20">
        <v>2711</v>
      </c>
    </row>
    <row r="3" spans="1:4" x14ac:dyDescent="0.35">
      <c r="A3" s="19" t="s">
        <v>135</v>
      </c>
      <c r="B3" s="21">
        <v>2711</v>
      </c>
    </row>
    <row r="4" spans="1:4" x14ac:dyDescent="0.35">
      <c r="A4" s="19" t="s">
        <v>136</v>
      </c>
      <c r="B4" s="21">
        <v>500</v>
      </c>
    </row>
    <row r="5" spans="1:4" x14ac:dyDescent="0.35">
      <c r="B5" s="22" t="s">
        <v>94</v>
      </c>
      <c r="C5" s="22">
        <f>SUM(B2:B4)</f>
        <v>5922</v>
      </c>
    </row>
    <row r="8" spans="1:4" x14ac:dyDescent="0.35">
      <c r="A8" s="23" t="s">
        <v>95</v>
      </c>
    </row>
    <row r="9" spans="1:4" x14ac:dyDescent="0.35">
      <c r="A9" s="18" t="s">
        <v>96</v>
      </c>
      <c r="B9" s="20">
        <v>2200</v>
      </c>
    </row>
    <row r="10" spans="1:4" x14ac:dyDescent="0.35">
      <c r="A10" s="18" t="s">
        <v>97</v>
      </c>
      <c r="B10" s="20">
        <v>118</v>
      </c>
    </row>
    <row r="11" spans="1:4" x14ac:dyDescent="0.35">
      <c r="A11" s="18" t="s">
        <v>137</v>
      </c>
      <c r="B11" s="20">
        <v>190</v>
      </c>
      <c r="C11" s="20">
        <f>SUM(B9:B11)</f>
        <v>2508</v>
      </c>
    </row>
    <row r="12" spans="1:4" x14ac:dyDescent="0.35">
      <c r="D12" s="20">
        <f>B2-C11</f>
        <v>203</v>
      </c>
    </row>
    <row r="13" spans="1:4" x14ac:dyDescent="0.35">
      <c r="A13" s="19" t="s">
        <v>98</v>
      </c>
      <c r="B13" s="21">
        <v>154</v>
      </c>
    </row>
    <row r="14" spans="1:4" x14ac:dyDescent="0.35">
      <c r="A14" s="19" t="s">
        <v>138</v>
      </c>
      <c r="B14" s="21">
        <v>163.96</v>
      </c>
    </row>
    <row r="15" spans="1:4" x14ac:dyDescent="0.35">
      <c r="A15" s="19" t="s">
        <v>103</v>
      </c>
      <c r="B15" s="21">
        <v>300</v>
      </c>
    </row>
    <row r="16" spans="1:4" x14ac:dyDescent="0.35">
      <c r="A16" s="19" t="s">
        <v>139</v>
      </c>
      <c r="B16" s="21">
        <v>239</v>
      </c>
    </row>
    <row r="17" spans="1:4" x14ac:dyDescent="0.35">
      <c r="A17" s="19" t="s">
        <v>140</v>
      </c>
      <c r="B17" s="21">
        <v>210</v>
      </c>
    </row>
    <row r="18" spans="1:4" x14ac:dyDescent="0.35">
      <c r="A18" s="19" t="s">
        <v>141</v>
      </c>
      <c r="B18" s="21">
        <v>100</v>
      </c>
    </row>
    <row r="19" spans="1:4" x14ac:dyDescent="0.35">
      <c r="A19" s="19" t="s">
        <v>137</v>
      </c>
      <c r="B19" s="21">
        <v>190</v>
      </c>
    </row>
    <row r="20" spans="1:4" x14ac:dyDescent="0.35">
      <c r="A20" s="19" t="s">
        <v>102</v>
      </c>
      <c r="B20" s="21">
        <v>85</v>
      </c>
    </row>
    <row r="21" spans="1:4" x14ac:dyDescent="0.35">
      <c r="A21" s="19" t="s">
        <v>142</v>
      </c>
      <c r="B21" s="21">
        <v>50</v>
      </c>
    </row>
    <row r="22" spans="1:4" x14ac:dyDescent="0.35">
      <c r="A22" s="19" t="s">
        <v>143</v>
      </c>
      <c r="B22" s="21">
        <v>150</v>
      </c>
    </row>
    <row r="23" spans="1:4" x14ac:dyDescent="0.35">
      <c r="C23" s="21">
        <f>SUM(B13:B22)</f>
        <v>1641.96</v>
      </c>
    </row>
    <row r="24" spans="1:4" x14ac:dyDescent="0.35">
      <c r="D24" s="21">
        <f>B3-C23</f>
        <v>1069.04</v>
      </c>
    </row>
    <row r="26" spans="1:4" x14ac:dyDescent="0.35">
      <c r="B26" s="17" t="s">
        <v>95</v>
      </c>
      <c r="C26" s="22">
        <f>SUM(B9:B22)</f>
        <v>4149.96</v>
      </c>
    </row>
    <row r="27" spans="1:4" x14ac:dyDescent="0.35">
      <c r="B27" s="28" t="s">
        <v>104</v>
      </c>
      <c r="C27" s="29">
        <f>C5-C26</f>
        <v>1772.04</v>
      </c>
    </row>
    <row r="28" spans="1:4" x14ac:dyDescent="0.35">
      <c r="A28" s="24" t="s">
        <v>105</v>
      </c>
    </row>
    <row r="29" spans="1:4" ht="16.5" customHeight="1" x14ac:dyDescent="0.35">
      <c r="A29" s="25" t="s">
        <v>144</v>
      </c>
      <c r="B29" s="26">
        <v>300</v>
      </c>
      <c r="C29" s="30"/>
    </row>
    <row r="30" spans="1:4" x14ac:dyDescent="0.35">
      <c r="A30" s="25" t="s">
        <v>145</v>
      </c>
      <c r="B30" s="26">
        <v>200</v>
      </c>
      <c r="C30" s="30"/>
    </row>
    <row r="31" spans="1:4" x14ac:dyDescent="0.35">
      <c r="A31" s="25" t="s">
        <v>146</v>
      </c>
      <c r="B31" s="26">
        <v>200</v>
      </c>
      <c r="C31" s="30"/>
    </row>
    <row r="32" spans="1:4" x14ac:dyDescent="0.35">
      <c r="A32" s="25" t="s">
        <v>132</v>
      </c>
      <c r="B32" s="26">
        <v>319</v>
      </c>
      <c r="C32" s="30"/>
    </row>
    <row r="33" spans="1:3" x14ac:dyDescent="0.35">
      <c r="A33" s="25" t="s">
        <v>147</v>
      </c>
      <c r="B33" s="26">
        <v>122</v>
      </c>
      <c r="C33" s="30"/>
    </row>
    <row r="34" spans="1:3" x14ac:dyDescent="0.35">
      <c r="A34" s="25" t="s">
        <v>148</v>
      </c>
      <c r="B34" s="26">
        <v>180</v>
      </c>
      <c r="C34" s="30"/>
    </row>
    <row r="35" spans="1:3" x14ac:dyDescent="0.35">
      <c r="A35" s="25" t="s">
        <v>149</v>
      </c>
      <c r="B35" s="26">
        <v>30</v>
      </c>
      <c r="C35" s="30"/>
    </row>
    <row r="36" spans="1:3" x14ac:dyDescent="0.35">
      <c r="A36" s="25" t="s">
        <v>150</v>
      </c>
      <c r="B36" s="26">
        <v>40</v>
      </c>
      <c r="C36" s="30"/>
    </row>
    <row r="37" spans="1:3" x14ac:dyDescent="0.35">
      <c r="A37" s="25" t="s">
        <v>50</v>
      </c>
      <c r="B37" s="26">
        <v>51</v>
      </c>
      <c r="C37" s="30"/>
    </row>
    <row r="38" spans="1:3" x14ac:dyDescent="0.35">
      <c r="A38" s="25" t="s">
        <v>151</v>
      </c>
      <c r="B38" s="26">
        <v>100</v>
      </c>
      <c r="C38" s="30"/>
    </row>
    <row r="39" spans="1:3" x14ac:dyDescent="0.35">
      <c r="A39" s="25" t="s">
        <v>51</v>
      </c>
      <c r="B39" s="26">
        <v>35</v>
      </c>
      <c r="C39" s="30"/>
    </row>
    <row r="40" spans="1:3" x14ac:dyDescent="0.35">
      <c r="A40" s="25" t="s">
        <v>152</v>
      </c>
      <c r="B40" s="26">
        <v>50</v>
      </c>
      <c r="C40" s="30"/>
    </row>
    <row r="41" spans="1:3" x14ac:dyDescent="0.35">
      <c r="A41" s="25" t="s">
        <v>153</v>
      </c>
      <c r="B41" s="26">
        <v>30</v>
      </c>
      <c r="C41" s="30"/>
    </row>
    <row r="42" spans="1:3" x14ac:dyDescent="0.35">
      <c r="A42" s="25" t="s">
        <v>154</v>
      </c>
      <c r="B42" s="26">
        <v>35</v>
      </c>
      <c r="C42" s="30"/>
    </row>
    <row r="43" spans="1:3" x14ac:dyDescent="0.35">
      <c r="A43" s="25" t="s">
        <v>155</v>
      </c>
      <c r="B43" s="26">
        <v>50</v>
      </c>
      <c r="C43" s="30"/>
    </row>
    <row r="44" spans="1:3" x14ac:dyDescent="0.35">
      <c r="A44" s="25" t="s">
        <v>51</v>
      </c>
      <c r="B44" s="26">
        <v>35</v>
      </c>
      <c r="C44" s="30"/>
    </row>
    <row r="45" spans="1:3" x14ac:dyDescent="0.35">
      <c r="A45" s="25" t="s">
        <v>156</v>
      </c>
      <c r="B45" s="26">
        <v>20</v>
      </c>
      <c r="C45" s="30"/>
    </row>
    <row r="46" spans="1:3" x14ac:dyDescent="0.35">
      <c r="A46" s="25" t="s">
        <v>157</v>
      </c>
      <c r="B46" s="26">
        <v>60</v>
      </c>
    </row>
    <row r="47" spans="1:3" x14ac:dyDescent="0.35">
      <c r="A47" s="25" t="s">
        <v>107</v>
      </c>
      <c r="B47" s="26">
        <v>150</v>
      </c>
    </row>
    <row r="48" spans="1:3" x14ac:dyDescent="0.35">
      <c r="B48" s="27"/>
    </row>
    <row r="50" spans="1:2" ht="43.5" x14ac:dyDescent="0.35">
      <c r="A50" s="33" t="s">
        <v>126</v>
      </c>
      <c r="B50" s="27">
        <f>C27-SUM(B29:B47)</f>
        <v>-234.96000000000004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BE24-8EF1-9A43-8D06-14A7A4A9C063}">
  <dimension ref="A1:D47"/>
  <sheetViews>
    <sheetView zoomScaleNormal="60" zoomScaleSheetLayoutView="100" workbookViewId="0">
      <selection activeCell="B14" sqref="B14"/>
    </sheetView>
  </sheetViews>
  <sheetFormatPr defaultRowHeight="14.5" x14ac:dyDescent="0.35"/>
  <cols>
    <col min="1" max="1" width="11.453125" bestFit="1" customWidth="1"/>
    <col min="2" max="2" width="14.54296875" customWidth="1"/>
    <col min="3" max="3" width="12.7265625" bestFit="1" customWidth="1"/>
    <col min="4" max="4" width="10.26953125" customWidth="1"/>
  </cols>
  <sheetData>
    <row r="1" spans="1:4" x14ac:dyDescent="0.35">
      <c r="A1" s="23" t="s">
        <v>91</v>
      </c>
    </row>
    <row r="2" spans="1:4" x14ac:dyDescent="0.35">
      <c r="A2" s="18" t="s">
        <v>92</v>
      </c>
      <c r="B2" s="20">
        <v>1850</v>
      </c>
    </row>
    <row r="3" spans="1:4" x14ac:dyDescent="0.35">
      <c r="A3" s="19" t="s">
        <v>93</v>
      </c>
      <c r="B3" s="21">
        <v>1850</v>
      </c>
    </row>
    <row r="4" spans="1:4" x14ac:dyDescent="0.35">
      <c r="B4" s="22" t="s">
        <v>94</v>
      </c>
      <c r="C4" s="22">
        <f>SUM(B2:B3)</f>
        <v>3700</v>
      </c>
    </row>
    <row r="7" spans="1:4" x14ac:dyDescent="0.35">
      <c r="A7" s="23" t="s">
        <v>95</v>
      </c>
    </row>
    <row r="8" spans="1:4" x14ac:dyDescent="0.35">
      <c r="A8" s="18" t="s">
        <v>96</v>
      </c>
      <c r="B8" s="20">
        <v>1150</v>
      </c>
    </row>
    <row r="9" spans="1:4" x14ac:dyDescent="0.35">
      <c r="A9" s="18" t="s">
        <v>158</v>
      </c>
      <c r="B9" s="20">
        <v>110</v>
      </c>
    </row>
    <row r="10" spans="1:4" x14ac:dyDescent="0.35">
      <c r="A10" s="18" t="s">
        <v>159</v>
      </c>
      <c r="B10" s="20">
        <v>250</v>
      </c>
      <c r="C10" s="20">
        <f>SUM(B8:B10)</f>
        <v>1510</v>
      </c>
    </row>
    <row r="11" spans="1:4" x14ac:dyDescent="0.35">
      <c r="D11" s="20">
        <f>B2-C10</f>
        <v>340</v>
      </c>
    </row>
    <row r="12" spans="1:4" x14ac:dyDescent="0.35">
      <c r="A12" s="19" t="s">
        <v>98</v>
      </c>
      <c r="B12" s="21">
        <v>128</v>
      </c>
    </row>
    <row r="13" spans="1:4" x14ac:dyDescent="0.35">
      <c r="A13" s="19" t="s">
        <v>97</v>
      </c>
      <c r="B13" s="21">
        <v>200</v>
      </c>
    </row>
    <row r="14" spans="1:4" x14ac:dyDescent="0.35">
      <c r="A14" s="19" t="s">
        <v>99</v>
      </c>
      <c r="B14" s="21">
        <v>100</v>
      </c>
    </row>
    <row r="15" spans="1:4" x14ac:dyDescent="0.35">
      <c r="A15" s="19" t="s">
        <v>117</v>
      </c>
      <c r="B15" s="21">
        <v>20</v>
      </c>
    </row>
    <row r="16" spans="1:4" x14ac:dyDescent="0.35">
      <c r="A16" s="19" t="s">
        <v>116</v>
      </c>
      <c r="B16" s="21">
        <v>35</v>
      </c>
    </row>
    <row r="17" spans="1:4" x14ac:dyDescent="0.35">
      <c r="A17" s="19" t="s">
        <v>101</v>
      </c>
      <c r="B17" s="21">
        <v>150</v>
      </c>
    </row>
    <row r="18" spans="1:4" x14ac:dyDescent="0.35">
      <c r="A18" s="19" t="s">
        <v>102</v>
      </c>
      <c r="B18" s="21">
        <v>60</v>
      </c>
    </row>
    <row r="19" spans="1:4" x14ac:dyDescent="0.35">
      <c r="A19" s="19" t="s">
        <v>103</v>
      </c>
      <c r="B19" s="21">
        <v>300</v>
      </c>
    </row>
    <row r="20" spans="1:4" x14ac:dyDescent="0.35">
      <c r="A20" s="19" t="s">
        <v>47</v>
      </c>
      <c r="B20" s="21">
        <v>295</v>
      </c>
      <c r="C20" s="21">
        <f>SUM(B12:B20)</f>
        <v>1288</v>
      </c>
    </row>
    <row r="21" spans="1:4" x14ac:dyDescent="0.35">
      <c r="D21" s="21">
        <f>B3-C20</f>
        <v>562</v>
      </c>
    </row>
    <row r="23" spans="1:4" x14ac:dyDescent="0.35">
      <c r="B23" s="17" t="s">
        <v>95</v>
      </c>
      <c r="C23" s="22">
        <f>SUM(B8:B20)</f>
        <v>2798</v>
      </c>
    </row>
    <row r="24" spans="1:4" x14ac:dyDescent="0.35">
      <c r="B24" s="28" t="s">
        <v>104</v>
      </c>
      <c r="C24" s="29">
        <f>C4-C23</f>
        <v>902</v>
      </c>
    </row>
    <row r="25" spans="1:4" x14ac:dyDescent="0.35">
      <c r="A25" s="24" t="s">
        <v>105</v>
      </c>
    </row>
    <row r="26" spans="1:4" ht="24" customHeight="1" x14ac:dyDescent="0.35">
      <c r="A26" s="25"/>
      <c r="B26" s="26"/>
      <c r="C26" s="30"/>
    </row>
    <row r="27" spans="1:4" x14ac:dyDescent="0.35">
      <c r="A27" s="25"/>
      <c r="B27" s="26"/>
      <c r="C27" s="30"/>
    </row>
    <row r="28" spans="1:4" x14ac:dyDescent="0.35">
      <c r="A28" s="25"/>
      <c r="B28" s="26"/>
      <c r="C28" s="30"/>
    </row>
    <row r="29" spans="1:4" x14ac:dyDescent="0.35">
      <c r="A29" s="25"/>
      <c r="B29" s="26"/>
      <c r="C29" s="30"/>
    </row>
    <row r="30" spans="1:4" x14ac:dyDescent="0.35">
      <c r="A30" s="25"/>
      <c r="B30" s="26"/>
      <c r="C30" s="30"/>
    </row>
    <row r="31" spans="1:4" x14ac:dyDescent="0.35">
      <c r="A31" s="25"/>
      <c r="B31" s="26"/>
      <c r="C31" s="30"/>
    </row>
    <row r="32" spans="1:4" x14ac:dyDescent="0.35">
      <c r="A32" s="25"/>
      <c r="B32" s="26"/>
      <c r="C32" s="30"/>
    </row>
    <row r="33" spans="1:3" x14ac:dyDescent="0.35">
      <c r="A33" s="25"/>
      <c r="B33" s="26"/>
      <c r="C33" s="30"/>
    </row>
    <row r="34" spans="1:3" x14ac:dyDescent="0.35">
      <c r="A34" s="25"/>
      <c r="B34" s="26"/>
      <c r="C34" s="30"/>
    </row>
    <row r="35" spans="1:3" x14ac:dyDescent="0.35">
      <c r="A35" s="25"/>
      <c r="B35" s="26"/>
      <c r="C35" s="30"/>
    </row>
    <row r="36" spans="1:3" x14ac:dyDescent="0.35">
      <c r="A36" s="25"/>
      <c r="B36" s="26"/>
      <c r="C36" s="30"/>
    </row>
    <row r="37" spans="1:3" x14ac:dyDescent="0.35">
      <c r="A37" s="25"/>
      <c r="B37" s="26"/>
      <c r="C37" s="30"/>
    </row>
    <row r="38" spans="1:3" x14ac:dyDescent="0.35">
      <c r="A38" s="25"/>
      <c r="B38" s="26"/>
      <c r="C38" s="30"/>
    </row>
    <row r="39" spans="1:3" x14ac:dyDescent="0.35">
      <c r="A39" s="25"/>
      <c r="B39" s="26"/>
      <c r="C39" s="30"/>
    </row>
    <row r="40" spans="1:3" x14ac:dyDescent="0.35">
      <c r="A40" s="25"/>
      <c r="B40" s="26"/>
      <c r="C40" s="30"/>
    </row>
    <row r="41" spans="1:3" x14ac:dyDescent="0.35">
      <c r="A41" s="25"/>
      <c r="B41" s="26"/>
      <c r="C41" s="30"/>
    </row>
    <row r="42" spans="1:3" x14ac:dyDescent="0.35">
      <c r="A42" s="25"/>
      <c r="B42" s="26"/>
      <c r="C42" s="30"/>
    </row>
    <row r="43" spans="1:3" x14ac:dyDescent="0.35">
      <c r="A43" s="25"/>
      <c r="B43" s="26"/>
    </row>
    <row r="44" spans="1:3" x14ac:dyDescent="0.35">
      <c r="A44" s="25"/>
      <c r="B44" s="26"/>
    </row>
    <row r="45" spans="1:3" x14ac:dyDescent="0.35">
      <c r="B45" s="27"/>
    </row>
    <row r="47" spans="1:3" ht="43.5" x14ac:dyDescent="0.35">
      <c r="A47" s="33" t="s">
        <v>126</v>
      </c>
      <c r="B47" s="27">
        <f>C24-SUM(B26:B44)</f>
        <v>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8F5D-8DF1-6649-8CAF-FED7116F68D0}">
  <dimension ref="A1:C56"/>
  <sheetViews>
    <sheetView topLeftCell="A4" zoomScaleNormal="60" zoomScaleSheetLayoutView="100" workbookViewId="0">
      <selection activeCell="Q16" sqref="Q16"/>
    </sheetView>
  </sheetViews>
  <sheetFormatPr defaultRowHeight="14.5" x14ac:dyDescent="0.35"/>
  <cols>
    <col min="1" max="1" width="14.54296875" customWidth="1"/>
    <col min="2" max="2" width="14.26953125" bestFit="1" customWidth="1"/>
    <col min="3" max="3" width="9.81640625" bestFit="1" customWidth="1"/>
    <col min="4" max="5" width="10.26953125" customWidth="1"/>
  </cols>
  <sheetData>
    <row r="1" spans="1:3" x14ac:dyDescent="0.35">
      <c r="A1" s="23" t="s">
        <v>91</v>
      </c>
    </row>
    <row r="2" spans="1:3" x14ac:dyDescent="0.35">
      <c r="A2" s="58" t="s">
        <v>160</v>
      </c>
      <c r="B2" s="59">
        <v>1387</v>
      </c>
    </row>
    <row r="3" spans="1:3" x14ac:dyDescent="0.35">
      <c r="A3" s="73" t="s">
        <v>161</v>
      </c>
      <c r="B3" s="74">
        <v>933</v>
      </c>
    </row>
    <row r="4" spans="1:3" x14ac:dyDescent="0.35">
      <c r="A4" s="71" t="s">
        <v>162</v>
      </c>
      <c r="B4" s="72">
        <v>2646</v>
      </c>
    </row>
    <row r="5" spans="1:3" x14ac:dyDescent="0.35">
      <c r="A5" s="73" t="s">
        <v>163</v>
      </c>
      <c r="B5" s="74">
        <v>1258</v>
      </c>
    </row>
    <row r="6" spans="1:3" x14ac:dyDescent="0.35">
      <c r="A6" s="73" t="s">
        <v>164</v>
      </c>
      <c r="B6" s="74">
        <v>1387</v>
      </c>
    </row>
    <row r="7" spans="1:3" x14ac:dyDescent="0.35">
      <c r="A7" s="71" t="s">
        <v>165</v>
      </c>
      <c r="B7" s="72">
        <v>2646</v>
      </c>
    </row>
    <row r="9" spans="1:3" x14ac:dyDescent="0.35">
      <c r="B9" s="60" t="s">
        <v>94</v>
      </c>
      <c r="C9" s="60">
        <f>SUM(B2:B7)</f>
        <v>10257</v>
      </c>
    </row>
    <row r="12" spans="1:3" x14ac:dyDescent="0.35">
      <c r="A12" s="23" t="s">
        <v>95</v>
      </c>
    </row>
    <row r="14" spans="1:3" x14ac:dyDescent="0.35">
      <c r="A14" s="71" t="s">
        <v>97</v>
      </c>
      <c r="B14" s="72">
        <v>170</v>
      </c>
      <c r="C14" t="s">
        <v>166</v>
      </c>
    </row>
    <row r="15" spans="1:3" x14ac:dyDescent="0.35">
      <c r="A15" s="71" t="s">
        <v>137</v>
      </c>
      <c r="B15" s="72">
        <v>250</v>
      </c>
      <c r="C15" t="s">
        <v>167</v>
      </c>
    </row>
    <row r="16" spans="1:3" x14ac:dyDescent="0.35">
      <c r="A16" s="73" t="s">
        <v>98</v>
      </c>
      <c r="B16" s="74">
        <v>145</v>
      </c>
      <c r="C16" t="s">
        <v>167</v>
      </c>
    </row>
    <row r="17" spans="1:3" x14ac:dyDescent="0.35">
      <c r="A17" s="73" t="s">
        <v>138</v>
      </c>
      <c r="B17" s="74">
        <v>270</v>
      </c>
      <c r="C17" t="s">
        <v>166</v>
      </c>
    </row>
    <row r="18" spans="1:3" x14ac:dyDescent="0.35">
      <c r="A18" s="73" t="s">
        <v>140</v>
      </c>
      <c r="B18" s="74">
        <v>433</v>
      </c>
      <c r="C18" t="s">
        <v>168</v>
      </c>
    </row>
    <row r="19" spans="1:3" x14ac:dyDescent="0.35">
      <c r="A19" s="73" t="s">
        <v>141</v>
      </c>
      <c r="B19" s="74">
        <v>141</v>
      </c>
      <c r="C19" t="s">
        <v>168</v>
      </c>
    </row>
    <row r="20" spans="1:3" x14ac:dyDescent="0.35">
      <c r="A20" s="73" t="s">
        <v>137</v>
      </c>
      <c r="B20" s="74">
        <v>270</v>
      </c>
      <c r="C20" t="s">
        <v>169</v>
      </c>
    </row>
    <row r="21" spans="1:3" x14ac:dyDescent="0.35">
      <c r="A21" s="73" t="s">
        <v>102</v>
      </c>
      <c r="B21" s="74">
        <v>88</v>
      </c>
      <c r="C21" t="s">
        <v>170</v>
      </c>
    </row>
    <row r="22" spans="1:3" x14ac:dyDescent="0.35">
      <c r="A22" s="73" t="s">
        <v>143</v>
      </c>
      <c r="B22" s="74">
        <v>225</v>
      </c>
      <c r="C22" t="s">
        <v>167</v>
      </c>
    </row>
    <row r="23" spans="1:3" x14ac:dyDescent="0.35">
      <c r="A23" s="69" t="s">
        <v>96</v>
      </c>
      <c r="B23" s="70">
        <v>0</v>
      </c>
    </row>
    <row r="24" spans="1:3" x14ac:dyDescent="0.35">
      <c r="A24" s="67" t="s">
        <v>142</v>
      </c>
      <c r="B24" s="68">
        <v>0</v>
      </c>
    </row>
    <row r="25" spans="1:3" x14ac:dyDescent="0.35">
      <c r="A25" s="73" t="s">
        <v>103</v>
      </c>
      <c r="B25" s="74">
        <v>300</v>
      </c>
      <c r="C25" t="s">
        <v>171</v>
      </c>
    </row>
    <row r="26" spans="1:3" x14ac:dyDescent="0.35">
      <c r="A26" s="73" t="s">
        <v>139</v>
      </c>
      <c r="B26" s="74">
        <v>150</v>
      </c>
      <c r="C26" t="s">
        <v>171</v>
      </c>
    </row>
    <row r="29" spans="1:3" x14ac:dyDescent="0.35">
      <c r="B29" s="61" t="s">
        <v>95</v>
      </c>
      <c r="C29" s="60">
        <f>SUM(B14:B26)</f>
        <v>2442</v>
      </c>
    </row>
    <row r="30" spans="1:3" x14ac:dyDescent="0.35">
      <c r="B30" s="62" t="s">
        <v>104</v>
      </c>
      <c r="C30" s="63">
        <f>C9-C29</f>
        <v>7815</v>
      </c>
    </row>
    <row r="31" spans="1:3" x14ac:dyDescent="0.35">
      <c r="A31" s="24" t="s">
        <v>105</v>
      </c>
    </row>
    <row r="32" spans="1:3" x14ac:dyDescent="0.35">
      <c r="A32" s="64" t="s">
        <v>172</v>
      </c>
      <c r="B32" s="65">
        <v>170</v>
      </c>
      <c r="C32" t="s">
        <v>173</v>
      </c>
    </row>
    <row r="33" spans="1:3" x14ac:dyDescent="0.35">
      <c r="A33" s="64" t="s">
        <v>174</v>
      </c>
      <c r="B33" s="65">
        <v>177</v>
      </c>
      <c r="C33" t="s">
        <v>169</v>
      </c>
    </row>
    <row r="34" spans="1:3" x14ac:dyDescent="0.35">
      <c r="A34" s="64" t="s">
        <v>29</v>
      </c>
      <c r="B34" s="65">
        <v>160</v>
      </c>
      <c r="C34" t="s">
        <v>175</v>
      </c>
    </row>
    <row r="35" spans="1:3" ht="16.5" customHeight="1" x14ac:dyDescent="0.35">
      <c r="A35" s="64" t="s">
        <v>144</v>
      </c>
      <c r="B35" s="65"/>
      <c r="C35" s="30"/>
    </row>
    <row r="36" spans="1:3" x14ac:dyDescent="0.35">
      <c r="A36" s="64" t="s">
        <v>145</v>
      </c>
      <c r="B36" s="65"/>
      <c r="C36" s="30"/>
    </row>
    <row r="37" spans="1:3" x14ac:dyDescent="0.35">
      <c r="A37" s="64" t="s">
        <v>146</v>
      </c>
      <c r="B37" s="65"/>
      <c r="C37" s="30"/>
    </row>
    <row r="38" spans="1:3" x14ac:dyDescent="0.35">
      <c r="A38" s="64" t="s">
        <v>132</v>
      </c>
      <c r="B38" s="65"/>
      <c r="C38" s="30"/>
    </row>
    <row r="39" spans="1:3" x14ac:dyDescent="0.35">
      <c r="A39" s="64" t="s">
        <v>147</v>
      </c>
      <c r="B39" s="65"/>
      <c r="C39" s="30"/>
    </row>
    <row r="40" spans="1:3" x14ac:dyDescent="0.35">
      <c r="A40" s="64" t="s">
        <v>148</v>
      </c>
      <c r="B40" s="65"/>
      <c r="C40" s="30"/>
    </row>
    <row r="41" spans="1:3" x14ac:dyDescent="0.35">
      <c r="A41" s="64" t="s">
        <v>149</v>
      </c>
      <c r="B41" s="65"/>
      <c r="C41" s="30"/>
    </row>
    <row r="42" spans="1:3" x14ac:dyDescent="0.35">
      <c r="A42" s="64" t="s">
        <v>150</v>
      </c>
      <c r="B42" s="65"/>
      <c r="C42" s="30"/>
    </row>
    <row r="43" spans="1:3" x14ac:dyDescent="0.35">
      <c r="A43" s="64" t="s">
        <v>50</v>
      </c>
      <c r="B43" s="65"/>
      <c r="C43" s="30"/>
    </row>
    <row r="44" spans="1:3" x14ac:dyDescent="0.35">
      <c r="A44" s="64" t="s">
        <v>151</v>
      </c>
      <c r="B44" s="65"/>
      <c r="C44" s="30"/>
    </row>
    <row r="45" spans="1:3" x14ac:dyDescent="0.35">
      <c r="A45" s="64" t="s">
        <v>51</v>
      </c>
      <c r="B45" s="65"/>
      <c r="C45" s="30"/>
    </row>
    <row r="46" spans="1:3" x14ac:dyDescent="0.35">
      <c r="A46" s="64" t="s">
        <v>152</v>
      </c>
      <c r="B46" s="65"/>
      <c r="C46" s="30"/>
    </row>
    <row r="47" spans="1:3" x14ac:dyDescent="0.35">
      <c r="A47" s="64" t="s">
        <v>153</v>
      </c>
      <c r="B47" s="65"/>
      <c r="C47" s="30"/>
    </row>
    <row r="48" spans="1:3" x14ac:dyDescent="0.35">
      <c r="A48" s="64" t="s">
        <v>154</v>
      </c>
      <c r="B48" s="65"/>
      <c r="C48" s="30"/>
    </row>
    <row r="49" spans="1:3" x14ac:dyDescent="0.35">
      <c r="A49" s="64" t="s">
        <v>155</v>
      </c>
      <c r="B49" s="65"/>
      <c r="C49" s="30"/>
    </row>
    <row r="50" spans="1:3" x14ac:dyDescent="0.35">
      <c r="A50" s="64" t="s">
        <v>51</v>
      </c>
      <c r="B50" s="65"/>
      <c r="C50" s="30"/>
    </row>
    <row r="51" spans="1:3" x14ac:dyDescent="0.35">
      <c r="A51" s="64" t="s">
        <v>156</v>
      </c>
      <c r="B51" s="65"/>
      <c r="C51" s="30"/>
    </row>
    <row r="52" spans="1:3" x14ac:dyDescent="0.35">
      <c r="A52" s="64" t="s">
        <v>157</v>
      </c>
      <c r="B52" s="65"/>
    </row>
    <row r="53" spans="1:3" x14ac:dyDescent="0.35">
      <c r="A53" s="64" t="s">
        <v>107</v>
      </c>
      <c r="B53" s="65">
        <v>310</v>
      </c>
    </row>
    <row r="54" spans="1:3" x14ac:dyDescent="0.35">
      <c r="B54" s="27"/>
    </row>
    <row r="56" spans="1:3" ht="43.5" x14ac:dyDescent="0.35">
      <c r="A56" s="66" t="s">
        <v>126</v>
      </c>
      <c r="B56" s="27">
        <f>C30-SUM(B35:B53)</f>
        <v>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Budget</vt:lpstr>
      <vt:lpstr>Yearly Increase</vt:lpstr>
      <vt:lpstr>April</vt:lpstr>
      <vt:lpstr>May</vt:lpstr>
      <vt:lpstr>June</vt:lpstr>
      <vt:lpstr>July</vt:lpstr>
      <vt:lpstr>August</vt:lpstr>
      <vt:lpstr>September</vt:lpstr>
      <vt:lpstr>October 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Larry O'Neil Gamblin Jr</dc:creator>
  <cp:keywords/>
  <dc:description/>
  <cp:lastModifiedBy>L.J. Gamblin</cp:lastModifiedBy>
  <cp:revision/>
  <dcterms:created xsi:type="dcterms:W3CDTF">2016-01-17T02:27:19Z</dcterms:created>
  <dcterms:modified xsi:type="dcterms:W3CDTF">2024-12-11T21:19:51Z</dcterms:modified>
  <cp:category/>
  <cp:contentStatus/>
</cp:coreProperties>
</file>