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JjoU^1^1^\"/>
    </mc:Choice>
  </mc:AlternateContent>
  <xr:revisionPtr revIDLastSave="0" documentId="13_ncr:1_{DD1E8695-9F05-418C-88C7-67D4DA7A969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4"/>
  <c r="H8" i="33"/>
  <c r="Q8" i="36"/>
  <c r="H8" i="39"/>
  <c r="Q8" i="40"/>
  <c r="L7" i="42"/>
  <c r="Q8" i="44"/>
  <c r="L7" i="46"/>
  <c r="L8" i="40"/>
  <c r="L7" i="30"/>
  <c r="L7" i="38"/>
  <c r="L8" i="33"/>
  <c r="L8" i="39"/>
  <c r="L8" i="43"/>
  <c r="Q2" i="14"/>
  <c r="H8" i="49"/>
  <c r="H8" i="30"/>
  <c r="Q8" i="33"/>
  <c r="L7" i="37"/>
  <c r="H8" i="38"/>
  <c r="Q8" i="39"/>
  <c r="L7" i="41"/>
  <c r="H8" i="42"/>
  <c r="Q8" i="43"/>
  <c r="L7" i="45"/>
  <c r="H8" i="46"/>
  <c r="L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5" i="1"/>
  <c r="I40" i="48" s="1"/>
  <c r="L14" i="1"/>
  <c r="I39" i="48" s="1"/>
  <c r="L7" i="1"/>
  <c r="I32" i="48" s="1"/>
  <c r="L8" i="1"/>
  <c r="I33"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D7" i="1"/>
  <c r="BW6" i="1" s="1"/>
  <c r="CB7" i="1"/>
  <c r="CC7" i="1"/>
  <c r="AS7" i="1"/>
  <c r="A71" i="32"/>
  <c r="A67" i="32"/>
  <c r="B53" i="24"/>
  <c r="D53" i="24" s="1"/>
  <c r="H4" i="21"/>
  <c r="H6" i="21"/>
  <c r="I6" i="21" s="1"/>
  <c r="H5" i="21"/>
  <c r="A9" i="17"/>
  <c r="C8" i="17"/>
  <c r="B8" i="17" s="1"/>
  <c r="V21" i="11"/>
  <c r="V52" i="11"/>
  <c r="X52" i="11" s="1"/>
  <c r="B46" i="25"/>
  <c r="G46" i="25" s="1"/>
  <c r="BZ6" i="1"/>
  <c r="CE6" i="1"/>
  <c r="H7" i="21"/>
  <c r="I5" i="21"/>
  <c r="B27" i="21"/>
  <c r="C26" i="21"/>
  <c r="B83" i="23"/>
  <c r="E82" i="23"/>
  <c r="C28" i="23"/>
  <c r="H20" i="18"/>
  <c r="F15" i="13"/>
  <c r="L14" i="13"/>
  <c r="M17" i="1"/>
  <c r="A50" i="6"/>
  <c r="A54" i="6"/>
  <c r="K24" i="1"/>
  <c r="I24" i="1"/>
  <c r="F9" i="11"/>
  <c r="A10" i="11"/>
  <c r="B9" i="11"/>
  <c r="E9" i="11" s="1"/>
  <c r="BV6" i="1" l="1"/>
  <c r="CD6" i="1"/>
  <c r="CB6" i="1"/>
  <c r="BX6" i="1"/>
  <c r="CC6" i="1"/>
  <c r="CA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46"/>
  <c r="O7" i="42"/>
  <c r="O7" i="38"/>
  <c r="O7" i="30"/>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3" i="1" l="1"/>
  <c r="Y12" i="1"/>
  <c r="Y10" i="1"/>
  <c r="Y8" i="1"/>
  <c r="Y14" i="1"/>
  <c r="Y7" i="1"/>
  <c r="C213" i="17"/>
  <c r="B213" i="17" s="1"/>
  <c r="A214" i="17"/>
  <c r="F211" i="11"/>
  <c r="A212" i="11"/>
  <c r="B211" i="11"/>
  <c r="E211" i="11" s="1"/>
  <c r="Y11" i="1" l="1"/>
  <c r="Y16" i="1"/>
  <c r="L39" i="48"/>
  <c r="L39" i="18"/>
  <c r="L33" i="48"/>
  <c r="L33" i="18"/>
  <c r="L35" i="48"/>
  <c r="L35" i="18"/>
  <c r="L32" i="48"/>
  <c r="L32" i="18"/>
  <c r="L37" i="48"/>
  <c r="L37" i="18"/>
  <c r="L38" i="48"/>
  <c r="L38" i="18"/>
  <c r="C214" i="17"/>
  <c r="B214" i="17" s="1"/>
  <c r="A215" i="17"/>
  <c r="F212" i="11"/>
  <c r="A213" i="11"/>
  <c r="B212" i="11"/>
  <c r="E212" i="11" s="1"/>
  <c r="L41" i="48" l="1"/>
  <c r="L41"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CB31" i="11" s="1"/>
  <c r="A521" i="17"/>
  <c r="F518" i="11"/>
  <c r="J28" i="18" l="1"/>
  <c r="J28" i="48"/>
  <c r="C521" i="17"/>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<sst xmlns="http://schemas.openxmlformats.org/spreadsheetml/2006/main" count="7311" uniqueCount="2585">
  <si>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</si>
  <si>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</si>
  <si>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</si>
  <si>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</si>
  <si>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</si>
  <si>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</si>
  <si>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</si>
  <si>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</si>
  <si>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</si>
  <si>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</si>
  <si>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</si>
  <si>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</si>
  <si>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</si>
  <si>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</si>
  <si>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</si>
  <si>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</si>
  <si>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</si>
  <si>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</si>
  <si>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</si>
  <si>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</si>
  <si>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</si>
  <si>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</si>
  <si>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</si>
  <si>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</si>
  <si>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</si>
  <si>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</si>
  <si>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</si>
  <si>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</si>
  <si>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</si>
  <si>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</si>
  <si>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</si>
  <si>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</si>
  <si>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</si>
  <si>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</si>
  <si>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</si>
  <si>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</si>
  <si>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</si>
  <si>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</si>
  <si>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</si>
  <si>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</si>
  <si>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</si>
  <si>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</si>
  <si>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</si>
  <si>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</si>
  <si>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</si>
  <si>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</si>
  <si>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</si>
  <si>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</si>
  <si>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</si>
  <si>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</si>
  <si>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</si>
  <si>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</si>
  <si>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</si>
  <si>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</si>
  <si>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</si>
  <si>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</si>
  <si>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</si>
  <si>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</si>
  <si>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</si>
  <si>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</si>
  <si>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</si>
  <si>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</si>
  <si>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</si>
  <si>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</si>
  <si>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</si>
  <si>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</si>
  <si>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</si>
  <si>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</si>
  <si>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</si>
  <si>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</si>
  <si>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</si>
  <si>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</si>
  <si>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</si>
  <si>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</si>
  <si>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</si>
  <si>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</si>
  <si>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</si>
  <si>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</si>
  <si>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</si>
  <si>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</si>
  <si>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</si>
  <si>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</si>
  <si>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</si>
  <si>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</si>
  <si>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</si>
  <si>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</si>
  <si>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</si>
  <si>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</si>
  <si>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</si>
  <si>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</si>
  <si>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</si>
  <si>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</si>
  <si>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</si>
  <si>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</si>
  <si>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</si>
  <si>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</si>
  <si>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</si>
  <si>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</si>
  <si>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</si>
  <si>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</si>
  <si>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</si>
  <si>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</si>
  <si>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</si>
  <si>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</si>
  <si>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</si>
  <si>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</si>
  <si>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</si>
  <si>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</si>
  <si>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</si>
  <si>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</si>
  <si>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</si>
  <si>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</si>
  <si>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</si>
  <si>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</si>
  <si>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</si>
  <si>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</si>
  <si>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</si>
  <si>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</si>
  <si>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</si>
  <si>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</si>
  <si>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</si>
  <si>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</si>
  <si>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</si>
  <si>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</si>
  <si>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</si>
  <si>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</si>
  <si>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</si>
  <si>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</si>
  <si>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</si>
  <si>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</si>
  <si>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</si>
  <si>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</si>
  <si>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</si>
  <si>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</si>
  <si>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</si>
  <si>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</si>
  <si>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</si>
  <si>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</si>
  <si>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</si>
  <si>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</si>
  <si>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</si>
  <si>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</si>
  <si>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</si>
  <si>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</si>
  <si>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</si>
  <si>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</si>
  <si>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</si>
  <si>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</si>
  <si>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</si>
  <si>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</si>
  <si>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</si>
  <si>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</si>
  <si>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</si>
  <si>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</si>
  <si>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</si>
  <si>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</si>
  <si>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</si>
  <si>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</si>
  <si>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</si>
  <si>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</si>
  <si>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</si>
  <si>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</si>
  <si>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</si>
  <si>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</si>
  <si>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</si>
  <si>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</si>
  <si>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</si>
  <si>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</si>
  <si>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</si>
  <si>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</si>
  <si>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</si>
  <si>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</si>
  <si>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</si>
  <si>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</si>
  <si>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</si>
  <si>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</si>
  <si>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</si>
  <si>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</si>
  <si>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</si>
  <si>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</si>
  <si>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</si>
  <si>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</si>
  <si>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</si>
  <si>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</si>
  <si>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</si>
  <si>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</si>
  <si>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</si>
  <si>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</si>
  <si>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</si>
  <si>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</si>
  <si>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</si>
  <si>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</si>
  <si>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</si>
  <si>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</si>
  <si>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</si>
  <si>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</si>
  <si>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</si>
  <si>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</si>
  <si>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</si>
  <si>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</si>
  <si>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</si>
  <si>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</si>
  <si>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</si>
  <si>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</si>
  <si>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</si>
  <si>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</si>
  <si>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</si>
  <si>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</si>
  <si>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</si>
  <si>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</si>
  <si>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</si>
  <si>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</si>
  <si>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</si>
  <si>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</si>
  <si>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</si>
  <si>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</si>
  <si>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</si>
  <si>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</si>
  <si>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</si>
  <si>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</si>
  <si>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</si>
  <si>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</si>
  <si>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</si>
  <si>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</si>
  <si>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</si>
  <si>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</si>
  <si>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</si>
  <si>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</si>
  <si>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</si>
  <si>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</si>
  <si>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</si>
  <si>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</si>
  <si>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</si>
  <si>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</si>
  <si>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</si>
  <si>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</si>
  <si>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</si>
  <si>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</si>
  <si>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</si>
  <si>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</si>
  <si>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</si>
  <si>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</si>
  <si>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</si>
  <si>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</si>
  <si>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</si>
  <si>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</si>
  <si>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</si>
  <si>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</si>
  <si>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</si>
  <si>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</si>
  <si>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</si>
  <si>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</si>
  <si>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</si>
  <si>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</si>
  <si>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</si>
  <si>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</si>
  <si>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</si>
  <si>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</si>
  <si>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</si>
  <si>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</si>
  <si>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</si>
  <si>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</si>
  <si>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</si>
  <si>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</si>
  <si>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</si>
  <si>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</si>
  <si>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</si>
  <si>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</si>
  <si>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</si>
  <si>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</si>
  <si>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</si>
  <si>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</si>
  <si>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</si>
  <si>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</si>
  <si>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</si>
  <si>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</si>
  <si>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</si>
  <si>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</si>
  <si>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</si>
  <si>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</si>
  <si>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</si>
  <si>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</si>
  <si>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</si>
  <si>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</si>
  <si>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</si>
  <si>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</si>
  <si>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</si>
  <si>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</si>
  <si>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</si>
  <si>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</si>
  <si>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</si>
  <si>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</si>
  <si>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</si>
  <si>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</si>
  <si>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</si>
  <si>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</si>
  <si>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</si>
  <si>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</si>
  <si>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</si>
  <si>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</si>
  <si>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</si>
  <si>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</si>
  <si>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</si>
  <si>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</si>
  <si>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</si>
  <si>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</si>
  <si>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</si>
  <si>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</si>
  <si>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</si>
  <si>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</si>
  <si>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</si>
  <si>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</si>
  <si>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</si>
  <si>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</si>
  <si>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</si>
  <si>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</si>
  <si>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</si>
  <si>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</si>
  <si>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</si>
  <si>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</si>
  <si>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</si>
  <si>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</si>
  <si>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</si>
  <si>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</si>
  <si>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</si>
  <si>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</si>
  <si>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</si>
  <si>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</si>
  <si>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</si>
  <si>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</si>
  <si>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</si>
  <si>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</si>
  <si>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</si>
  <si>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</si>
  <si>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</si>
  <si>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</si>
  <si>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</si>
  <si>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</si>
  <si>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</si>
  <si>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</si>
  <si>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</si>
  <si>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</si>
  <si>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</si>
  <si>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</si>
  <si>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</si>
  <si>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</si>
  <si>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</si>
  <si>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</si>
  <si>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</si>
  <si>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</si>
  <si>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</si>
  <si>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</si>
  <si>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</si>
  <si>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</si>
  <si>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</si>
  <si>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</si>
  <si>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</si>
  <si>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</si>
  <si>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</si>
  <si>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</si>
  <si>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</si>
  <si>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</si>
  <si>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</si>
  <si>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</si>
  <si>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</si>
  <si>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</si>
  <si>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</si>
  <si>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</si>
  <si>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</si>
  <si>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</si>
  <si>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</si>
  <si>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</si>
  <si>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</si>
  <si>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</si>
  <si>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</si>
  <si>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</si>
  <si>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</si>
  <si>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</si>
  <si>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</si>
  <si>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</si>
  <si>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</si>
  <si>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</si>
  <si>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</si>
  <si>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</si>
  <si>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</si>
  <si>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</si>
  <si>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</si>
  <si>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</si>
  <si>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</si>
  <si>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</si>
  <si>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</si>
  <si>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</si>
  <si>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</si>
  <si>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</si>
  <si>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</si>
  <si>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</si>
  <si>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</si>
  <si>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</si>
  <si>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</si>
  <si>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</si>
  <si>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</si>
  <si>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</si>
  <si>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</si>
  <si>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</si>
  <si>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</si>
  <si>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</si>
  <si>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</si>
  <si>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</si>
  <si>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</si>
  <si>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</si>
  <si>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</si>
  <si>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</si>
  <si>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</si>
  <si>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</si>
  <si>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</si>
  <si>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</si>
  <si>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</si>
  <si>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</si>
  <si>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</si>
  <si>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</si>
  <si>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</si>
  <si>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</si>
  <si>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</si>
  <si>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</si>
  <si>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</si>
  <si>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</si>
  <si>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</si>
  <si>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</si>
  <si>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</si>
  <si>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</si>
  <si>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</si>
  <si>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</si>
  <si>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</si>
  <si>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</si>
  <si>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</si>
  <si>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</si>
  <si>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</si>
  <si>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</si>
  <si>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</si>
  <si>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</si>
  <si>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</si>
  <si>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</si>
  <si>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</si>
  <si>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</si>
  <si>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</si>
  <si>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</si>
  <si>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</si>
  <si>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</si>
  <si>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</si>
  <si>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</si>
  <si>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</si>
  <si>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</si>
  <si>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</si>
  <si>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</si>
  <si>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</si>
  <si>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</si>
  <si>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</si>
  <si>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</si>
  <si>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</si>
  <si>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</si>
  <si>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</si>
  <si>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</si>
  <si>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</si>
  <si>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</si>
  <si>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</si>
  <si>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</si>
  <si>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</si>
  <si>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</si>
  <si>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</si>
  <si>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</si>
  <si>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</si>
  <si>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</si>
  <si>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</si>
  <si>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</si>
  <si>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</si>
  <si>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</si>
  <si>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</si>
  <si>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</si>
  <si>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</si>
  <si>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</si>
  <si>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</si>
  <si>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</si>
  <si>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</si>
  <si>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</si>
  <si>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</si>
  <si>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</si>
  <si>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</si>
  <si>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</si>
  <si>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</si>
  <si>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</si>
  <si>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</si>
  <si>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</si>
  <si>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</si>
  <si>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</si>
  <si>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</si>
  <si>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</si>
  <si>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</si>
  <si>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</si>
  <si>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</si>
  <si>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</si>
  <si>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</si>
  <si>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</si>
  <si>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</si>
  <si>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</si>
  <si>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</si>
  <si>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</si>
  <si>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</si>
  <si>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</si>
  <si>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</si>
  <si>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</si>
  <si>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</si>
  <si>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</si>
  <si>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</si>
  <si>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</si>
  <si>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</si>
  <si>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</si>
  <si>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</si>
  <si>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</si>
  <si>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</si>
  <si>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</si>
  <si>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</si>
  <si>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</si>
  <si>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</si>
  <si>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</si>
  <si>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</si>
  <si>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</si>
  <si>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</si>
  <si>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</si>
  <si>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</si>
  <si>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</si>
  <si>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</si>
  <si>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</si>
  <si>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</si>
  <si>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</si>
  <si>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</si>
  <si>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</si>
  <si>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</si>
  <si>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</si>
  <si>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</si>
  <si>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</si>
  <si>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</si>
  <si>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</si>
  <si>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</si>
  <si>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</si>
  <si>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</si>
  <si>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</si>
  <si>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</si>
  <si>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</si>
  <si>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</si>
  <si>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</si>
  <si>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</si>
  <si>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</si>
  <si>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</si>
  <si>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</si>
  <si>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</si>
  <si>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</si>
  <si>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</si>
  <si>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</si>
  <si>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</si>
  <si>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</si>
  <si>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</si>
  <si>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</si>
  <si>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</si>
  <si>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</si>
  <si>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</si>
  <si>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</si>
  <si>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</si>
  <si>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</si>
  <si>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</si>
  <si>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</si>
  <si>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</si>
  <si>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</si>
  <si>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</si>
  <si>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</si>
  <si>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</si>
  <si>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</si>
  <si>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</si>
  <si>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</si>
  <si>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</si>
  <si>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</si>
  <si>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</si>
  <si>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</si>
  <si>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</si>
  <si>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</si>
  <si>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</si>
  <si>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</si>
  <si>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</si>
  <si>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</si>
  <si>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</si>
  <si>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</si>
  <si>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</si>
  <si>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</si>
  <si>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</si>
  <si>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</si>
  <si>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</si>
  <si>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</si>
  <si>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</si>
  <si>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</si>
  <si>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</si>
  <si>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</si>
  <si>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</si>
  <si>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</si>
  <si>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</si>
  <si>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</si>
  <si>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</si>
  <si>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</si>
  <si>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</si>
  <si>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</si>
  <si>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</si>
  <si>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</si>
  <si>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</si>
  <si>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</si>
  <si>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</si>
  <si>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</si>
  <si>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</si>
  <si>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</si>
  <si>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</si>
  <si>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</si>
  <si>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</si>
  <si>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</si>
  <si>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</si>
  <si>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</si>
  <si>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</si>
  <si>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</si>
  <si>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</si>
  <si>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</si>
  <si>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</si>
  <si>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</si>
  <si>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</si>
  <si>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</si>
  <si>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</si>
  <si>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</si>
  <si>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</si>
  <si>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</si>
  <si>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</si>
  <si>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</si>
  <si>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</si>
  <si>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</si>
  <si>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</si>
  <si>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</si>
  <si>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</si>
  <si>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</si>
  <si>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</si>
  <si>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</si>
  <si>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</si>
  <si>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</si>
  <si>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</si>
  <si>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</si>
  <si>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</si>
  <si>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</si>
  <si>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</si>
  <si>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</si>
  <si>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</si>
  <si>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</si>
  <si>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</si>
  <si>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</si>
  <si>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</si>
  <si>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</si>
  <si>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</si>
  <si>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</si>
  <si>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</si>
  <si>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</si>
  <si>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</si>
  <si>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</si>
  <si>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</si>
  <si>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</si>
  <si>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</si>
  <si>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</si>
  <si>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</si>
  <si>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</si>
  <si>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</si>
  <si>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</si>
  <si>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</si>
  <si>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</si>
  <si>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</si>
  <si>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</si>
  <si>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</si>
  <si>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</si>
  <si>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</si>
  <si>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</si>
  <si>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</si>
  <si>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</si>
  <si>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</si>
  <si>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</si>
  <si>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</si>
  <si>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</si>
  <si>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</si>
  <si>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</si>
  <si>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</si>
  <si>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</si>
  <si>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</si>
  <si>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</si>
  <si>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</si>
  <si>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</si>
  <si>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</si>
  <si>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</si>
  <si>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</si>
  <si>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</si>
  <si>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</si>
  <si>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</si>
  <si>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</si>
  <si>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</si>
  <si>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</si>
  <si>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</si>
  <si>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</si>
  <si>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</si>
  <si>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</si>
  <si>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</si>
  <si>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</si>
  <si>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</si>
  <si>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</si>
  <si>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</si>
  <si>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</si>
  <si>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</si>
  <si>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</si>
  <si>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</si>
  <si>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</si>
  <si>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</si>
  <si>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</si>
  <si>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</si>
  <si>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</si>
  <si>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</si>
  <si>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</si>
  <si>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</si>
  <si>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</si>
  <si>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</si>
  <si>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</si>
  <si>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</si>
  <si>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</si>
  <si>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</si>
  <si>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</si>
  <si>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</si>
  <si>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</si>
  <si>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</si>
  <si>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</si>
  <si>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</si>
  <si>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</si>
  <si>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</si>
  <si>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</si>
  <si>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</si>
  <si>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</si>
  <si>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</si>
  <si>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</si>
  <si>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</si>
  <si>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</si>
  <si>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</si>
  <si>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</si>
  <si>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</si>
  <si>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</si>
  <si>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</si>
  <si>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</si>
  <si>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</si>
  <si>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</si>
  <si>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</si>
  <si>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</si>
  <si>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</si>
  <si>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</si>
  <si>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</si>
  <si>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</si>
  <si>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</si>
  <si>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</si>
  <si>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</si>
  <si>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</si>
  <si>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</si>
  <si>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</si>
  <si>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</si>
  <si>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</si>
  <si>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</si>
  <si>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</si>
  <si>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</si>
  <si>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</si>
  <si>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</si>
  <si>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</si>
  <si>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</si>
  <si>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</si>
  <si>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</si>
  <si>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</si>
  <si>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</si>
  <si>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</si>
  <si>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</si>
  <si>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</si>
  <si>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</si>
  <si>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</si>
  <si>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</si>
  <si>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</si>
  <si>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</si>
  <si>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</si>
  <si>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</si>
  <si>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</si>
  <si>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</si>
  <si>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</si>
  <si>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</si>
  <si>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</si>
  <si>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</si>
  <si>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</si>
  <si>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</si>
  <si>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</si>
  <si>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</si>
  <si>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</si>
  <si>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</si>
  <si>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</si>
  <si>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</si>
  <si>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</si>
  <si>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</si>
  <si>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</si>
  <si>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</si>
  <si>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</si>
  <si>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</si>
  <si>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</si>
  <si>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</si>
  <si>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</si>
  <si>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</si>
  <si>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</si>
  <si>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</si>
  <si>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</si>
  <si>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</si>
  <si>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</si>
  <si>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</si>
  <si>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</si>
  <si>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</si>
  <si>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</si>
  <si>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</si>
  <si>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</si>
  <si>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</si>
  <si>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</si>
  <si>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</si>
  <si>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</si>
  <si>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</si>
  <si>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</si>
  <si>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</si>
  <si>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</si>
  <si>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</si>
  <si>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</si>
  <si>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</si>
  <si>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</si>
  <si>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</si>
  <si>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</si>
  <si>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</si>
  <si>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</si>
  <si>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</si>
  <si>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</si>
  <si>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</si>
  <si>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</si>
  <si>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</si>
  <si>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</si>
  <si>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</si>
  <si>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</si>
  <si>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</si>
  <si>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</si>
  <si>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</si>
  <si>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</si>
  <si>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</si>
  <si>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</si>
  <si>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</si>
  <si>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</si>
  <si>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</si>
  <si>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</si>
  <si>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</si>
  <si>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</si>
  <si>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</si>
  <si>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</si>
  <si>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</si>
  <si>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</si>
  <si>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</si>
  <si>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</si>
  <si>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</si>
  <si>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</si>
  <si>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</si>
  <si>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</si>
  <si>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</si>
  <si>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</si>
  <si>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</si>
  <si>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</si>
  <si>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</si>
  <si>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</si>
  <si>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</si>
  <si>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</si>
  <si>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</si>
  <si>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</si>
  <si>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</si>
  <si>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</si>
  <si>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</si>
  <si>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</si>
  <si>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</si>
  <si>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</si>
  <si>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</si>
  <si>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</si>
  <si>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</si>
  <si>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</si>
  <si>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</si>
  <si>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</si>
  <si>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</si>
  <si>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</si>
  <si>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</si>
  <si>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</si>
  <si>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</si>
  <si>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</si>
  <si>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</si>
  <si>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</si>
  <si>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</si>
  <si>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</si>
  <si>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</si>
  <si>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</si>
  <si>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</si>
  <si>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</si>
  <si>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</si>
  <si>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</si>
  <si>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</si>
  <si>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</si>
  <si>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</si>
  <si>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</si>
  <si>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</si>
  <si>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</si>
  <si>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</si>
  <si>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</si>
  <si>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</si>
  <si>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</si>
  <si>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</si>
  <si>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</si>
  <si>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</si>
  <si>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</si>
  <si>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</si>
  <si>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</si>
  <si>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</si>
  <si>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</si>
  <si>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</si>
  <si>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</si>
  <si>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</si>
  <si>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</si>
  <si>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</si>
  <si>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</si>
  <si>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</si>
  <si>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</si>
  <si>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</si>
  <si>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</si>
  <si>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</si>
  <si>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</si>
  <si>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</si>
  <si>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</si>
  <si>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</si>
  <si>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</si>
  <si>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</si>
  <si>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</si>
  <si>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</si>
  <si>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</si>
  <si>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</si>
  <si>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</si>
  <si>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</si>
  <si>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</si>
  <si>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</si>
  <si>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</si>
  <si>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</si>
  <si>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</si>
  <si>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</si>
  <si>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</si>
  <si>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</si>
  <si>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</si>
  <si>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</si>
  <si>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</si>
  <si>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</si>
  <si>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</si>
  <si>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</si>
  <si>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</si>
  <si>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</si>
  <si>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</si>
  <si>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</si>
  <si>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</si>
  <si>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</si>
  <si>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</si>
  <si>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</si>
  <si>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</si>
  <si>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</si>
  <si>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</si>
  <si>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</si>
  <si>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</si>
  <si>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</si>
  <si>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</si>
  <si>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</si>
  <si>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</si>
  <si>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</si>
  <si>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</si>
  <si>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</si>
  <si>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</si>
  <si>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</si>
  <si>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</si>
  <si>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</si>
  <si>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</si>
  <si>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</si>
  <si>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</si>
  <si>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</si>
  <si>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</si>
  <si>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</si>
  <si>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</si>
  <si>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</si>
  <si>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</si>
  <si>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</si>
  <si>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</si>
  <si>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</si>
  <si>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</si>
  <si>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</si>
  <si>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</si>
  <si>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</si>
  <si>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</si>
  <si>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</si>
  <si>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</si>
  <si>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</si>
  <si>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</si>
  <si>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</si>
  <si>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</si>
  <si>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</si>
  <si>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</si>
  <si>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</si>
  <si>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</si>
  <si>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</si>
  <si>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</si>
  <si>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</si>
  <si>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</si>
  <si>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</si>
  <si>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</si>
  <si>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</si>
  <si>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</si>
  <si>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</si>
  <si>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</si>
  <si>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</si>
  <si>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</si>
  <si>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</si>
  <si>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</si>
  <si>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</si>
  <si>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</si>
  <si>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</si>
  <si>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</si>
  <si>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</si>
  <si>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</si>
  <si>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</si>
  <si>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</si>
  <si>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</si>
  <si>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</si>
  <si>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</si>
  <si>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</si>
  <si>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</si>
  <si>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</si>
  <si>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</si>
  <si>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</si>
  <si>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</si>
  <si>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</si>
  <si>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</si>
  <si>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</si>
  <si>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</si>
  <si>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</si>
  <si>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</si>
  <si>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</si>
  <si>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</si>
  <si>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</si>
  <si>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</si>
  <si>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</si>
  <si>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</si>
  <si>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</si>
  <si>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</si>
  <si>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</si>
  <si>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</si>
  <si>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</si>
  <si>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</si>
  <si>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</si>
  <si>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</si>
  <si>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</si>
  <si>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</si>
  <si>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</si>
  <si>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</si>
  <si>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</si>
  <si>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</si>
  <si>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</si>
  <si>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</si>
  <si>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</si>
  <si>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</si>
  <si>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</si>
  <si>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</si>
  <si>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</si>
  <si>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</si>
  <si>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</si>
  <si>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</si>
  <si>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</si>
  <si>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</si>
  <si>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</si>
  <si>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</si>
  <si>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</si>
  <si>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</si>
  <si>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</si>
  <si>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</si>
  <si>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</si>
  <si>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</si>
  <si>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</si>
  <si>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</si>
  <si>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</si>
  <si>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</si>
  <si>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</si>
  <si>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</si>
  <si>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</si>
  <si>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</si>
  <si>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</si>
  <si>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</si>
  <si>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</si>
  <si>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</si>
  <si>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</si>
  <si>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</si>
  <si>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</si>
  <si>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</si>
  <si>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</si>
  <si>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</si>
  <si>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</si>
  <si>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</si>
  <si>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</si>
  <si>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</si>
  <si>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</si>
  <si>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</si>
  <si>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</si>
  <si>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</si>
  <si>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</si>
  <si>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</si>
  <si>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</si>
  <si>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</si>
  <si>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</si>
  <si>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</si>
  <si>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</si>
  <si>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</si>
  <si>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</si>
  <si>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</si>
  <si>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</si>
  <si>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</si>
  <si>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</si>
  <si>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</si>
  <si>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</si>
  <si>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</si>
  <si>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</si>
  <si>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</si>
  <si>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</si>
  <si>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</si>
  <si>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</si>
  <si>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</si>
  <si>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</si>
  <si>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</si>
  <si>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</si>
  <si>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</si>
  <si>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</si>
  <si>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</si>
  <si>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</si>
  <si>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</si>
  <si>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</si>
  <si>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</si>
  <si>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</si>
  <si>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</si>
  <si>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</si>
  <si>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</si>
  <si>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</si>
  <si>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</si>
  <si>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</si>
  <si>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</si>
  <si>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</si>
  <si>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</si>
  <si>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</si>
  <si>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</si>
  <si>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</si>
  <si>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</si>
  <si>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</si>
  <si>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</si>
  <si>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</si>
  <si>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</si>
  <si>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</si>
  <si>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</si>
  <si>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</si>
  <si>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</si>
  <si>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</si>
  <si>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</si>
  <si>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</si>
  <si>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</si>
  <si>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</si>
  <si>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</si>
  <si>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</si>
  <si>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</si>
  <si>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</si>
  <si>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</si>
  <si>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</si>
  <si>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</si>
  <si>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</si>
  <si>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</si>
  <si>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</si>
  <si>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</si>
  <si>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</si>
  <si>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</si>
  <si>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</si>
  <si>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</si>
  <si>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</si>
  <si>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</si>
  <si>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</si>
  <si>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</si>
  <si>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</si>
  <si>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</si>
  <si>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</si>
  <si>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</si>
  <si>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</si>
  <si>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</si>
  <si>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</si>
  <si>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</si>
  <si>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</si>
  <si>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</si>
  <si>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</si>
  <si>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</si>
  <si>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</si>
  <si>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</si>
  <si>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</si>
  <si>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</si>
  <si>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</si>
  <si>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</si>
  <si>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</si>
  <si>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</si>
  <si>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</si>
  <si>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</si>
  <si>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</si>
  <si>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</si>
  <si>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</si>
  <si>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</si>
  <si>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</si>
  <si>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</si>
  <si>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</si>
  <si>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</si>
  <si>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</si>
  <si>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</si>
  <si>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</si>
  <si>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</si>
  <si>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</si>
  <si>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</si>
  <si>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</si>
  <si>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</si>
  <si>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</si>
  <si>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</si>
  <si>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</si>
  <si>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</si>
  <si>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</si>
  <si>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</si>
  <si>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</si>
  <si>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</si>
  <si>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</si>
  <si>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</si>
  <si>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</si>
  <si>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</si>
  <si>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</si>
  <si>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</si>
  <si>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</si>
  <si>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</si>
  <si>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</si>
  <si>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</si>
  <si>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</si>
  <si>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</si>
  <si>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</si>
  <si>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</si>
  <si>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</si>
  <si>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</si>
  <si>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</si>
  <si>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</si>
  <si>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</si>
  <si>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</si>
  <si>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</si>
  <si>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</si>
  <si>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</si>
  <si>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</si>
  <si>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</si>
  <si>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</si>
  <si>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</si>
  <si>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</si>
  <si>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</si>
  <si>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</si>
  <si>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</si>
  <si>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</si>
  <si>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</si>
  <si>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</si>
  <si>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</si>
  <si>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</si>
  <si>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</si>
  <si>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</si>
  <si>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</si>
  <si>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</si>
  <si>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</si>
  <si>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</si>
  <si>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</si>
  <si>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</si>
  <si>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</si>
  <si>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</si>
  <si>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</si>
  <si>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</si>
  <si>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</si>
  <si>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</si>
  <si>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</si>
  <si>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</si>
  <si>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</si>
  <si>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</si>
  <si>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</si>
  <si>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</si>
  <si>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</si>
  <si>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</si>
  <si>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</si>
  <si>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</si>
  <si>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</si>
  <si>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</si>
  <si>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</si>
  <si>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</si>
  <si>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</si>
  <si>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</si>
  <si>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</si>
  <si>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</si>
  <si>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</si>
  <si>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</si>
  <si>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</si>
  <si>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</si>
  <si>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</si>
  <si>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</si>
  <si>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</si>
  <si>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</si>
  <si>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</si>
  <si>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</si>
  <si>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</si>
  <si>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</si>
  <si>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</si>
  <si>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</si>
  <si>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</si>
  <si>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</si>
  <si>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</si>
  <si>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</si>
  <si>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</si>
  <si>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</si>
  <si>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</si>
  <si>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</si>
  <si>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</si>
  <si>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</si>
  <si>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</si>
  <si>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</si>
  <si>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</si>
  <si>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</si>
  <si>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</si>
  <si>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</si>
  <si>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</si>
  <si>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</si>
  <si>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</si>
  <si>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</si>
  <si>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</si>
  <si>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</si>
  <si>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</si>
  <si>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</si>
  <si>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</si>
  <si>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</si>
  <si>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</si>
  <si>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</si>
  <si>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</si>
  <si>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</si>
  <si>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</si>
  <si>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</si>
  <si>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</si>
  <si>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</si>
  <si>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</si>
  <si>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</si>
  <si>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</si>
  <si>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</si>
  <si>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</si>
  <si>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</si>
  <si>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</si>
  <si>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</si>
  <si>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</si>
  <si>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</si>
  <si>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</si>
  <si>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</si>
  <si>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</si>
  <si>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</si>
  <si>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</si>
  <si>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</si>
  <si>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</si>
  <si>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</si>
  <si>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</si>
  <si>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</si>
  <si>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</si>
  <si>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</si>
  <si>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</si>
  <si>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</si>
  <si>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</si>
  <si>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</si>
  <si>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</si>
  <si>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</si>
  <si>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</si>
  <si>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</si>
  <si>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</si>
  <si>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</si>
  <si>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</si>
  <si>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</si>
  <si>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</si>
  <si>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</si>
  <si>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</si>
  <si>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</si>
  <si>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</si>
  <si>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</si>
  <si>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</si>
  <si>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</si>
  <si>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</si>
  <si>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</si>
  <si>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</si>
  <si>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</si>
  <si>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</si>
  <si>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</si>
  <si>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</si>
  <si>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</si>
  <si>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</si>
  <si>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</si>
  <si>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</si>
  <si>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</si>
  <si>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</si>
  <si>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</si>
  <si>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</si>
  <si>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</si>
  <si>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</si>
  <si>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</si>
  <si>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</si>
  <si>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</si>
  <si>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</si>
  <si>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</si>
  <si>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</si>
  <si>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</si>
  <si>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</si>
  <si>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</si>
  <si>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</si>
  <si>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</si>
  <si>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</si>
  <si>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</si>
  <si>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</si>
  <si>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</si>
  <si>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</si>
  <si>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</si>
  <si>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</si>
  <si>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</si>
  <si>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</si>
  <si>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</si>
  <si>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</si>
  <si>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</si>
  <si>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</si>
  <si>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</si>
  <si>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</si>
  <si>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</si>
  <si>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</si>
  <si>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</si>
  <si>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</si>
  <si>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</si>
  <si>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</si>
  <si>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</si>
  <si>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</si>
  <si>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</si>
  <si>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</si>
  <si>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</si>
  <si>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</si>
  <si>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</si>
  <si>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</si>
  <si>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</si>
  <si>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</si>
  <si>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</si>
  <si>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</si>
  <si>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</si>
  <si>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</si>
  <si>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</si>
  <si>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</si>
  <si>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</si>
  <si>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</si>
  <si>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</si>
  <si>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</si>
  <si>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</si>
  <si>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</si>
  <si>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</si>
  <si>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</si>
  <si>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</si>
  <si>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</si>
  <si>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</si>
  <si>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</si>
  <si>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</si>
  <si>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</si>
  <si>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</si>
  <si>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</si>
  <si>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</si>
  <si>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</si>
  <si>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</si>
  <si>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</si>
  <si>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</si>
  <si>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</si>
  <si>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</si>
  <si>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</si>
  <si>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</si>
  <si>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</si>
  <si>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</si>
  <si>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</si>
  <si>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</si>
  <si>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</si>
  <si>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</si>
  <si>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</si>
  <si>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</si>
  <si>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</si>
  <si>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</si>
  <si>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</si>
  <si>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</si>
  <si>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</si>
  <si>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</si>
  <si>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</si>
  <si>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</si>
  <si>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</si>
  <si>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</si>
  <si>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</si>
  <si>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</si>
  <si>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</si>
  <si>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</si>
  <si>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</si>
  <si>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</si>
  <si>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</si>
  <si>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</si>
  <si>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</si>
  <si>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</si>
  <si>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</si>
  <si>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</si>
  <si>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</si>
  <si>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</si>
  <si>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</si>
  <si>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</si>
  <si>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</si>
  <si>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</si>
  <si>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</si>
  <si>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</si>
  <si>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</si>
  <si>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</si>
  <si>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</si>
  <si>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</si>
  <si>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</si>
  <si>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</si>
  <si>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</si>
  <si>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</si>
  <si>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</si>
  <si>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</si>
  <si>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</si>
  <si>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</si>
  <si>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</si>
  <si>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</si>
  <si>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</si>
  <si>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</si>
  <si>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</si>
  <si>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</si>
  <si>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</si>
  <si>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</si>
  <si>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</si>
  <si>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</si>
  <si>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</si>
  <si>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</si>
  <si>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</si>
  <si>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</si>
  <si>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</si>
  <si>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</si>
  <si>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</si>
  <si>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</si>
  <si>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</si>
  <si>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</si>
  <si>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</si>
  <si>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</si>
  <si>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</si>
  <si>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</si>
  <si>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</si>
  <si>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</si>
  <si>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</si>
  <si>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</si>
  <si>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</si>
  <si>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</si>
  <si>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</si>
  <si>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</si>
  <si>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</si>
  <si>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</si>
  <si>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</si>
  <si>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</si>
  <si>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</si>
  <si>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</si>
  <si>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</si>
  <si>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</si>
  <si>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</si>
  <si>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</si>
  <si>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</si>
  <si>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</si>
  <si>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</si>
  <si>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</si>
  <si>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</si>
  <si>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</si>
  <si>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</si>
  <si>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</si>
  <si>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</si>
  <si>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</si>
  <si>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</si>
  <si>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</si>
  <si>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</si>
  <si>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</si>
  <si>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</si>
  <si>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</si>
  <si>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</si>
  <si>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</si>
  <si>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</si>
  <si>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</si>
  <si>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</si>
  <si>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</si>
  <si>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</si>
  <si>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</si>
  <si>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</si>
  <si>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</si>
  <si>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</si>
  <si>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</si>
  <si>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</si>
  <si>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</si>
  <si>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</si>
  <si>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</si>
  <si>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</si>
  <si>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</si>
  <si>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</si>
  <si>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</si>
  <si>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</si>
  <si>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</si>
  <si>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</si>
  <si>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</si>
  <si>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</si>
  <si>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</si>
  <si>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</si>
  <si>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</si>
  <si>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</si>
  <si>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</si>
  <si>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</si>
  <si>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</si>
  <si>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</si>
  <si>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</si>
  <si>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</si>
  <si>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</si>
  <si>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</si>
  <si>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</si>
  <si>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</si>
  <si>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</si>
  <si>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</si>
  <si>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</si>
  <si>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</si>
  <si>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</si>
  <si>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</si>
  <si>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</si>
  <si>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</si>
  <si>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</si>
  <si>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</si>
  <si>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</si>
  <si>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</si>
  <si>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</si>
  <si>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</si>
  <si>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</si>
  <si>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</si>
  <si>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</si>
  <si>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</si>
  <si>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</si>
  <si>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</si>
  <si>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</si>
  <si>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</si>
  <si>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</si>
  <si>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</si>
  <si>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</si>
  <si>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</si>
  <si>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</si>
  <si>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</si>
  <si>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</si>
  <si>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</si>
  <si>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</si>
  <si>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</si>
  <si>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</si>
  <si>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</si>
  <si>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</si>
  <si>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</si>
  <si>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</si>
  <si>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</si>
  <si>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</si>
  <si>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</si>
  <si>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</si>
  <si>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</si>
  <si>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</si>
  <si>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</si>
  <si>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</si>
  <si>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</si>
  <si>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</si>
  <si>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</si>
  <si>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</si>
  <si>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</si>
  <si>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</si>
  <si>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</si>
  <si>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</si>
  <si>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</si>
  <si>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</si>
  <si>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</si>
  <si>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</si>
  <si>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</si>
  <si>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</si>
  <si>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</si>
  <si>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</si>
  <si>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</si>
  <si>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</si>
  <si>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</si>
  <si>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</si>
  <si>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</si>
  <si>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</si>
  <si>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</si>
  <si>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</si>
  <si>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</si>
  <si>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</si>
  <si>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</si>
  <si>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</si>
  <si>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</si>
  <si>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</si>
  <si>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</si>
  <si>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</si>
  <si>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</si>
  <si>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</si>
  <si>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</si>
  <si>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</si>
  <si>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</si>
  <si>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</si>
  <si>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</si>
  <si>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</si>
  <si>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</si>
  <si>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</si>
  <si>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</si>
  <si>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</si>
  <si>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</si>
  <si>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</si>
  <si>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</si>
  <si>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</si>
  <si>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</si>
  <si>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</si>
  <si>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</si>
  <si>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</si>
  <si>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</si>
  <si>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</si>
  <si>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</si>
  <si>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</si>
  <si>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</si>
  <si>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</si>
  <si>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</si>
  <si>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</si>
  <si>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</si>
  <si>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</si>
  <si>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</si>
  <si>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</si>
  <si>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</si>
  <si>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</si>
  <si>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</si>
  <si>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</si>
  <si>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</si>
  <si>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</si>
  <si>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</si>
  <si>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</si>
  <si>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</si>
  <si>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</si>
  <si>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</si>
  <si>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</si>
  <si>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</si>
  <si>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</si>
  <si>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</si>
  <si>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</si>
  <si>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</si>
  <si>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</si>
  <si>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</si>
  <si>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</si>
  <si>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</si>
  <si>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</si>
  <si>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</si>
  <si>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</si>
  <si>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</si>
  <si>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</si>
  <si>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</si>
  <si>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</si>
  <si>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</si>
  <si>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</si>
  <si>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</si>
  <si>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</si>
  <si>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</si>
  <si>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</si>
  <si>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</si>
  <si>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</si>
  <si>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</si>
  <si>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</si>
  <si>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</si>
  <si>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</si>
  <si>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</si>
  <si>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</si>
  <si>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</si>
  <si>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</si>
  <si>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</si>
  <si>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</si>
  <si>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</si>
  <si>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</si>
  <si>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</si>
  <si>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</si>
  <si>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</si>
  <si>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</si>
  <si>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</si>
  <si>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</si>
  <si>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</si>
  <si>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</si>
  <si>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</si>
  <si>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</si>
  <si>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</si>
  <si>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</si>
  <si>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</si>
  <si>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</si>
  <si>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</si>
  <si>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</si>
  <si>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</si>
  <si>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</si>
  <si>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</si>
  <si>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</si>
  <si>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</si>
  <si>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</si>
  <si>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</si>
  <si>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</si>
  <si>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</si>
  <si>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</si>
  <si>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</si>
  <si>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</si>
  <si>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</si>
  <si>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</si>
  <si>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</si>
  <si>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</si>
  <si>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</si>
  <si>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</si>
  <si>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</si>
  <si>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</si>
  <si>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</si>
  <si>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</si>
  <si>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</si>
  <si>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</si>
  <si>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</si>
  <si>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</si>
  <si>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</si>
  <si>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</si>
  <si>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</si>
  <si>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</si>
  <si>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</si>
  <si>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</si>
  <si>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</si>
  <si>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</si>
  <si>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</si>
  <si>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</si>
  <si>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</si>
  <si>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</si>
  <si>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</si>
  <si>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</si>
  <si>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</si>
  <si>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</si>
  <si>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</si>
  <si>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</si>
  <si>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</si>
  <si>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</si>
  <si>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</si>
  <si>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</si>
  <si>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</si>
  <si>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</si>
  <si>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</si>
  <si>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</si>
  <si>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</si>
  <si>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</si>
  <si>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</si>
  <si>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</si>
  <si>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</si>
  <si>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</si>
  <si>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</si>
  <si>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</si>
  <si>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</si>
  <si>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</si>
  <si>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</si>
  <si>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</si>
  <si>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</si>
  <si>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</si>
  <si>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</si>
  <si>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</si>
  <si>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</si>
  <si>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</si>
  <si>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</si>
  <si>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</si>
  <si>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</si>
  <si>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</si>
  <si>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</si>
  <si>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</si>
  <si>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</si>
  <si>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</si>
  <si>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</si>
  <si>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</si>
  <si>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</si>
  <si>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</si>
  <si>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</si>
  <si>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</si>
  <si>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</si>
  <si>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</si>
  <si>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</si>
  <si>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</si>
  <si>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</si>
  <si>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</si>
  <si>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</si>
  <si>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</si>
  <si>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</si>
  <si>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</si>
  <si>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</si>
  <si>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</si>
  <si>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</si>
  <si>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</si>
  <si>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</si>
  <si>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</si>
  <si>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</si>
  <si>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</si>
  <si>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</si>
  <si>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</si>
  <si>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</si>
  <si>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</si>
  <si>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</si>
  <si>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</si>
  <si>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</si>
  <si>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</si>
  <si>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</si>
  <si>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</si>
  <si>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</si>
  <si>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</si>
  <si>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</si>
  <si>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</si>
  <si>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</si>
  <si>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</si>
  <si>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</si>
  <si>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</si>
  <si>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</si>
  <si>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</si>
  <si>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</si>
  <si>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</si>
  <si>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</si>
  <si>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</si>
  <si>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</si>
  <si>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</si>
  <si>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</si>
  <si>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</si>
  <si>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</si>
  <si>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</si>
  <si>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</si>
  <si>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</si>
  <si>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</si>
  <si>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</si>
  <si>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</si>
  <si>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</si>
  <si>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</si>
  <si>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</si>
  <si>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</si>
  <si>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</si>
  <si>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</si>
  <si>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</si>
  <si>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</si>
  <si>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</si>
  <si>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</si>
  <si>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</si>
  <si>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</si>
  <si>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</si>
  <si>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</si>
  <si>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</si>
  <si>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</si>
  <si>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</si>
  <si>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</si>
  <si>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</si>
  <si>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</si>
  <si>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</si>
  <si>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</si>
  <si>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</si>
  <si>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</si>
  <si>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</si>
  <si>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</si>
  <si>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</si>
  <si>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</si>
  <si>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</si>
  <si>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</si>
  <si>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</si>
  <si>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</si>
  <si>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</si>
  <si>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</si>
  <si>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</si>
  <si>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</si>
  <si>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</si>
  <si>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</si>
  <si>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</si>
  <si>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</si>
  <si>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</si>
  <si>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</si>
  <si>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</si>
  <si>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</si>
  <si>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</si>
  <si>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</si>
  <si>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</si>
  <si>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</si>
  <si>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</si>
  <si>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</si>
  <si>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</si>
  <si>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</si>
  <si>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</si>
  <si>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</si>
  <si>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</si>
  <si>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</si>
  <si>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</si>
  <si>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</si>
  <si>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</si>
  <si>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</si>
  <si>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</si>
  <si>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</si>
  <si>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</si>
  <si>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</si>
  <si>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</si>
  <si>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</si>
  <si>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</si>
  <si>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</si>
  <si>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</si>
  <si>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</si>
  <si>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</si>
  <si>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</si>
  <si>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</si>
  <si>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</si>
  <si>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</si>
  <si>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</si>
  <si>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</si>
  <si>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</si>
  <si>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</si>
  <si>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</si>
  <si>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</si>
  <si>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</si>
  <si>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</si>
  <si>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</si>
  <si>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</si>
  <si>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</si>
  <si>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</si>
  <si>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</si>
  <si>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</si>
  <si>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</si>
  <si>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</si>
  <si>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</si>
  <si>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</si>
  <si>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</si>
  <si>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</si>
  <si>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</si>
  <si>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</si>
  <si>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</si>
  <si>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</si>
  <si>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</si>
  <si>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</si>
  <si>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</si>
  <si>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</si>
  <si>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</si>
  <si>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</si>
  <si>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</si>
  <si>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</si>
  <si>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</si>
  <si>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</si>
  <si>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</si>
  <si>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</si>
  <si>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</si>
  <si>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</si>
  <si>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</si>
  <si>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</si>
  <si>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</si>
  <si>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</si>
  <si>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</si>
  <si>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</si>
  <si>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</si>
  <si>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</si>
  <si>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</si>
  <si>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</si>
  <si>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</si>
  <si>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</si>
  <si>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</si>
  <si>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</si>
  <si>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</si>
  <si>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</si>
  <si>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</si>
  <si>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</si>
  <si>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</si>
  <si>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</si>
  <si>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</si>
  <si>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</si>
  <si>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</si>
  <si>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</si>
  <si>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</si>
  <si>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</si>
  <si>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</si>
  <si>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</si>
  <si>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</si>
  <si>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</si>
  <si>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</si>
  <si>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</si>
  <si>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</si>
  <si>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</si>
  <si>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</si>
  <si>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</si>
  <si>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</si>
  <si>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</si>
  <si>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</si>
  <si>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</si>
  <si>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</si>
  <si>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</si>
  <si>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</si>
  <si>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</si>
  <si>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</si>
  <si>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</si>
  <si>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</si>
  <si>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</si>
  <si>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</si>
  <si>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</si>
  <si>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</si>
  <si>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</si>
  <si>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</si>
  <si>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</si>
  <si>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</si>
  <si>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</si>
  <si>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</si>
  <si>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</si>
  <si>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</si>
  <si>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</si>
  <si>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</si>
  <si>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</si>
  <si>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</si>
  <si>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</si>
  <si>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</si>
  <si>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</si>
  <si>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</si>
  <si>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</si>
  <si>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</si>
  <si>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</si>
  <si>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</si>
  <si>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</si>
  <si>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</si>
  <si>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</si>
  <si>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</si>
  <si>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</si>
  <si>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</si>
  <si>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</si>
  <si>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</si>
  <si>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</si>
  <si>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</si>
  <si>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</si>
  <si>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</si>
  <si>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</si>
  <si>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</si>
  <si>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</si>
  <si>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</si>
  <si>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</si>
  <si>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</si>
  <si>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</si>
  <si>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</si>
  <si>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</si>
  <si>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</si>
  <si>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</si>
  <si>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</si>
  <si>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</si>
  <si>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</si>
  <si>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</si>
  <si>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</si>
  <si>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</si>
  <si>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</si>
  <si>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</si>
  <si>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</si>
  <si>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</si>
  <si>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</si>
  <si>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</si>
  <si>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</si>
  <si>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</si>
  <si>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</si>
  <si>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</si>
  <si>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</si>
  <si>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</si>
  <si>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</si>
  <si>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</si>
  <si>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</si>
  <si>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</si>
  <si>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</si>
  <si>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</si>
  <si>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</si>
  <si>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</si>
  <si>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</si>
  <si>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</si>
  <si>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</si>
  <si>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</si>
  <si>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</si>
  <si>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</si>
  <si>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</si>
  <si>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</si>
  <si>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</si>
  <si>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</si>
  <si>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</si>
  <si>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</si>
  <si>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</si>
  <si>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</si>
  <si>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</si>
  <si>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</si>
  <si>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</si>
  <si>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</si>
  <si>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</si>
  <si>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</si>
  <si>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</si>
  <si>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</si>
  <si>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</si>
  <si>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</si>
  <si>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</si>
  <si>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</si>
  <si>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</si>
  <si>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</si>
  <si>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</si>
  <si>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</si>
  <si>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</si>
  <si>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</si>
  <si>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</si>
  <si>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</si>
  <si>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</si>
  <si>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</si>
  <si>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</si>
  <si>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</si>
  <si>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</si>
  <si>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</si>
  <si>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</si>
  <si>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</si>
  <si>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</si>
  <si>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</si>
  <si>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</si>
  <si>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</si>
  <si>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</si>
  <si>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</si>
  <si>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</si>
  <si>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</si>
  <si>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</si>
  <si>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</si>
  <si>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</si>
  <si>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</si>
  <si>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</si>
  <si>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</si>
  <si>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</si>
  <si>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</si>
  <si>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</si>
  <si>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</si>
  <si>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</si>
  <si>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</si>
  <si>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</si>
  <si>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</si>
  <si>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</si>
  <si>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</si>
  <si>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</si>
  <si>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</si>
  <si>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</si>
  <si>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</si>
  <si>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</si>
  <si>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</si>
  <si>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</si>
  <si>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</si>
  <si>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</si>
  <si>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</si>
  <si>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</si>
  <si>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</si>
  <si>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</si>
  <si>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</si>
  <si>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</si>
  <si>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</si>
  <si>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</si>
  <si>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</si>
  <si>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</si>
  <si>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</si>
  <si>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</si>
  <si>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</si>
  <si>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</si>
  <si>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</si>
  <si>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</si>
  <si>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</si>
  <si>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</si>
  <si>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</si>
  <si>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</si>
  <si>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</si>
  <si>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</si>
  <si>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</si>
  <si>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</si>
  <si>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</si>
  <si>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</si>
  <si>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</si>
  <si>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</si>
  <si>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</si>
  <si>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</si>
  <si>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</si>
  <si>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</si>
  <si>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</si>
  <si>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</si>
  <si>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</si>
  <si>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</si>
  <si>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</si>
  <si>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</si>
  <si>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</si>
  <si>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</si>
  <si>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</si>
  <si>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</si>
  <si>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</si>
  <si>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</si>
  <si>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</si>
  <si>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</si>
  <si>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</si>
  <si>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</si>
  <si>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</si>
  <si>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</si>
  <si>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</si>
  <si>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</si>
  <si>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</si>
  <si>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</si>
  <si>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</si>
  <si>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</si>
  <si>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</si>
  <si>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</si>
  <si>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</si>
  <si>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</si>
  <si>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</si>
  <si>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</si>
  <si>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</si>
  <si>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</si>
  <si>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</si>
  <si>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</si>
  <si>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</si>
  <si>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</si>
  <si>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</si>
  <si>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</si>
  <si>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</si>
  <si>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</si>
  <si>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</si>
  <si>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</si>
  <si>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</si>
  <si>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</si>
  <si>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</si>
  <si>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</si>
  <si>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</si>
  <si>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</si>
  <si>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</si>
  <si>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</si>
  <si>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</si>
  <si>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</si>
  <si>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</si>
  <si>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</si>
  <si>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</si>
  <si>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</si>
  <si>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</si>
  <si>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</si>
  <si>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</si>
  <si>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</si>
  <si>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</si>
  <si>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</si>
  <si>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</si>
  <si>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</si>
  <si>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</si>
  <si>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</si>
  <si>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</si>
  <si>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</si>
  <si>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</si>
  <si>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</si>
  <si>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</si>
  <si>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</si>
  <si>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</si>
  <si>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</si>
  <si>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</si>
  <si>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</si>
  <si>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</si>
  <si>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</si>
  <si>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</si>
  <si>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</si>
  <si>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</si>
  <si>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</si>
  <si>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</si>
  <si>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</si>
  <si>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</si>
  <si>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</si>
  <si>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</si>
  <si>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</si>
  <si>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</si>
  <si>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</si>
  <si>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</si>
  <si>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</si>
  <si>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</si>
  <si>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</si>
  <si>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</si>
  <si>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</si>
  <si>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</si>
  <si>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</si>
  <si>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</si>
  <si>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</si>
  <si>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</si>
  <si>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</si>
  <si>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</si>
  <si>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</si>
  <si>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</si>
  <si>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</si>
  <si>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</si>
  <si>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</si>
  <si>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</si>
  <si>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</si>
  <si>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</si>
  <si>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</si>
  <si>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</si>
  <si>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</si>
  <si>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</si>
  <si>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</si>
  <si>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</si>
  <si>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</si>
  <si>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</si>
  <si>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</si>
  <si>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</si>
  <si>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</si>
  <si>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</si>
  <si>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</si>
  <si>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</si>
  <si>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</si>
  <si>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</si>
  <si>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</si>
  <si>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</si>
  <si>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</si>
  <si>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</si>
  <si>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</si>
  <si>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</si>
  <si>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</si>
  <si>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</si>
  <si>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</si>
  <si>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</si>
  <si>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</si>
  <si>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</si>
  <si>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</si>
  <si>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</si>
  <si>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</si>
  <si>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</si>
  <si>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</si>
  <si>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</si>
  <si>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</si>
  <si>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</si>
  <si>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</si>
  <si>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</si>
  <si>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</si>
  <si>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</si>
  <si>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</si>
  <si>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</si>
  <si>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</si>
  <si>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</si>
  <si>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</si>
  <si>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</si>
  <si>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</si>
  <si>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</si>
  <si>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</si>
  <si>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</si>
  <si>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</si>
  <si>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</si>
  <si>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</si>
  <si>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</si>
  <si>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</si>
  <si>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</si>
  <si>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</si>
  <si>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</si>
  <si>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</si>
  <si>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</si>
  <si>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</si>
  <si>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</si>
  <si>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</si>
  <si>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</si>
  <si>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</si>
  <si>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</si>
  <si>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</si>
  <si>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</si>
  <si>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</si>
  <si>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</si>
  <si>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</si>
  <si>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</si>
  <si>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</si>
  <si>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</si>
  <si>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</si>
  <si>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</si>
  <si>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</si>
  <si>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</si>
  <si>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</si>
  <si>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</si>
  <si>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</si>
  <si>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</si>
  <si>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</si>
  <si>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</si>
  <si>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</si>
  <si>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</si>
  <si>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</si>
  <si>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</si>
  <si>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</si>
  <si>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</si>
  <si>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</si>
  <si>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</si>
  <si>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</si>
  <si>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</si>
  <si>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</si>
  <si>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</si>
  <si>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</si>
  <si>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</si>
  <si>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</si>
  <si>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</si>
  <si>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</si>
  <si>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</si>
  <si>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</si>
  <si>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</si>
  <si>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</si>
  <si>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</si>
  <si>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</si>
  <si>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</si>
  <si>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</si>
  <si>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</si>
  <si>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</si>
  <si>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</si>
  <si>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</si>
  <si>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</si>
  <si>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</si>
  <si>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</si>
  <si>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</si>
  <si>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</si>
  <si>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</si>
  <si>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</si>
  <si>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</si>
  <si>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</si>
  <si>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</si>
  <si>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</si>
  <si>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</si>
  <si>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</si>
  <si>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</si>
  <si>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</si>
  <si>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</si>
  <si>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</si>
  <si>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</si>
  <si>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</si>
  <si>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</si>
  <si>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</si>
  <si>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</si>
  <si>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</si>
  <si>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</si>
  <si>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</si>
  <si>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</si>
  <si>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</si>
  <si>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</si>
  <si>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</si>
  <si>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</si>
  <si>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</si>
  <si>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</si>
  <si>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</si>
  <si>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</si>
  <si>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</si>
  <si>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</si>
  <si>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</si>
  <si>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</si>
  <si>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</si>
  <si>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</si>
  <si>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</si>
  <si>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</si>
  <si>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</si>
  <si>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</si>
  <si>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</si>
  <si>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</si>
  <si>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</si>
  <si>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</si>
  <si>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</si>
  <si>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</si>
  <si>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</si>
  <si>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[0.369795]</t>
  </si>
  <si>
    <t>0 [0.776497]</t>
  </si>
  <si>
    <t>0 [1.187463]</t>
  </si>
  <si>
    <t>0 [1.581320]</t>
  </si>
  <si>
    <t>0 [2.006160]</t>
  </si>
  <si>
    <t>0 [2.403170]</t>
  </si>
  <si>
    <t>0 [2.807622]</t>
  </si>
  <si>
    <t>0 [3.217055]</t>
  </si>
  <si>
    <t>0 [3.614317]</t>
  </si>
  <si>
    <t>0 [4.023916]</t>
  </si>
  <si>
    <t>0 [4.438842]</t>
  </si>
  <si>
    <t>0 [4.846522]</t>
  </si>
  <si>
    <t>0 [5.246564]</t>
  </si>
  <si>
    <t>0 [5.640947]</t>
  </si>
  <si>
    <t>0 [6.063613]</t>
  </si>
  <si>
    <t>0 [6.483044]</t>
  </si>
  <si>
    <t>0 [6.873493]</t>
  </si>
  <si>
    <t>0 [7.284327]</t>
  </si>
  <si>
    <t>0 [7.690936]</t>
  </si>
  <si>
    <t>0 [8.096237]</t>
  </si>
  <si>
    <t>0 [8.495315]</t>
  </si>
  <si>
    <t>0 [8.902990]</t>
  </si>
  <si>
    <t>0 [9.309967]</t>
  </si>
  <si>
    <t>0 [9.712182]</t>
  </si>
  <si>
    <t>vision^JjoU^1^1^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</si>
</sst>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74.146450000000002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3.3812100000000003</c:v>
                </c:pt>
                <c:pt idx="1">
                  <c:v>3.3744700000000001</c:v>
                </c:pt>
                <c:pt idx="2">
                  <c:v>3.3161700000000001</c:v>
                </c:pt>
                <c:pt idx="3">
                  <c:v>3.2530799999999997</c:v>
                </c:pt>
                <c:pt idx="4">
                  <c:v>3.1807999999999996</c:v>
                </c:pt>
                <c:pt idx="5">
                  <c:v>3.1387700000000001</c:v>
                </c:pt>
                <c:pt idx="6">
                  <c:v>3.1979000000000002</c:v>
                </c:pt>
                <c:pt idx="7">
                  <c:v>3.24763</c:v>
                </c:pt>
                <c:pt idx="8">
                  <c:v>3.2341500000000001</c:v>
                </c:pt>
                <c:pt idx="9">
                  <c:v>3.29081</c:v>
                </c:pt>
                <c:pt idx="10">
                  <c:v>3.3698299999999999</c:v>
                </c:pt>
                <c:pt idx="11">
                  <c:v>3.4329000000000001</c:v>
                </c:pt>
                <c:pt idx="12">
                  <c:v>3.4791699999999999</c:v>
                </c:pt>
                <c:pt idx="13">
                  <c:v>3.4702600000000001</c:v>
                </c:pt>
                <c:pt idx="14">
                  <c:v>3.3942199999999998</c:v>
                </c:pt>
                <c:pt idx="15">
                  <c:v>3.3714399999999998</c:v>
                </c:pt>
                <c:pt idx="16">
                  <c:v>3.37019</c:v>
                </c:pt>
                <c:pt idx="17">
                  <c:v>3.3646700000000003</c:v>
                </c:pt>
                <c:pt idx="18">
                  <c:v>3.3777400000000002</c:v>
                </c:pt>
                <c:pt idx="19">
                  <c:v>3.3674200000000001</c:v>
                </c:pt>
                <c:pt idx="20">
                  <c:v>3.3624700000000001</c:v>
                </c:pt>
                <c:pt idx="21">
                  <c:v>3.35825</c:v>
                </c:pt>
                <c:pt idx="22">
                  <c:v>3.3586399999999998</c:v>
                </c:pt>
                <c:pt idx="23">
                  <c:v>3.3630599999999999</c:v>
                </c:pt>
                <c:pt idx="24">
                  <c:v>3.3636700000000004</c:v>
                </c:pt>
              </c:numCache>
            </c:numRef>
          </c:xVal>
          <c:yVal>
            <c:numRef>
              <c:f>[0]!FT_PH</c:f>
              <c:numCache>
                <c:formatCode>0.00</c:formatCode>
                <c:ptCount val="25"/>
                <c:pt idx="0">
                  <c:v>54.879100000000001</c:v>
                </c:pt>
                <c:pt idx="1">
                  <c:v>54.757300000000001</c:v>
                </c:pt>
                <c:pt idx="2">
                  <c:v>53.421700000000008</c:v>
                </c:pt>
                <c:pt idx="3">
                  <c:v>52.524000000000001</c:v>
                </c:pt>
                <c:pt idx="4">
                  <c:v>52.288100000000007</c:v>
                </c:pt>
                <c:pt idx="5">
                  <c:v>52.030200000000008</c:v>
                </c:pt>
                <c:pt idx="6">
                  <c:v>51.774100000000004</c:v>
                </c:pt>
                <c:pt idx="7">
                  <c:v>52.486400000000003</c:v>
                </c:pt>
                <c:pt idx="8">
                  <c:v>53.762900000000002</c:v>
                </c:pt>
                <c:pt idx="9">
                  <c:v>54.560299999999998</c:v>
                </c:pt>
                <c:pt idx="10">
                  <c:v>55.928599999999996</c:v>
                </c:pt>
                <c:pt idx="11">
                  <c:v>57.459899999999998</c:v>
                </c:pt>
                <c:pt idx="12">
                  <c:v>58.676099999999998</c:v>
                </c:pt>
                <c:pt idx="13">
                  <c:v>59.994700000000002</c:v>
                </c:pt>
                <c:pt idx="14">
                  <c:v>61.120399999999997</c:v>
                </c:pt>
                <c:pt idx="15">
                  <c:v>61.523899999999998</c:v>
                </c:pt>
                <c:pt idx="16">
                  <c:v>62.1173</c:v>
                </c:pt>
                <c:pt idx="17">
                  <c:v>62.778700000000001</c:v>
                </c:pt>
                <c:pt idx="18">
                  <c:v>63.073100000000004</c:v>
                </c:pt>
                <c:pt idx="19">
                  <c:v>63.536300000000004</c:v>
                </c:pt>
                <c:pt idx="20">
                  <c:v>63.851199999999999</c:v>
                </c:pt>
                <c:pt idx="21">
                  <c:v>64.105599999999995</c:v>
                </c:pt>
                <c:pt idx="22">
                  <c:v>64.445999999999998</c:v>
                </c:pt>
                <c:pt idx="23">
                  <c:v>64.724199999999996</c:v>
                </c:pt>
                <c:pt idx="24">
                  <c:v>64.992399999999989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3.3744700000000001</c:v>
                </c:pt>
                <c:pt idx="1">
                  <c:v>3.35825</c:v>
                </c:pt>
              </c:numCache>
            </c:numRef>
          </c:xVal>
          <c:yVal>
            <c:numRef>
              <c:f>info!$W$2:$W$3</c:f>
              <c:numCache>
                <c:formatCode>0.00</c:formatCode>
                <c:ptCount val="2"/>
                <c:pt idx="0">
                  <c:v>54.757300000000001</c:v>
                </c:pt>
                <c:pt idx="1">
                  <c:v>64.105599999999995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3.1979000000000002</c:v>
                </c:pt>
                <c:pt idx="1">
                  <c:v>3.3636700000000004</c:v>
                </c:pt>
              </c:numCache>
            </c:numRef>
          </c:xVal>
          <c:yVal>
            <c:numRef>
              <c:f>info!$W$15:$W$16</c:f>
              <c:numCache>
                <c:formatCode>0.00_ </c:formatCode>
                <c:ptCount val="2"/>
                <c:pt idx="0">
                  <c:v>51.774100000000004</c:v>
                </c:pt>
                <c:pt idx="1">
                  <c:v>64.992399999999989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3.3367567999999999</c:v>
                </c:pt>
              </c:numCache>
            </c:numRef>
          </c:xVal>
          <c:yVal>
            <c:numRef>
              <c:f>info!$N$9</c:f>
              <c:numCache>
                <c:formatCode>0.0</c:formatCode>
                <c:ptCount val="1"/>
                <c:pt idx="0">
                  <c:v>58.432499999999997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32.2744</c:v>
                </c:pt>
                <c:pt idx="1">
                  <c:v>23.3432</c:v>
                </c:pt>
                <c:pt idx="2">
                  <c:v>15.2967</c:v>
                </c:pt>
                <c:pt idx="3">
                  <c:v>28.5825</c:v>
                </c:pt>
                <c:pt idx="4">
                  <c:v>75.693299999999994</c:v>
                </c:pt>
                <c:pt idx="5">
                  <c:v>56.9602</c:v>
                </c:pt>
                <c:pt idx="6">
                  <c:v>26.0854</c:v>
                </c:pt>
                <c:pt idx="7">
                  <c:v>67.467299999999994</c:v>
                </c:pt>
                <c:pt idx="8">
                  <c:v>30.026199999999999</c:v>
                </c:pt>
                <c:pt idx="9">
                  <c:v>42.489400000000003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74.15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74.146450000000002</c:v>
                </c:pt>
                <c:pt idx="1">
                  <c:v>74.146450000000002</c:v>
                </c:pt>
                <c:pt idx="2">
                  <c:v>0</c:v>
                </c:pt>
              </c:numCache>
            </c:numRef>
          </c:xVal>
          <c:yVal>
            <c:numRef>
              <c:f>'R2'!$I$5:$I$7</c:f>
              <c:numCache>
                <c:formatCode>0.0_ </c:formatCode>
                <c:ptCount val="3"/>
                <c:pt idx="0">
                  <c:v>0</c:v>
                </c:pt>
                <c:pt idx="1">
                  <c:v>86.163134248791266</c:v>
                </c:pt>
                <c:pt idx="2">
                  <c:v>86.163134248791266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55.203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55.202666666666666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1.65608</c:v>
                </c:pt>
                <c:pt idx="1">
                  <c:v>1.65608</c:v>
                </c:pt>
                <c:pt idx="2">
                  <c:v>0</c:v>
                </c:pt>
              </c:numCache>
            </c:numRef>
          </c:xVal>
          <c:yVal>
            <c:numRef>
              <c:f>'R3'!$I$6:$I$8</c:f>
              <c:numCache>
                <c:formatCode>0.0_ </c:formatCode>
                <c:ptCount val="3"/>
                <c:pt idx="0">
                  <c:v>0</c:v>
                </c:pt>
                <c:pt idx="1">
                  <c:v>36.612010212680424</c:v>
                </c:pt>
                <c:pt idx="2">
                  <c:v>36.612010212680424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-1.0752287180947551</c:v>
                </c:pt>
                <c:pt idx="1">
                  <c:v>-1.0752287180947551</c:v>
                </c:pt>
                <c:pt idx="2">
                  <c:v>-7</c:v>
                </c:pt>
              </c:numCache>
            </c:numRef>
          </c:xVal>
          <c:yVal>
            <c:numRef>
              <c:f>'R'!$I$5:$I$7</c:f>
              <c:numCache>
                <c:formatCode>0.0_ </c:formatCode>
                <c:ptCount val="3"/>
                <c:pt idx="0">
                  <c:v>0</c:v>
                </c:pt>
                <c:pt idx="1">
                  <c:v>39.956735811985247</c:v>
                </c:pt>
                <c:pt idx="2">
                  <c:v>39.956735811985247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-1.0752287180947551</c:v>
                </c:pt>
              </c:numCache>
            </c:numRef>
          </c:xVal>
          <c:yVal>
            <c:numRef>
              <c:f>'R'!$I$4</c:f>
              <c:numCache>
                <c:formatCode>0.00_ </c:formatCode>
                <c:ptCount val="1"/>
                <c:pt idx="0">
                  <c:v>39.956735811985247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74.146450000000002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3.3812100000000003</c:v>
                </c:pt>
                <c:pt idx="1">
                  <c:v>3.3744700000000001</c:v>
                </c:pt>
                <c:pt idx="2">
                  <c:v>3.3161700000000001</c:v>
                </c:pt>
                <c:pt idx="3">
                  <c:v>3.2530799999999997</c:v>
                </c:pt>
                <c:pt idx="4">
                  <c:v>3.1807999999999996</c:v>
                </c:pt>
                <c:pt idx="5">
                  <c:v>3.1387700000000001</c:v>
                </c:pt>
                <c:pt idx="6">
                  <c:v>3.1979000000000002</c:v>
                </c:pt>
                <c:pt idx="7">
                  <c:v>3.24763</c:v>
                </c:pt>
                <c:pt idx="8">
                  <c:v>3.2341500000000001</c:v>
                </c:pt>
                <c:pt idx="9">
                  <c:v>3.29081</c:v>
                </c:pt>
                <c:pt idx="10">
                  <c:v>3.3698299999999999</c:v>
                </c:pt>
                <c:pt idx="11">
                  <c:v>3.4329000000000001</c:v>
                </c:pt>
                <c:pt idx="12">
                  <c:v>3.4791699999999999</c:v>
                </c:pt>
                <c:pt idx="13">
                  <c:v>3.4702600000000001</c:v>
                </c:pt>
                <c:pt idx="14">
                  <c:v>3.3942199999999998</c:v>
                </c:pt>
                <c:pt idx="15">
                  <c:v>3.3714399999999998</c:v>
                </c:pt>
                <c:pt idx="16">
                  <c:v>3.37019</c:v>
                </c:pt>
                <c:pt idx="17">
                  <c:v>3.3646700000000003</c:v>
                </c:pt>
                <c:pt idx="18">
                  <c:v>3.3777400000000002</c:v>
                </c:pt>
                <c:pt idx="19">
                  <c:v>3.3674200000000001</c:v>
                </c:pt>
                <c:pt idx="20">
                  <c:v>3.3624700000000001</c:v>
                </c:pt>
                <c:pt idx="21">
                  <c:v>3.35825</c:v>
                </c:pt>
                <c:pt idx="22">
                  <c:v>3.3586399999999998</c:v>
                </c:pt>
                <c:pt idx="23">
                  <c:v>3.3630599999999999</c:v>
                </c:pt>
                <c:pt idx="24">
                  <c:v>3.3636700000000004</c:v>
                </c:pt>
              </c:numCache>
            </c:numRef>
          </c:xVal>
          <c:yVal>
            <c:numRef>
              <c:f>[0]!FT_PH</c:f>
              <c:numCache>
                <c:formatCode>0.00</c:formatCode>
                <c:ptCount val="25"/>
                <c:pt idx="0">
                  <c:v>54.879100000000001</c:v>
                </c:pt>
                <c:pt idx="1">
                  <c:v>54.757300000000001</c:v>
                </c:pt>
                <c:pt idx="2">
                  <c:v>53.421700000000008</c:v>
                </c:pt>
                <c:pt idx="3">
                  <c:v>52.524000000000001</c:v>
                </c:pt>
                <c:pt idx="4">
                  <c:v>52.288100000000007</c:v>
                </c:pt>
                <c:pt idx="5">
                  <c:v>52.030200000000008</c:v>
                </c:pt>
                <c:pt idx="6">
                  <c:v>51.774100000000004</c:v>
                </c:pt>
                <c:pt idx="7">
                  <c:v>52.486400000000003</c:v>
                </c:pt>
                <c:pt idx="8">
                  <c:v>53.762900000000002</c:v>
                </c:pt>
                <c:pt idx="9">
                  <c:v>54.560299999999998</c:v>
                </c:pt>
                <c:pt idx="10">
                  <c:v>55.928599999999996</c:v>
                </c:pt>
                <c:pt idx="11">
                  <c:v>57.459899999999998</c:v>
                </c:pt>
                <c:pt idx="12">
                  <c:v>58.676099999999998</c:v>
                </c:pt>
                <c:pt idx="13">
                  <c:v>59.994700000000002</c:v>
                </c:pt>
                <c:pt idx="14">
                  <c:v>61.120399999999997</c:v>
                </c:pt>
                <c:pt idx="15">
                  <c:v>61.523899999999998</c:v>
                </c:pt>
                <c:pt idx="16">
                  <c:v>62.1173</c:v>
                </c:pt>
                <c:pt idx="17">
                  <c:v>62.778700000000001</c:v>
                </c:pt>
                <c:pt idx="18">
                  <c:v>63.073100000000004</c:v>
                </c:pt>
                <c:pt idx="19">
                  <c:v>63.536300000000004</c:v>
                </c:pt>
                <c:pt idx="20">
                  <c:v>63.851199999999999</c:v>
                </c:pt>
                <c:pt idx="21">
                  <c:v>64.105599999999995</c:v>
                </c:pt>
                <c:pt idx="22">
                  <c:v>64.445999999999998</c:v>
                </c:pt>
                <c:pt idx="23">
                  <c:v>64.724199999999996</c:v>
                </c:pt>
                <c:pt idx="24">
                  <c:v>64.992399999999989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3.3744700000000001</c:v>
                </c:pt>
                <c:pt idx="1">
                  <c:v>3.35825</c:v>
                </c:pt>
              </c:numCache>
            </c:numRef>
          </c:xVal>
          <c:yVal>
            <c:numRef>
              <c:f>info!$W$2:$W$3</c:f>
              <c:numCache>
                <c:formatCode>0.00</c:formatCode>
                <c:ptCount val="2"/>
                <c:pt idx="0">
                  <c:v>54.757300000000001</c:v>
                </c:pt>
                <c:pt idx="1">
                  <c:v>64.105599999999995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3.1979000000000002</c:v>
                </c:pt>
                <c:pt idx="1">
                  <c:v>3.3636700000000004</c:v>
                </c:pt>
              </c:numCache>
            </c:numRef>
          </c:xVal>
          <c:yVal>
            <c:numRef>
              <c:f>info!$W$15:$W$16</c:f>
              <c:numCache>
                <c:formatCode>0.00_ </c:formatCode>
                <c:ptCount val="2"/>
                <c:pt idx="0">
                  <c:v>51.774100000000004</c:v>
                </c:pt>
                <c:pt idx="1">
                  <c:v>64.992399999999989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3.3367567999999999</c:v>
                </c:pt>
              </c:numCache>
            </c:numRef>
          </c:xVal>
          <c:yVal>
            <c:numRef>
              <c:f>info!$N$9</c:f>
              <c:numCache>
                <c:formatCode>0.0</c:formatCode>
                <c:ptCount val="1"/>
                <c:pt idx="0">
                  <c:v>58.432499999999997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32.2744</c:v>
                </c:pt>
                <c:pt idx="1">
                  <c:v>23.3432</c:v>
                </c:pt>
                <c:pt idx="2">
                  <c:v>15.2967</c:v>
                </c:pt>
                <c:pt idx="3">
                  <c:v>28.5825</c:v>
                </c:pt>
                <c:pt idx="4">
                  <c:v>75.693299999999994</c:v>
                </c:pt>
                <c:pt idx="5">
                  <c:v>56.9602</c:v>
                </c:pt>
                <c:pt idx="6">
                  <c:v>26.0854</c:v>
                </c:pt>
                <c:pt idx="7">
                  <c:v>67.467299999999994</c:v>
                </c:pt>
                <c:pt idx="8">
                  <c:v>30.026199999999999</c:v>
                </c:pt>
                <c:pt idx="9">
                  <c:v>42.489400000000003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74.15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74.146450000000002</c:v>
                </c:pt>
                <c:pt idx="1">
                  <c:v>74.146450000000002</c:v>
                </c:pt>
                <c:pt idx="2">
                  <c:v>0</c:v>
                </c:pt>
              </c:numCache>
            </c:numRef>
          </c:xVal>
          <c:yVal>
            <c:numRef>
              <c:f>'R2'!$I$5:$I$7</c:f>
              <c:numCache>
                <c:formatCode>0.0_ </c:formatCode>
                <c:ptCount val="3"/>
                <c:pt idx="0">
                  <c:v>0</c:v>
                </c:pt>
                <c:pt idx="1">
                  <c:v>86.163134248791266</c:v>
                </c:pt>
                <c:pt idx="2">
                  <c:v>86.163134248791266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55.203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55.202666666666666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1.65608</c:v>
                </c:pt>
                <c:pt idx="1">
                  <c:v>1.65608</c:v>
                </c:pt>
                <c:pt idx="2">
                  <c:v>0</c:v>
                </c:pt>
              </c:numCache>
            </c:numRef>
          </c:xVal>
          <c:yVal>
            <c:numRef>
              <c:f>'R3'!$I$6:$I$8</c:f>
              <c:numCache>
                <c:formatCode>0.0_ </c:formatCode>
                <c:ptCount val="3"/>
                <c:pt idx="0">
                  <c:v>0</c:v>
                </c:pt>
                <c:pt idx="1">
                  <c:v>36.612010212680424</c:v>
                </c:pt>
                <c:pt idx="2">
                  <c:v>36.612010212680424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-1.0752287180947551</c:v>
                </c:pt>
                <c:pt idx="1">
                  <c:v>-1.0752287180947551</c:v>
                </c:pt>
                <c:pt idx="2">
                  <c:v>-7</c:v>
                </c:pt>
              </c:numCache>
            </c:numRef>
          </c:xVal>
          <c:yVal>
            <c:numRef>
              <c:f>'R'!$I$5:$I$7</c:f>
              <c:numCache>
                <c:formatCode>0.0_ </c:formatCode>
                <c:ptCount val="3"/>
                <c:pt idx="0">
                  <c:v>0</c:v>
                </c:pt>
                <c:pt idx="1">
                  <c:v>39.956735811985247</c:v>
                </c:pt>
                <c:pt idx="2">
                  <c:v>39.956735811985247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-1.0752287180947551</c:v>
                </c:pt>
              </c:numCache>
            </c:numRef>
          </c:xVal>
          <c:yVal>
            <c:numRef>
              <c:f>'R'!$I$4</c:f>
              <c:numCache>
                <c:formatCode>0.00_ </c:formatCode>
                <c:ptCount val="1"/>
                <c:pt idx="0">
                  <c:v>39.956735811985247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0.36979499999999998</c:v>
                </c:pt>
                <c:pt idx="2">
                  <c:v>0.77649699999999999</c:v>
                </c:pt>
                <c:pt idx="3">
                  <c:v>1.18746</c:v>
                </c:pt>
                <c:pt idx="4">
                  <c:v>1.5813200000000001</c:v>
                </c:pt>
                <c:pt idx="5">
                  <c:v>2.0061599999999999</c:v>
                </c:pt>
                <c:pt idx="6">
                  <c:v>2.4031699999999998</c:v>
                </c:pt>
                <c:pt idx="7">
                  <c:v>2.80762</c:v>
                </c:pt>
                <c:pt idx="8">
                  <c:v>3.21706</c:v>
                </c:pt>
                <c:pt idx="9">
                  <c:v>3.6143200000000002</c:v>
                </c:pt>
                <c:pt idx="10">
                  <c:v>4.0239200000000004</c:v>
                </c:pt>
                <c:pt idx="11">
                  <c:v>4.4388399999999999</c:v>
                </c:pt>
                <c:pt idx="12">
                  <c:v>4.8465199999999999</c:v>
                </c:pt>
                <c:pt idx="13">
                  <c:v>5.2465599999999997</c:v>
                </c:pt>
                <c:pt idx="14">
                  <c:v>5.6409500000000001</c:v>
                </c:pt>
                <c:pt idx="15">
                  <c:v>6.0636099999999997</c:v>
                </c:pt>
                <c:pt idx="16">
                  <c:v>6.4830399999999999</c:v>
                </c:pt>
                <c:pt idx="17">
                  <c:v>6.8734900000000003</c:v>
                </c:pt>
                <c:pt idx="18">
                  <c:v>7.2843299999999997</c:v>
                </c:pt>
                <c:pt idx="19">
                  <c:v>7.6909400000000003</c:v>
                </c:pt>
                <c:pt idx="20">
                  <c:v>8.0962399999999999</c:v>
                </c:pt>
                <c:pt idx="21">
                  <c:v>8.4953099999999999</c:v>
                </c:pt>
                <c:pt idx="22">
                  <c:v>8.9029900000000008</c:v>
                </c:pt>
                <c:pt idx="23">
                  <c:v>9.3099699999999999</c:v>
                </c:pt>
                <c:pt idx="24">
                  <c:v>9.71218</c:v>
                </c:pt>
              </c:numCache>
            </c:numRef>
          </c:xVal>
          <c:yVal>
            <c:numRef>
              <c:f>FT!$J$2:$J$2000</c:f>
              <c:numCache>
                <c:formatCode>General</c:formatCode>
                <c:ptCount val="1999"/>
                <c:pt idx="0">
                  <c:v>3.3812100000000003</c:v>
                </c:pt>
                <c:pt idx="1">
                  <c:v>3.3744700000000001</c:v>
                </c:pt>
                <c:pt idx="2">
                  <c:v>3.3161700000000001</c:v>
                </c:pt>
                <c:pt idx="3">
                  <c:v>3.2530799999999997</c:v>
                </c:pt>
                <c:pt idx="4">
                  <c:v>3.1807999999999996</c:v>
                </c:pt>
                <c:pt idx="5">
                  <c:v>3.1387700000000001</c:v>
                </c:pt>
                <c:pt idx="6">
                  <c:v>3.1979000000000002</c:v>
                </c:pt>
                <c:pt idx="7">
                  <c:v>3.24763</c:v>
                </c:pt>
                <c:pt idx="8">
                  <c:v>3.2341500000000001</c:v>
                </c:pt>
                <c:pt idx="9">
                  <c:v>3.29081</c:v>
                </c:pt>
                <c:pt idx="10">
                  <c:v>3.3698299999999999</c:v>
                </c:pt>
                <c:pt idx="11">
                  <c:v>3.4329000000000001</c:v>
                </c:pt>
                <c:pt idx="12">
                  <c:v>3.4791699999999999</c:v>
                </c:pt>
                <c:pt idx="13">
                  <c:v>3.4702600000000001</c:v>
                </c:pt>
                <c:pt idx="14">
                  <c:v>3.3942199999999998</c:v>
                </c:pt>
                <c:pt idx="15">
                  <c:v>3.3714399999999998</c:v>
                </c:pt>
                <c:pt idx="16">
                  <c:v>3.37019</c:v>
                </c:pt>
                <c:pt idx="17">
                  <c:v>3.3646700000000003</c:v>
                </c:pt>
                <c:pt idx="18">
                  <c:v>3.3777400000000002</c:v>
                </c:pt>
                <c:pt idx="19">
                  <c:v>3.3674200000000001</c:v>
                </c:pt>
                <c:pt idx="20">
                  <c:v>3.3624700000000001</c:v>
                </c:pt>
                <c:pt idx="21">
                  <c:v>3.35825</c:v>
                </c:pt>
                <c:pt idx="22">
                  <c:v>3.3586399999999998</c:v>
                </c:pt>
                <c:pt idx="23">
                  <c:v>3.3630599999999999</c:v>
                </c:pt>
                <c:pt idx="24">
                  <c:v>3.3636700000000004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3.3812100000000003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3.3812100000000003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3.3812100000000003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3.3812100000000003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3.3812100000000003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3.3812100000000003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3.3812100000000003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3.3812100000000003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3.3812100000000003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3.3812100000000003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3.3812100000000003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3.3812100000000003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3.3812100000000003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3.3812100000000003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3.3812100000000003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3.3812100000000003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3.3812100000000003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3.3812100000000003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3.3812100000000003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3.3812100000000003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3.3812100000000003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3.3812100000000003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3.3812100000000003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3.3812100000000003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0.36979499999999998</c:v>
                </c:pt>
                <c:pt idx="2">
                  <c:v>0.77649699999999999</c:v>
                </c:pt>
                <c:pt idx="3">
                  <c:v>1.18746</c:v>
                </c:pt>
                <c:pt idx="4">
                  <c:v>1.5813200000000001</c:v>
                </c:pt>
                <c:pt idx="5">
                  <c:v>2.0061599999999999</c:v>
                </c:pt>
                <c:pt idx="6">
                  <c:v>2.4031699999999998</c:v>
                </c:pt>
                <c:pt idx="7">
                  <c:v>2.80762</c:v>
                </c:pt>
                <c:pt idx="8">
                  <c:v>3.21706</c:v>
                </c:pt>
                <c:pt idx="9">
                  <c:v>3.6143200000000002</c:v>
                </c:pt>
                <c:pt idx="10">
                  <c:v>4.0239200000000004</c:v>
                </c:pt>
                <c:pt idx="11">
                  <c:v>4.4388399999999999</c:v>
                </c:pt>
                <c:pt idx="12">
                  <c:v>4.8465199999999999</c:v>
                </c:pt>
                <c:pt idx="13">
                  <c:v>5.2465599999999997</c:v>
                </c:pt>
                <c:pt idx="14">
                  <c:v>5.6409500000000001</c:v>
                </c:pt>
                <c:pt idx="15">
                  <c:v>6.0636099999999997</c:v>
                </c:pt>
                <c:pt idx="16">
                  <c:v>6.4830399999999999</c:v>
                </c:pt>
                <c:pt idx="17">
                  <c:v>6.8734900000000003</c:v>
                </c:pt>
                <c:pt idx="18">
                  <c:v>7.2843299999999997</c:v>
                </c:pt>
                <c:pt idx="19">
                  <c:v>7.6909400000000003</c:v>
                </c:pt>
                <c:pt idx="20">
                  <c:v>8.0962399999999999</c:v>
                </c:pt>
                <c:pt idx="21">
                  <c:v>8.4953099999999999</c:v>
                </c:pt>
                <c:pt idx="22">
                  <c:v>8.9029900000000008</c:v>
                </c:pt>
                <c:pt idx="23">
                  <c:v>9.3099699999999999</c:v>
                </c:pt>
                <c:pt idx="24">
                  <c:v>9.71218</c:v>
                </c:pt>
              </c:numCache>
            </c:numRef>
          </c:xVal>
          <c:yVal>
            <c:numRef>
              <c:f>FT!$K$2:$K$2000</c:f>
              <c:numCache>
                <c:formatCode>General</c:formatCode>
                <c:ptCount val="1999"/>
                <c:pt idx="0">
                  <c:v>54.879100000000001</c:v>
                </c:pt>
                <c:pt idx="1">
                  <c:v>54.757300000000001</c:v>
                </c:pt>
                <c:pt idx="2">
                  <c:v>53.421700000000008</c:v>
                </c:pt>
                <c:pt idx="3">
                  <c:v>52.524000000000001</c:v>
                </c:pt>
                <c:pt idx="4">
                  <c:v>52.288100000000007</c:v>
                </c:pt>
                <c:pt idx="5">
                  <c:v>52.030200000000008</c:v>
                </c:pt>
                <c:pt idx="6">
                  <c:v>51.774100000000004</c:v>
                </c:pt>
                <c:pt idx="7">
                  <c:v>52.486400000000003</c:v>
                </c:pt>
                <c:pt idx="8">
                  <c:v>53.762900000000002</c:v>
                </c:pt>
                <c:pt idx="9">
                  <c:v>54.560299999999998</c:v>
                </c:pt>
                <c:pt idx="10">
                  <c:v>55.928599999999996</c:v>
                </c:pt>
                <c:pt idx="11">
                  <c:v>57.459899999999998</c:v>
                </c:pt>
                <c:pt idx="12">
                  <c:v>58.676099999999998</c:v>
                </c:pt>
                <c:pt idx="13">
                  <c:v>59.994700000000002</c:v>
                </c:pt>
                <c:pt idx="14">
                  <c:v>61.120399999999997</c:v>
                </c:pt>
                <c:pt idx="15">
                  <c:v>61.523899999999998</c:v>
                </c:pt>
                <c:pt idx="16">
                  <c:v>62.1173</c:v>
                </c:pt>
                <c:pt idx="17">
                  <c:v>62.778700000000001</c:v>
                </c:pt>
                <c:pt idx="18">
                  <c:v>63.073100000000004</c:v>
                </c:pt>
                <c:pt idx="19">
                  <c:v>63.536300000000004</c:v>
                </c:pt>
                <c:pt idx="20">
                  <c:v>63.851199999999999</c:v>
                </c:pt>
                <c:pt idx="21">
                  <c:v>64.105599999999995</c:v>
                </c:pt>
                <c:pt idx="22">
                  <c:v>64.445999999999998</c:v>
                </c:pt>
                <c:pt idx="23">
                  <c:v>64.724199999999996</c:v>
                </c:pt>
                <c:pt idx="24">
                  <c:v>64.992399999999989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54.879100000000001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54.879100000000001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54.879100000000001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54.879100000000001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54.879100000000001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54.879100000000001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54.879100000000001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54.879100000000001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54.879100000000001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54.879100000000001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54.879100000000001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54.879100000000001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54.879100000000001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54.879100000000001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54.879100000000001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54.879100000000001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54.879100000000001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54.879100000000001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54.879100000000001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54.879100000000001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54.879100000000001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54.879100000000001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54.879100000000001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54.879100000000001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0.36979499999999998</c:v>
                </c:pt>
                <c:pt idx="2">
                  <c:v>0.77649699999999999</c:v>
                </c:pt>
                <c:pt idx="3">
                  <c:v>1.18746</c:v>
                </c:pt>
                <c:pt idx="4">
                  <c:v>1.5813200000000001</c:v>
                </c:pt>
                <c:pt idx="5">
                  <c:v>2.0061599999999999</c:v>
                </c:pt>
                <c:pt idx="6">
                  <c:v>2.4031699999999998</c:v>
                </c:pt>
                <c:pt idx="7">
                  <c:v>2.80762</c:v>
                </c:pt>
                <c:pt idx="8">
                  <c:v>3.21706</c:v>
                </c:pt>
                <c:pt idx="9">
                  <c:v>3.6143200000000002</c:v>
                </c:pt>
                <c:pt idx="10">
                  <c:v>4.0239200000000004</c:v>
                </c:pt>
                <c:pt idx="11">
                  <c:v>4.4388399999999999</c:v>
                </c:pt>
                <c:pt idx="12">
                  <c:v>4.8465199999999999</c:v>
                </c:pt>
                <c:pt idx="13">
                  <c:v>5.2465599999999997</c:v>
                </c:pt>
                <c:pt idx="14">
                  <c:v>5.6409500000000001</c:v>
                </c:pt>
                <c:pt idx="15">
                  <c:v>6.0636099999999997</c:v>
                </c:pt>
                <c:pt idx="16">
                  <c:v>6.4830399999999999</c:v>
                </c:pt>
                <c:pt idx="17">
                  <c:v>6.8734900000000003</c:v>
                </c:pt>
                <c:pt idx="18">
                  <c:v>7.2843299999999997</c:v>
                </c:pt>
                <c:pt idx="19">
                  <c:v>7.6909400000000003</c:v>
                </c:pt>
                <c:pt idx="20">
                  <c:v>8.0962399999999999</c:v>
                </c:pt>
                <c:pt idx="21">
                  <c:v>8.4953099999999999</c:v>
                </c:pt>
                <c:pt idx="22">
                  <c:v>8.9029900000000008</c:v>
                </c:pt>
                <c:pt idx="23">
                  <c:v>9.3099699999999999</c:v>
                </c:pt>
                <c:pt idx="24">
                  <c:v>9.71218</c:v>
                </c:pt>
              </c:numCache>
            </c:numRef>
          </c:xVal>
          <c:yVal>
            <c:numRef>
              <c:f>FT!$L$2:$L$2000</c:f>
              <c:numCache>
                <c:formatCode>General</c:formatCode>
                <c:ptCount val="1999"/>
                <c:pt idx="0">
                  <c:v>16.230609752130153</c:v>
                </c:pt>
                <c:pt idx="1">
                  <c:v>16.22693341472883</c:v>
                </c:pt>
                <c:pt idx="2">
                  <c:v>16.109457597167818</c:v>
                </c:pt>
                <c:pt idx="3">
                  <c:v>16.145929396141504</c:v>
                </c:pt>
                <c:pt idx="4">
                  <c:v>16.43866322937626</c:v>
                </c:pt>
                <c:pt idx="5">
                  <c:v>16.57662077820293</c:v>
                </c:pt>
                <c:pt idx="6">
                  <c:v>16.190030957816067</c:v>
                </c:pt>
                <c:pt idx="7">
                  <c:v>16.161446962862151</c:v>
                </c:pt>
                <c:pt idx="8">
                  <c:v>16.623502311271896</c:v>
                </c:pt>
                <c:pt idx="9">
                  <c:v>16.579595904959568</c:v>
                </c:pt>
                <c:pt idx="10">
                  <c:v>16.596860969247707</c:v>
                </c:pt>
                <c:pt idx="11">
                  <c:v>16.738005767718256</c:v>
                </c:pt>
                <c:pt idx="12">
                  <c:v>16.864970668291576</c:v>
                </c:pt>
                <c:pt idx="13">
                  <c:v>17.288243532184907</c:v>
                </c:pt>
                <c:pt idx="14">
                  <c:v>18.007200476103495</c:v>
                </c:pt>
                <c:pt idx="15">
                  <c:v>18.248552547279502</c:v>
                </c:pt>
                <c:pt idx="16">
                  <c:v>18.431394075704929</c:v>
                </c:pt>
                <c:pt idx="17">
                  <c:v>18.658204222107962</c:v>
                </c:pt>
                <c:pt idx="18">
                  <c:v>18.673166081462753</c:v>
                </c:pt>
                <c:pt idx="19">
                  <c:v>18.867946380314901</c:v>
                </c:pt>
                <c:pt idx="20">
                  <c:v>18.989373882889662</c:v>
                </c:pt>
                <c:pt idx="21">
                  <c:v>19.088989801235762</c:v>
                </c:pt>
                <c:pt idx="22">
                  <c:v>19.188123764380823</c:v>
                </c:pt>
                <c:pt idx="23">
                  <c:v>19.245627494008431</c:v>
                </c:pt>
                <c:pt idx="24">
                  <c:v>19.321871646148399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1.1118644067796609E-2</c:v>
                </c:pt>
                <c:pt idx="38">
                  <c:v>0</c:v>
                </c:pt>
                <c:pt idx="39">
                  <c:v>2.0474576271186439E-2</c:v>
                </c:pt>
                <c:pt idx="40">
                  <c:v>0</c:v>
                </c:pt>
                <c:pt idx="41">
                  <c:v>0</c:v>
                </c:pt>
                <c:pt idx="42">
                  <c:v>3.2000000000000001E-2</c:v>
                </c:pt>
                <c:pt idx="43">
                  <c:v>0</c:v>
                </c:pt>
                <c:pt idx="44">
                  <c:v>2.4271186440677966E-2</c:v>
                </c:pt>
                <c:pt idx="45">
                  <c:v>0</c:v>
                </c:pt>
                <c:pt idx="46">
                  <c:v>0</c:v>
                </c:pt>
                <c:pt idx="47">
                  <c:v>2.6305084745762711E-2</c:v>
                </c:pt>
                <c:pt idx="48">
                  <c:v>0</c:v>
                </c:pt>
                <c:pt idx="49">
                  <c:v>3.7966101694915256E-3</c:v>
                </c:pt>
                <c:pt idx="50">
                  <c:v>0</c:v>
                </c:pt>
                <c:pt idx="51">
                  <c:v>0</c:v>
                </c:pt>
                <c:pt idx="52">
                  <c:v>3.7966101694915256E-3</c:v>
                </c:pt>
                <c:pt idx="53">
                  <c:v>0</c:v>
                </c:pt>
                <c:pt idx="54">
                  <c:v>0</c:v>
                </c:pt>
                <c:pt idx="55">
                  <c:v>1.6271186440677966E-2</c:v>
                </c:pt>
                <c:pt idx="56">
                  <c:v>0</c:v>
                </c:pt>
                <c:pt idx="57">
                  <c:v>0.10508474576271186</c:v>
                </c:pt>
                <c:pt idx="58">
                  <c:v>0</c:v>
                </c:pt>
                <c:pt idx="59">
                  <c:v>0</c:v>
                </c:pt>
                <c:pt idx="60">
                  <c:v>0.35023728813559318</c:v>
                </c:pt>
                <c:pt idx="61">
                  <c:v>0</c:v>
                </c:pt>
                <c:pt idx="62">
                  <c:v>0.75850847457627113</c:v>
                </c:pt>
                <c:pt idx="63">
                  <c:v>0</c:v>
                </c:pt>
                <c:pt idx="64">
                  <c:v>0</c:v>
                </c:pt>
                <c:pt idx="65">
                  <c:v>0.87416949152542367</c:v>
                </c:pt>
                <c:pt idx="66">
                  <c:v>0</c:v>
                </c:pt>
                <c:pt idx="67">
                  <c:v>0.95416949152542374</c:v>
                </c:pt>
                <c:pt idx="68">
                  <c:v>0</c:v>
                </c:pt>
                <c:pt idx="69">
                  <c:v>0</c:v>
                </c:pt>
                <c:pt idx="70">
                  <c:v>0.88677966101694927</c:v>
                </c:pt>
                <c:pt idx="71">
                  <c:v>0</c:v>
                </c:pt>
                <c:pt idx="72">
                  <c:v>0</c:v>
                </c:pt>
                <c:pt idx="73">
                  <c:v>0.73532203389830508</c:v>
                </c:pt>
                <c:pt idx="74">
                  <c:v>0</c:v>
                </c:pt>
                <c:pt idx="75">
                  <c:v>0.72474576271186442</c:v>
                </c:pt>
                <c:pt idx="76">
                  <c:v>0</c:v>
                </c:pt>
                <c:pt idx="77">
                  <c:v>0</c:v>
                </c:pt>
                <c:pt idx="78">
                  <c:v>0.80623728813559326</c:v>
                </c:pt>
                <c:pt idx="79">
                  <c:v>0</c:v>
                </c:pt>
                <c:pt idx="80">
                  <c:v>0.78033898305084737</c:v>
                </c:pt>
                <c:pt idx="81">
                  <c:v>0</c:v>
                </c:pt>
                <c:pt idx="82">
                  <c:v>0</c:v>
                </c:pt>
                <c:pt idx="83">
                  <c:v>0.93464406779661025</c:v>
                </c:pt>
                <c:pt idx="84">
                  <c:v>0</c:v>
                </c:pt>
                <c:pt idx="85">
                  <c:v>0</c:v>
                </c:pt>
                <c:pt idx="86">
                  <c:v>0.91552542372881351</c:v>
                </c:pt>
                <c:pt idx="87">
                  <c:v>0</c:v>
                </c:pt>
                <c:pt idx="88">
                  <c:v>1</c:v>
                </c:pt>
                <c:pt idx="89">
                  <c:v>0</c:v>
                </c:pt>
                <c:pt idx="90">
                  <c:v>0</c:v>
                </c:pt>
                <c:pt idx="91">
                  <c:v>0.74413559322033906</c:v>
                </c:pt>
                <c:pt idx="92">
                  <c:v>0</c:v>
                </c:pt>
                <c:pt idx="93">
                  <c:v>0.73667796610169489</c:v>
                </c:pt>
                <c:pt idx="94">
                  <c:v>0</c:v>
                </c:pt>
                <c:pt idx="95">
                  <c:v>0</c:v>
                </c:pt>
                <c:pt idx="96">
                  <c:v>0.6271186440677966</c:v>
                </c:pt>
                <c:pt idx="97">
                  <c:v>0</c:v>
                </c:pt>
                <c:pt idx="98">
                  <c:v>0.63715254237288144</c:v>
                </c:pt>
                <c:pt idx="99">
                  <c:v>0</c:v>
                </c:pt>
                <c:pt idx="100">
                  <c:v>0</c:v>
                </c:pt>
                <c:pt idx="101">
                  <c:v>0.40922033898305082</c:v>
                </c:pt>
                <c:pt idx="102">
                  <c:v>0</c:v>
                </c:pt>
                <c:pt idx="103">
                  <c:v>0</c:v>
                </c:pt>
                <c:pt idx="104">
                  <c:v>0.35552542372881352</c:v>
                </c:pt>
                <c:pt idx="105">
                  <c:v>0</c:v>
                </c:pt>
                <c:pt idx="106">
                  <c:v>0.54223728813559324</c:v>
                </c:pt>
                <c:pt idx="107">
                  <c:v>0</c:v>
                </c:pt>
                <c:pt idx="108">
                  <c:v>0</c:v>
                </c:pt>
                <c:pt idx="109">
                  <c:v>0.47538983050847461</c:v>
                </c:pt>
                <c:pt idx="110">
                  <c:v>0</c:v>
                </c:pt>
                <c:pt idx="111">
                  <c:v>0.35823728813559325</c:v>
                </c:pt>
                <c:pt idx="112">
                  <c:v>0</c:v>
                </c:pt>
                <c:pt idx="113">
                  <c:v>0</c:v>
                </c:pt>
                <c:pt idx="114">
                  <c:v>0.21179661016949153</c:v>
                </c:pt>
                <c:pt idx="115">
                  <c:v>0</c:v>
                </c:pt>
                <c:pt idx="116">
                  <c:v>0.16081355932203389</c:v>
                </c:pt>
                <c:pt idx="117">
                  <c:v>0</c:v>
                </c:pt>
                <c:pt idx="118">
                  <c:v>0</c:v>
                </c:pt>
                <c:pt idx="119">
                  <c:v>0.17464406779661018</c:v>
                </c:pt>
                <c:pt idx="120">
                  <c:v>0</c:v>
                </c:pt>
                <c:pt idx="121">
                  <c:v>0</c:v>
                </c:pt>
                <c:pt idx="122">
                  <c:v>0.20447457627118645</c:v>
                </c:pt>
                <c:pt idx="123">
                  <c:v>0</c:v>
                </c:pt>
                <c:pt idx="124">
                  <c:v>0.22427118644067795</c:v>
                </c:pt>
                <c:pt idx="125">
                  <c:v>0</c:v>
                </c:pt>
                <c:pt idx="126">
                  <c:v>0</c:v>
                </c:pt>
                <c:pt idx="127">
                  <c:v>0.10549152542372882</c:v>
                </c:pt>
                <c:pt idx="128">
                  <c:v>0</c:v>
                </c:pt>
                <c:pt idx="129">
                  <c:v>6.6983050847457634E-2</c:v>
                </c:pt>
                <c:pt idx="130">
                  <c:v>0</c:v>
                </c:pt>
                <c:pt idx="131">
                  <c:v>0</c:v>
                </c:pt>
                <c:pt idx="132">
                  <c:v>4.1898305084745763E-2</c:v>
                </c:pt>
                <c:pt idx="133">
                  <c:v>0</c:v>
                </c:pt>
                <c:pt idx="134">
                  <c:v>2.1966101694915256E-2</c:v>
                </c:pt>
                <c:pt idx="135">
                  <c:v>0</c:v>
                </c:pt>
                <c:pt idx="136">
                  <c:v>0</c:v>
                </c:pt>
                <c:pt idx="137">
                  <c:v>1.6E-2</c:v>
                </c:pt>
                <c:pt idx="138">
                  <c:v>0</c:v>
                </c:pt>
                <c:pt idx="139">
                  <c:v>0</c:v>
                </c:pt>
                <c:pt idx="140">
                  <c:v>0</c:v>
                </c:pt>
                <c:pt idx="141">
                  <c:v>0</c:v>
                </c:pt>
                <c:pt idx="142">
                  <c:v>1.4779661016949153E-2</c:v>
                </c:pt>
                <c:pt idx="143">
                  <c:v>0</c:v>
                </c:pt>
                <c:pt idx="144">
                  <c:v>0</c:v>
                </c:pt>
                <c:pt idx="145">
                  <c:v>1.1389830508474575E-2</c:v>
                </c:pt>
                <c:pt idx="146">
                  <c:v>0</c:v>
                </c:pt>
                <c:pt idx="147">
                  <c:v>3.3898305084745762E-3</c:v>
                </c:pt>
                <c:pt idx="148">
                  <c:v>0</c:v>
                </c:pt>
                <c:pt idx="149">
                  <c:v>0</c:v>
                </c:pt>
                <c:pt idx="150">
                  <c:v>3.3898305084745762E-3</c:v>
                </c:pt>
                <c:pt idx="151">
                  <c:v>0</c:v>
                </c:pt>
                <c:pt idx="152">
                  <c:v>3.3898305084745762E-3</c:v>
                </c:pt>
                <c:pt idx="153">
                  <c:v>0</c:v>
                </c:pt>
                <c:pt idx="154">
                  <c:v>0</c:v>
                </c:pt>
                <c:pt idx="155">
                  <c:v>3.3898305084745762E-3</c:v>
                </c:pt>
                <c:pt idx="156">
                  <c:v>0</c:v>
                </c:pt>
                <c:pt idx="157">
                  <c:v>0</c:v>
                </c:pt>
                <c:pt idx="158">
                  <c:v>1.0169491525423728E-2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1.1794565996432243E-3</c:v>
                </c:pt>
                <c:pt idx="4">
                  <c:v>0</c:v>
                </c:pt>
                <c:pt idx="5">
                  <c:v>0</c:v>
                </c:pt>
                <c:pt idx="6">
                  <c:v>3.1019128570109189E-2</c:v>
                </c:pt>
                <c:pt idx="7">
                  <c:v>0</c:v>
                </c:pt>
                <c:pt idx="8">
                  <c:v>9.5806386411865424E-2</c:v>
                </c:pt>
                <c:pt idx="9">
                  <c:v>0</c:v>
                </c:pt>
                <c:pt idx="10">
                  <c:v>0</c:v>
                </c:pt>
                <c:pt idx="11">
                  <c:v>0.28080324692243314</c:v>
                </c:pt>
                <c:pt idx="12">
                  <c:v>0</c:v>
                </c:pt>
                <c:pt idx="13">
                  <c:v>0.57488288318216718</c:v>
                </c:pt>
                <c:pt idx="14">
                  <c:v>0</c:v>
                </c:pt>
                <c:pt idx="15">
                  <c:v>0</c:v>
                </c:pt>
                <c:pt idx="16">
                  <c:v>0.84310854343415287</c:v>
                </c:pt>
                <c:pt idx="17">
                  <c:v>0</c:v>
                </c:pt>
                <c:pt idx="18">
                  <c:v>0</c:v>
                </c:pt>
                <c:pt idx="19">
                  <c:v>0.98293947677876181</c:v>
                </c:pt>
                <c:pt idx="20">
                  <c:v>0</c:v>
                </c:pt>
                <c:pt idx="21">
                  <c:v>1</c:v>
                </c:pt>
                <c:pt idx="22">
                  <c:v>0</c:v>
                </c:pt>
                <c:pt idx="23">
                  <c:v>0</c:v>
                </c:pt>
                <c:pt idx="24">
                  <c:v>0.91802824878025913</c:v>
                </c:pt>
                <c:pt idx="25">
                  <c:v>0</c:v>
                </c:pt>
                <c:pt idx="26">
                  <c:v>0.79705059627577457</c:v>
                </c:pt>
                <c:pt idx="27">
                  <c:v>0</c:v>
                </c:pt>
                <c:pt idx="28">
                  <c:v>0</c:v>
                </c:pt>
                <c:pt idx="29">
                  <c:v>0.68747933755005974</c:v>
                </c:pt>
                <c:pt idx="30">
                  <c:v>0</c:v>
                </c:pt>
                <c:pt idx="31">
                  <c:v>0.59102897103952901</c:v>
                </c:pt>
                <c:pt idx="32">
                  <c:v>0</c:v>
                </c:pt>
                <c:pt idx="33">
                  <c:v>0</c:v>
                </c:pt>
                <c:pt idx="34">
                  <c:v>0.50354465607550092</c:v>
                </c:pt>
                <c:pt idx="35">
                  <c:v>0</c:v>
                </c:pt>
                <c:pt idx="36">
                  <c:v>0</c:v>
                </c:pt>
                <c:pt idx="37">
                  <c:v>0.42606979427295139</c:v>
                </c:pt>
                <c:pt idx="38">
                  <c:v>0</c:v>
                </c:pt>
                <c:pt idx="39">
                  <c:v>0.35834842619989588</c:v>
                </c:pt>
                <c:pt idx="40">
                  <c:v>0</c:v>
                </c:pt>
                <c:pt idx="41">
                  <c:v>0</c:v>
                </c:pt>
                <c:pt idx="42">
                  <c:v>0.2987150970620655</c:v>
                </c:pt>
                <c:pt idx="43">
                  <c:v>0</c:v>
                </c:pt>
                <c:pt idx="44">
                  <c:v>0.25196083165532474</c:v>
                </c:pt>
                <c:pt idx="45">
                  <c:v>0</c:v>
                </c:pt>
                <c:pt idx="46">
                  <c:v>0</c:v>
                </c:pt>
                <c:pt idx="47">
                  <c:v>0.21060038889014046</c:v>
                </c:pt>
                <c:pt idx="48">
                  <c:v>0</c:v>
                </c:pt>
                <c:pt idx="49">
                  <c:v>0.1723668909883351</c:v>
                </c:pt>
                <c:pt idx="50">
                  <c:v>0</c:v>
                </c:pt>
                <c:pt idx="51">
                  <c:v>0</c:v>
                </c:pt>
                <c:pt idx="52">
                  <c:v>0.1405016979895555</c:v>
                </c:pt>
                <c:pt idx="53">
                  <c:v>0</c:v>
                </c:pt>
                <c:pt idx="54">
                  <c:v>0</c:v>
                </c:pt>
                <c:pt idx="55">
                  <c:v>0.11341246772696405</c:v>
                </c:pt>
                <c:pt idx="56">
                  <c:v>0</c:v>
                </c:pt>
                <c:pt idx="57">
                  <c:v>9.141661446419809E-2</c:v>
                </c:pt>
                <c:pt idx="58">
                  <c:v>0</c:v>
                </c:pt>
                <c:pt idx="59">
                  <c:v>0</c:v>
                </c:pt>
                <c:pt idx="60">
                  <c:v>7.4307229680051268E-2</c:v>
                </c:pt>
                <c:pt idx="61">
                  <c:v>0</c:v>
                </c:pt>
                <c:pt idx="62">
                  <c:v>6.0618935314041805E-2</c:v>
                </c:pt>
                <c:pt idx="63">
                  <c:v>0</c:v>
                </c:pt>
                <c:pt idx="64">
                  <c:v>0</c:v>
                </c:pt>
                <c:pt idx="65">
                  <c:v>5.0208806797195707E-2</c:v>
                </c:pt>
                <c:pt idx="66">
                  <c:v>0</c:v>
                </c:pt>
                <c:pt idx="67">
                  <c:v>4.2280664687167104E-2</c:v>
                </c:pt>
                <c:pt idx="68">
                  <c:v>0</c:v>
                </c:pt>
                <c:pt idx="69">
                  <c:v>0</c:v>
                </c:pt>
                <c:pt idx="70">
                  <c:v>3.5818365830082036E-2</c:v>
                </c:pt>
                <c:pt idx="71">
                  <c:v>0</c:v>
                </c:pt>
                <c:pt idx="72">
                  <c:v>0</c:v>
                </c:pt>
                <c:pt idx="73">
                  <c:v>3.0855344480403998E-2</c:v>
                </c:pt>
                <c:pt idx="74">
                  <c:v>0</c:v>
                </c:pt>
                <c:pt idx="75">
                  <c:v>2.6103596465577576E-2</c:v>
                </c:pt>
                <c:pt idx="76">
                  <c:v>0</c:v>
                </c:pt>
                <c:pt idx="77">
                  <c:v>0</c:v>
                </c:pt>
                <c:pt idx="78">
                  <c:v>2.2734827842714921E-2</c:v>
                </c:pt>
                <c:pt idx="79">
                  <c:v>0</c:v>
                </c:pt>
                <c:pt idx="80">
                  <c:v>1.9636937156026608E-2</c:v>
                </c:pt>
                <c:pt idx="81">
                  <c:v>0</c:v>
                </c:pt>
                <c:pt idx="82">
                  <c:v>0</c:v>
                </c:pt>
                <c:pt idx="83">
                  <c:v>1.6945119510988985E-2</c:v>
                </c:pt>
                <c:pt idx="84">
                  <c:v>0</c:v>
                </c:pt>
                <c:pt idx="85">
                  <c:v>0</c:v>
                </c:pt>
                <c:pt idx="86">
                  <c:v>1.4627395833308045E-2</c:v>
                </c:pt>
                <c:pt idx="87">
                  <c:v>0</c:v>
                </c:pt>
                <c:pt idx="88">
                  <c:v>1.2846580577151465E-2</c:v>
                </c:pt>
                <c:pt idx="89">
                  <c:v>0</c:v>
                </c:pt>
                <c:pt idx="90">
                  <c:v>0</c:v>
                </c:pt>
                <c:pt idx="91">
                  <c:v>1.1108408569043434E-2</c:v>
                </c:pt>
                <c:pt idx="92">
                  <c:v>0</c:v>
                </c:pt>
                <c:pt idx="93">
                  <c:v>9.2345551839638548E-3</c:v>
                </c:pt>
                <c:pt idx="94">
                  <c:v>0</c:v>
                </c:pt>
                <c:pt idx="95">
                  <c:v>0</c:v>
                </c:pt>
                <c:pt idx="96">
                  <c:v>7.6713144399262511E-3</c:v>
                </c:pt>
                <c:pt idx="97">
                  <c:v>0</c:v>
                </c:pt>
                <c:pt idx="98">
                  <c:v>6.2369708949821341E-3</c:v>
                </c:pt>
                <c:pt idx="99">
                  <c:v>0</c:v>
                </c:pt>
                <c:pt idx="100">
                  <c:v>0</c:v>
                </c:pt>
                <c:pt idx="101">
                  <c:v>4.9480003577737075E-3</c:v>
                </c:pt>
                <c:pt idx="102">
                  <c:v>0</c:v>
                </c:pt>
                <c:pt idx="103">
                  <c:v>0</c:v>
                </c:pt>
                <c:pt idx="104">
                  <c:v>3.9289377577705021E-3</c:v>
                </c:pt>
                <c:pt idx="105">
                  <c:v>0</c:v>
                </c:pt>
                <c:pt idx="106">
                  <c:v>3.0411957188413337E-3</c:v>
                </c:pt>
                <c:pt idx="107">
                  <c:v>0</c:v>
                </c:pt>
                <c:pt idx="108">
                  <c:v>0</c:v>
                </c:pt>
                <c:pt idx="109">
                  <c:v>2.3884725459160185E-3</c:v>
                </c:pt>
                <c:pt idx="110">
                  <c:v>0</c:v>
                </c:pt>
                <c:pt idx="111">
                  <c:v>1.8142506009149065E-3</c:v>
                </c:pt>
                <c:pt idx="112">
                  <c:v>0</c:v>
                </c:pt>
                <c:pt idx="113">
                  <c:v>0</c:v>
                </c:pt>
                <c:pt idx="114">
                  <c:v>1.3834631194376893E-3</c:v>
                </c:pt>
                <c:pt idx="115">
                  <c:v>0</c:v>
                </c:pt>
                <c:pt idx="116">
                  <c:v>1.0195466909087374E-3</c:v>
                </c:pt>
                <c:pt idx="117">
                  <c:v>0</c:v>
                </c:pt>
                <c:pt idx="118">
                  <c:v>0</c:v>
                </c:pt>
                <c:pt idx="119">
                  <c:v>7.4818466382886367E-4</c:v>
                </c:pt>
                <c:pt idx="120">
                  <c:v>0</c:v>
                </c:pt>
                <c:pt idx="121">
                  <c:v>0</c:v>
                </c:pt>
                <c:pt idx="122">
                  <c:v>5.5580795557872526E-4</c:v>
                </c:pt>
                <c:pt idx="123">
                  <c:v>0</c:v>
                </c:pt>
                <c:pt idx="124">
                  <c:v>3.8475305306866615E-4</c:v>
                </c:pt>
                <c:pt idx="125">
                  <c:v>0</c:v>
                </c:pt>
                <c:pt idx="126">
                  <c:v>0</c:v>
                </c:pt>
                <c:pt idx="127">
                  <c:v>2.7959993140097512E-4</c:v>
                </c:pt>
                <c:pt idx="128">
                  <c:v>0</c:v>
                </c:pt>
                <c:pt idx="129">
                  <c:v>2.2484314433417917E-4</c:v>
                </c:pt>
                <c:pt idx="130">
                  <c:v>0</c:v>
                </c:pt>
                <c:pt idx="131">
                  <c:v>0</c:v>
                </c:pt>
                <c:pt idx="132">
                  <c:v>1.2162856687828305E-4</c:v>
                </c:pt>
                <c:pt idx="133">
                  <c:v>0</c:v>
                </c:pt>
                <c:pt idx="134">
                  <c:v>7.9954954367243477E-5</c:v>
                </c:pt>
                <c:pt idx="135">
                  <c:v>0</c:v>
                </c:pt>
                <c:pt idx="136">
                  <c:v>0</c:v>
                </c:pt>
                <c:pt idx="137">
                  <c:v>7.2201867814896179E-5</c:v>
                </c:pt>
                <c:pt idx="138">
                  <c:v>0</c:v>
                </c:pt>
                <c:pt idx="139">
                  <c:v>0</c:v>
                </c:pt>
                <c:pt idx="140">
                  <c:v>3.5373888970122316E-5</c:v>
                </c:pt>
                <c:pt idx="141">
                  <c:v>0</c:v>
                </c:pt>
                <c:pt idx="142">
                  <c:v>1.792917165363283E-5</c:v>
                </c:pt>
                <c:pt idx="143">
                  <c:v>0</c:v>
                </c:pt>
                <c:pt idx="144">
                  <c:v>0</c:v>
                </c:pt>
                <c:pt idx="145">
                  <c:v>1.3083537987367113E-5</c:v>
                </c:pt>
                <c:pt idx="146">
                  <c:v>0</c:v>
                </c:pt>
                <c:pt idx="147">
                  <c:v>6.7841778780606084E-6</c:v>
                </c:pt>
                <c:pt idx="148">
                  <c:v>0</c:v>
                </c:pt>
                <c:pt idx="149">
                  <c:v>0</c:v>
                </c:pt>
                <c:pt idx="150">
                  <c:v>3.876724991979028E-6</c:v>
                </c:pt>
                <c:pt idx="151">
                  <c:v>0</c:v>
                </c:pt>
                <c:pt idx="152">
                  <c:v>2.9074528860815808E-6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(76.3 , 36.6)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76.257411613629372</c:v>
                </c:pt>
              </c:numCache>
            </c:numRef>
          </c:xVal>
          <c:yVal>
            <c:numRef>
              <c:f>info!$W$20:$W$21</c:f>
              <c:numCache>
                <c:formatCode>General</c:formatCode>
                <c:ptCount val="2"/>
                <c:pt idx="0">
                  <c:v>50</c:v>
                </c:pt>
                <c:pt idx="1">
                  <c:v>36.612010212680424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73.040599999999998</c:v>
                      </c:pt>
                    </c:numCache>
                  </c:numRef>
                </c:xVal>
                <c:yVal>
                  <c:numRef>
                    <c:extLst>
                      <c:ext uri="{02D57815-91ED-43cb-92C2-25804820EDAC}">
                        <c15:formulaRef>
                          <c15:sqref>info!$W$18</c15:sqref>
                        </c15:formulaRef>
                      </c:ext>
                    </c:extLst>
                    <c:numCache>
                      <c:formatCode>General</c:formatCode>
                      <c:ptCount val="1"/>
                      <c:pt idx="0">
                        <c:v>41.709499999999998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(76.3 , 36.6)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76.257411613629372</c:v>
                </c:pt>
              </c:numCache>
            </c:numRef>
          </c:xVal>
          <c:yVal>
            <c:numRef>
              <c:f>info!$W$20:$W$21</c:f>
              <c:numCache>
                <c:formatCode>General</c:formatCode>
                <c:ptCount val="2"/>
                <c:pt idx="0">
                  <c:v>50</c:v>
                </c:pt>
                <c:pt idx="1">
                  <c:v>36.612010212680424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32.2744</c:v>
                </c:pt>
                <c:pt idx="1">
                  <c:v>23.3432</c:v>
                </c:pt>
                <c:pt idx="2">
                  <c:v>15.2967</c:v>
                </c:pt>
                <c:pt idx="3">
                  <c:v>28.5825</c:v>
                </c:pt>
                <c:pt idx="4">
                  <c:v>75.693299999999994</c:v>
                </c:pt>
                <c:pt idx="5">
                  <c:v>56.9602</c:v>
                </c:pt>
                <c:pt idx="6">
                  <c:v>26.0854</c:v>
                </c:pt>
                <c:pt idx="7">
                  <c:v>67.467299999999994</c:v>
                </c:pt>
                <c:pt idx="8">
                  <c:v>30.026199999999999</c:v>
                </c:pt>
                <c:pt idx="9">
                  <c:v>42.489400000000003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0.48053912377728236</c:v>
                </c:pt>
                <c:pt idx="1">
                  <c:v>0.21136513981775701</c:v>
                </c:pt>
                <c:pt idx="2">
                  <c:v>0.30809573640496063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1.1118644067796609E-2</c:v>
                </c:pt>
                <c:pt idx="38">
                  <c:v>0</c:v>
                </c:pt>
                <c:pt idx="39">
                  <c:v>2.0474576271186439E-2</c:v>
                </c:pt>
                <c:pt idx="40">
                  <c:v>0</c:v>
                </c:pt>
                <c:pt idx="41">
                  <c:v>0</c:v>
                </c:pt>
                <c:pt idx="42">
                  <c:v>3.2000000000000001E-2</c:v>
                </c:pt>
                <c:pt idx="43">
                  <c:v>0</c:v>
                </c:pt>
                <c:pt idx="44">
                  <c:v>2.4271186440677966E-2</c:v>
                </c:pt>
                <c:pt idx="45">
                  <c:v>0</c:v>
                </c:pt>
                <c:pt idx="46">
                  <c:v>0</c:v>
                </c:pt>
                <c:pt idx="47">
                  <c:v>2.6305084745762711E-2</c:v>
                </c:pt>
                <c:pt idx="48">
                  <c:v>0</c:v>
                </c:pt>
                <c:pt idx="49">
                  <c:v>3.7966101694915256E-3</c:v>
                </c:pt>
                <c:pt idx="50">
                  <c:v>0</c:v>
                </c:pt>
                <c:pt idx="51">
                  <c:v>0</c:v>
                </c:pt>
                <c:pt idx="52">
                  <c:v>3.7966101694915256E-3</c:v>
                </c:pt>
                <c:pt idx="53">
                  <c:v>0</c:v>
                </c:pt>
                <c:pt idx="54">
                  <c:v>0</c:v>
                </c:pt>
                <c:pt idx="55">
                  <c:v>1.6271186440677966E-2</c:v>
                </c:pt>
                <c:pt idx="56">
                  <c:v>0</c:v>
                </c:pt>
                <c:pt idx="57">
                  <c:v>0.10508474576271186</c:v>
                </c:pt>
                <c:pt idx="58">
                  <c:v>0</c:v>
                </c:pt>
                <c:pt idx="59">
                  <c:v>0</c:v>
                </c:pt>
                <c:pt idx="60">
                  <c:v>0.35023728813559318</c:v>
                </c:pt>
                <c:pt idx="61">
                  <c:v>0</c:v>
                </c:pt>
                <c:pt idx="62">
                  <c:v>0.75850847457627113</c:v>
                </c:pt>
                <c:pt idx="63">
                  <c:v>0</c:v>
                </c:pt>
                <c:pt idx="64">
                  <c:v>0</c:v>
                </c:pt>
                <c:pt idx="65">
                  <c:v>0.87416949152542367</c:v>
                </c:pt>
                <c:pt idx="66">
                  <c:v>0</c:v>
                </c:pt>
                <c:pt idx="67">
                  <c:v>0.95416949152542374</c:v>
                </c:pt>
                <c:pt idx="68">
                  <c:v>0</c:v>
                </c:pt>
                <c:pt idx="69">
                  <c:v>0</c:v>
                </c:pt>
                <c:pt idx="70">
                  <c:v>0.88677966101694927</c:v>
                </c:pt>
                <c:pt idx="71">
                  <c:v>0</c:v>
                </c:pt>
                <c:pt idx="72">
                  <c:v>0</c:v>
                </c:pt>
                <c:pt idx="73">
                  <c:v>0.73532203389830508</c:v>
                </c:pt>
                <c:pt idx="74">
                  <c:v>0</c:v>
                </c:pt>
                <c:pt idx="75">
                  <c:v>0.72474576271186442</c:v>
                </c:pt>
                <c:pt idx="76">
                  <c:v>0</c:v>
                </c:pt>
                <c:pt idx="77">
                  <c:v>0</c:v>
                </c:pt>
                <c:pt idx="78">
                  <c:v>0.80623728813559326</c:v>
                </c:pt>
                <c:pt idx="79">
                  <c:v>0</c:v>
                </c:pt>
                <c:pt idx="80">
                  <c:v>0.78033898305084737</c:v>
                </c:pt>
                <c:pt idx="81">
                  <c:v>0</c:v>
                </c:pt>
                <c:pt idx="82">
                  <c:v>0</c:v>
                </c:pt>
                <c:pt idx="83">
                  <c:v>0.93464406779661025</c:v>
                </c:pt>
                <c:pt idx="84">
                  <c:v>0</c:v>
                </c:pt>
                <c:pt idx="85">
                  <c:v>0</c:v>
                </c:pt>
                <c:pt idx="86">
                  <c:v>0.91552542372881351</c:v>
                </c:pt>
                <c:pt idx="87">
                  <c:v>0</c:v>
                </c:pt>
                <c:pt idx="88">
                  <c:v>1</c:v>
                </c:pt>
                <c:pt idx="89">
                  <c:v>0</c:v>
                </c:pt>
                <c:pt idx="90">
                  <c:v>0</c:v>
                </c:pt>
                <c:pt idx="91">
                  <c:v>0.74413559322033906</c:v>
                </c:pt>
                <c:pt idx="92">
                  <c:v>0</c:v>
                </c:pt>
                <c:pt idx="93">
                  <c:v>0.73667796610169489</c:v>
                </c:pt>
                <c:pt idx="94">
                  <c:v>0</c:v>
                </c:pt>
                <c:pt idx="95">
                  <c:v>0</c:v>
                </c:pt>
                <c:pt idx="96">
                  <c:v>0.6271186440677966</c:v>
                </c:pt>
                <c:pt idx="97">
                  <c:v>0</c:v>
                </c:pt>
                <c:pt idx="98">
                  <c:v>0.63715254237288144</c:v>
                </c:pt>
                <c:pt idx="99">
                  <c:v>0</c:v>
                </c:pt>
                <c:pt idx="100">
                  <c:v>0</c:v>
                </c:pt>
                <c:pt idx="101">
                  <c:v>0.40922033898305082</c:v>
                </c:pt>
                <c:pt idx="102">
                  <c:v>0</c:v>
                </c:pt>
                <c:pt idx="103">
                  <c:v>0</c:v>
                </c:pt>
                <c:pt idx="104">
                  <c:v>0.35552542372881352</c:v>
                </c:pt>
                <c:pt idx="105">
                  <c:v>0</c:v>
                </c:pt>
                <c:pt idx="106">
                  <c:v>0.54223728813559324</c:v>
                </c:pt>
                <c:pt idx="107">
                  <c:v>0</c:v>
                </c:pt>
                <c:pt idx="108">
                  <c:v>0</c:v>
                </c:pt>
                <c:pt idx="109">
                  <c:v>0.47538983050847461</c:v>
                </c:pt>
                <c:pt idx="110">
                  <c:v>0</c:v>
                </c:pt>
                <c:pt idx="111">
                  <c:v>0.35823728813559325</c:v>
                </c:pt>
                <c:pt idx="112">
                  <c:v>0</c:v>
                </c:pt>
                <c:pt idx="113">
                  <c:v>0</c:v>
                </c:pt>
                <c:pt idx="114">
                  <c:v>0.21179661016949153</c:v>
                </c:pt>
                <c:pt idx="115">
                  <c:v>0</c:v>
                </c:pt>
                <c:pt idx="116">
                  <c:v>0.16081355932203389</c:v>
                </c:pt>
                <c:pt idx="117">
                  <c:v>0</c:v>
                </c:pt>
                <c:pt idx="118">
                  <c:v>0</c:v>
                </c:pt>
                <c:pt idx="119">
                  <c:v>0.17464406779661018</c:v>
                </c:pt>
                <c:pt idx="120">
                  <c:v>0</c:v>
                </c:pt>
                <c:pt idx="121">
                  <c:v>0</c:v>
                </c:pt>
                <c:pt idx="122">
                  <c:v>0.20447457627118645</c:v>
                </c:pt>
                <c:pt idx="123">
                  <c:v>0</c:v>
                </c:pt>
                <c:pt idx="124">
                  <c:v>0.22427118644067795</c:v>
                </c:pt>
                <c:pt idx="125">
                  <c:v>0</c:v>
                </c:pt>
                <c:pt idx="126">
                  <c:v>0</c:v>
                </c:pt>
                <c:pt idx="127">
                  <c:v>0.10549152542372882</c:v>
                </c:pt>
                <c:pt idx="128">
                  <c:v>0</c:v>
                </c:pt>
                <c:pt idx="129">
                  <c:v>6.6983050847457634E-2</c:v>
                </c:pt>
                <c:pt idx="130">
                  <c:v>0</c:v>
                </c:pt>
                <c:pt idx="131">
                  <c:v>0</c:v>
                </c:pt>
                <c:pt idx="132">
                  <c:v>4.1898305084745763E-2</c:v>
                </c:pt>
                <c:pt idx="133">
                  <c:v>0</c:v>
                </c:pt>
                <c:pt idx="134">
                  <c:v>2.1966101694915256E-2</c:v>
                </c:pt>
                <c:pt idx="135">
                  <c:v>0</c:v>
                </c:pt>
                <c:pt idx="136">
                  <c:v>0</c:v>
                </c:pt>
                <c:pt idx="137">
                  <c:v>1.6E-2</c:v>
                </c:pt>
                <c:pt idx="138">
                  <c:v>0</c:v>
                </c:pt>
                <c:pt idx="139">
                  <c:v>0</c:v>
                </c:pt>
                <c:pt idx="140">
                  <c:v>0</c:v>
                </c:pt>
                <c:pt idx="141">
                  <c:v>0</c:v>
                </c:pt>
                <c:pt idx="142">
                  <c:v>1.4779661016949153E-2</c:v>
                </c:pt>
                <c:pt idx="143">
                  <c:v>0</c:v>
                </c:pt>
                <c:pt idx="144">
                  <c:v>0</c:v>
                </c:pt>
                <c:pt idx="145">
                  <c:v>1.1389830508474575E-2</c:v>
                </c:pt>
                <c:pt idx="146">
                  <c:v>0</c:v>
                </c:pt>
                <c:pt idx="147">
                  <c:v>3.3898305084745762E-3</c:v>
                </c:pt>
                <c:pt idx="148">
                  <c:v>0</c:v>
                </c:pt>
                <c:pt idx="149">
                  <c:v>0</c:v>
                </c:pt>
                <c:pt idx="150">
                  <c:v>3.3898305084745762E-3</c:v>
                </c:pt>
                <c:pt idx="151">
                  <c:v>0</c:v>
                </c:pt>
                <c:pt idx="152">
                  <c:v>3.3898305084745762E-3</c:v>
                </c:pt>
                <c:pt idx="153">
                  <c:v>0</c:v>
                </c:pt>
                <c:pt idx="154">
                  <c:v>0</c:v>
                </c:pt>
                <c:pt idx="155">
                  <c:v>3.3898305084745762E-3</c:v>
                </c:pt>
                <c:pt idx="156">
                  <c:v>0</c:v>
                </c:pt>
                <c:pt idx="157">
                  <c:v>0</c:v>
                </c:pt>
                <c:pt idx="158">
                  <c:v>1.0169491525423728E-2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3.3812100000000003</c:v>
                </c:pt>
                <c:pt idx="1">
                  <c:v>3.3744700000000001</c:v>
                </c:pt>
                <c:pt idx="2">
                  <c:v>3.3161700000000001</c:v>
                </c:pt>
                <c:pt idx="3">
                  <c:v>3.2530799999999997</c:v>
                </c:pt>
                <c:pt idx="4">
                  <c:v>3.1807999999999996</c:v>
                </c:pt>
                <c:pt idx="5">
                  <c:v>3.1387700000000001</c:v>
                </c:pt>
                <c:pt idx="6">
                  <c:v>3.1979000000000002</c:v>
                </c:pt>
                <c:pt idx="7">
                  <c:v>3.24763</c:v>
                </c:pt>
                <c:pt idx="8">
                  <c:v>3.2341500000000001</c:v>
                </c:pt>
                <c:pt idx="9">
                  <c:v>3.29081</c:v>
                </c:pt>
                <c:pt idx="10">
                  <c:v>3.3698299999999999</c:v>
                </c:pt>
                <c:pt idx="11">
                  <c:v>3.4329000000000001</c:v>
                </c:pt>
                <c:pt idx="12">
                  <c:v>3.4791699999999999</c:v>
                </c:pt>
                <c:pt idx="13">
                  <c:v>3.4702600000000001</c:v>
                </c:pt>
                <c:pt idx="14">
                  <c:v>3.3942199999999998</c:v>
                </c:pt>
                <c:pt idx="15">
                  <c:v>3.3714399999999998</c:v>
                </c:pt>
                <c:pt idx="16">
                  <c:v>3.37019</c:v>
                </c:pt>
                <c:pt idx="17">
                  <c:v>3.3646700000000003</c:v>
                </c:pt>
                <c:pt idx="18">
                  <c:v>3.3777400000000002</c:v>
                </c:pt>
                <c:pt idx="19">
                  <c:v>3.3674200000000001</c:v>
                </c:pt>
                <c:pt idx="20">
                  <c:v>3.3624700000000001</c:v>
                </c:pt>
                <c:pt idx="21">
                  <c:v>3.35825</c:v>
                </c:pt>
                <c:pt idx="22">
                  <c:v>3.3586399999999998</c:v>
                </c:pt>
                <c:pt idx="23">
                  <c:v>3.3630599999999999</c:v>
                </c:pt>
                <c:pt idx="24">
                  <c:v>3.3636700000000004</c:v>
                </c:pt>
              </c:numCache>
              <c:extLst xmlns:c15="http://schemas.microsoft.com/office/drawing/2012/chart"/>
            </c:numRef>
          </c:xVal>
          <c:yVal>
            <c:numRef>
              <c:f>[0]!FT_PH</c:f>
              <c:numCache>
                <c:formatCode>0.00</c:formatCode>
                <c:ptCount val="25"/>
                <c:pt idx="0">
                  <c:v>54.879100000000001</c:v>
                </c:pt>
                <c:pt idx="1">
                  <c:v>54.757300000000001</c:v>
                </c:pt>
                <c:pt idx="2">
                  <c:v>53.421700000000008</c:v>
                </c:pt>
                <c:pt idx="3">
                  <c:v>52.524000000000001</c:v>
                </c:pt>
                <c:pt idx="4">
                  <c:v>52.288100000000007</c:v>
                </c:pt>
                <c:pt idx="5">
                  <c:v>52.030200000000008</c:v>
                </c:pt>
                <c:pt idx="6">
                  <c:v>51.774100000000004</c:v>
                </c:pt>
                <c:pt idx="7">
                  <c:v>52.486400000000003</c:v>
                </c:pt>
                <c:pt idx="8">
                  <c:v>53.762900000000002</c:v>
                </c:pt>
                <c:pt idx="9">
                  <c:v>54.560299999999998</c:v>
                </c:pt>
                <c:pt idx="10">
                  <c:v>55.928599999999996</c:v>
                </c:pt>
                <c:pt idx="11">
                  <c:v>57.459899999999998</c:v>
                </c:pt>
                <c:pt idx="12">
                  <c:v>58.676099999999998</c:v>
                </c:pt>
                <c:pt idx="13">
                  <c:v>59.994700000000002</c:v>
                </c:pt>
                <c:pt idx="14">
                  <c:v>61.120399999999997</c:v>
                </c:pt>
                <c:pt idx="15">
                  <c:v>61.523899999999998</c:v>
                </c:pt>
                <c:pt idx="16">
                  <c:v>62.1173</c:v>
                </c:pt>
                <c:pt idx="17">
                  <c:v>62.778700000000001</c:v>
                </c:pt>
                <c:pt idx="18">
                  <c:v>63.073100000000004</c:v>
                </c:pt>
                <c:pt idx="19">
                  <c:v>63.536300000000004</c:v>
                </c:pt>
                <c:pt idx="20">
                  <c:v>63.851199999999999</c:v>
                </c:pt>
                <c:pt idx="21">
                  <c:v>64.105599999999995</c:v>
                </c:pt>
                <c:pt idx="22">
                  <c:v>64.445999999999998</c:v>
                </c:pt>
                <c:pt idx="23">
                  <c:v>64.724199999999996</c:v>
                </c:pt>
                <c:pt idx="24">
                  <c:v>64.992399999999989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3.3812100000000003</c:v>
                </c:pt>
              </c:numCache>
            </c:numRef>
          </c:xVal>
          <c:yVal>
            <c:numRef>
              <c:f>[0]!FT_PH01</c:f>
              <c:numCache>
                <c:formatCode>0.00</c:formatCode>
                <c:ptCount val="1"/>
                <c:pt idx="0">
                  <c:v>54.879100000000001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3.3812100000000003</c:v>
                </c:pt>
              </c:numCache>
            </c:numRef>
          </c:xVal>
          <c:yVal>
            <c:numRef>
              <c:f>[0]!FT_PH02</c:f>
              <c:numCache>
                <c:formatCode>0.00</c:formatCode>
                <c:ptCount val="1"/>
                <c:pt idx="0">
                  <c:v>54.879100000000001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3.3812100000000003</c:v>
                </c:pt>
              </c:numCache>
            </c:numRef>
          </c:xVal>
          <c:yVal>
            <c:numRef>
              <c:f>[0]!FT_PH03</c:f>
              <c:numCache>
                <c:formatCode>0.00</c:formatCode>
                <c:ptCount val="1"/>
                <c:pt idx="0">
                  <c:v>54.879100000000001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3.3812100000000003</c:v>
                </c:pt>
              </c:numCache>
            </c:numRef>
          </c:xVal>
          <c:yVal>
            <c:numRef>
              <c:f>[0]!FT_PH04</c:f>
              <c:numCache>
                <c:formatCode>0.00</c:formatCode>
                <c:ptCount val="1"/>
                <c:pt idx="0">
                  <c:v>54.879100000000001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3.3812100000000003</c:v>
                </c:pt>
              </c:numCache>
            </c:numRef>
          </c:xVal>
          <c:yVal>
            <c:numRef>
              <c:f>[0]!FT_PH05</c:f>
              <c:numCache>
                <c:formatCode>0.00</c:formatCode>
                <c:ptCount val="1"/>
                <c:pt idx="0">
                  <c:v>54.879100000000001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3.3812100000000003</c:v>
                </c:pt>
              </c:numCache>
            </c:numRef>
          </c:xVal>
          <c:yVal>
            <c:numRef>
              <c:f>[0]!FT_PH06</c:f>
              <c:numCache>
                <c:formatCode>0.00</c:formatCode>
                <c:ptCount val="1"/>
                <c:pt idx="0">
                  <c:v>54.879100000000001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3.3812100000000003</c:v>
                </c:pt>
              </c:numCache>
            </c:numRef>
          </c:xVal>
          <c:yVal>
            <c:numRef>
              <c:f>[0]!FT_PH07</c:f>
              <c:numCache>
                <c:formatCode>0.00</c:formatCode>
                <c:ptCount val="1"/>
                <c:pt idx="0">
                  <c:v>54.879100000000001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3.3812100000000003</c:v>
                </c:pt>
              </c:numCache>
            </c:numRef>
          </c:xVal>
          <c:yVal>
            <c:numRef>
              <c:f>[0]!FT_PH08</c:f>
              <c:numCache>
                <c:formatCode>0.00</c:formatCode>
                <c:ptCount val="1"/>
                <c:pt idx="0">
                  <c:v>54.879100000000001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3.3812100000000003</c:v>
                </c:pt>
              </c:numCache>
            </c:numRef>
          </c:xVal>
          <c:yVal>
            <c:numRef>
              <c:f>[0]!FT_PH09</c:f>
              <c:numCache>
                <c:formatCode>0.00</c:formatCode>
                <c:ptCount val="1"/>
                <c:pt idx="0">
                  <c:v>54.879100000000001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3.3812100000000003</c:v>
                </c:pt>
              </c:numCache>
            </c:numRef>
          </c:xVal>
          <c:yVal>
            <c:numRef>
              <c:f>[0]!FT_PH10</c:f>
              <c:numCache>
                <c:formatCode>0.00</c:formatCode>
                <c:ptCount val="1"/>
                <c:pt idx="0">
                  <c:v>54.879100000000001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3.3812100000000003</c:v>
                </c:pt>
              </c:numCache>
            </c:numRef>
          </c:xVal>
          <c:yVal>
            <c:numRef>
              <c:f>[0]!FT_PH11</c:f>
              <c:numCache>
                <c:formatCode>0.00</c:formatCode>
                <c:ptCount val="1"/>
                <c:pt idx="0">
                  <c:v>54.879100000000001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3.3812100000000003</c:v>
                </c:pt>
              </c:numCache>
            </c:numRef>
          </c:xVal>
          <c:yVal>
            <c:numRef>
              <c:f>[0]!FT_PH12</c:f>
              <c:numCache>
                <c:formatCode>0.00</c:formatCode>
                <c:ptCount val="1"/>
                <c:pt idx="0">
                  <c:v>54.879100000000001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3.3812100000000003</c:v>
                </c:pt>
              </c:numCache>
            </c:numRef>
          </c:xVal>
          <c:yVal>
            <c:numRef>
              <c:f>[0]!FT_PH13</c:f>
              <c:numCache>
                <c:formatCode>0.00</c:formatCode>
                <c:ptCount val="1"/>
                <c:pt idx="0">
                  <c:v>54.879100000000001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3.3812100000000003</c:v>
                </c:pt>
              </c:numCache>
            </c:numRef>
          </c:xVal>
          <c:yVal>
            <c:numRef>
              <c:f>[0]!FT_PH14</c:f>
              <c:numCache>
                <c:formatCode>0.00</c:formatCode>
                <c:ptCount val="1"/>
                <c:pt idx="0">
                  <c:v>54.879100000000001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3.3812100000000003</c:v>
                </c:pt>
              </c:numCache>
            </c:numRef>
          </c:xVal>
          <c:yVal>
            <c:numRef>
              <c:f>[0]!FT_PH15</c:f>
              <c:numCache>
                <c:formatCode>0.00</c:formatCode>
                <c:ptCount val="1"/>
                <c:pt idx="0">
                  <c:v>54.879100000000001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3.3812100000000003</c:v>
                </c:pt>
              </c:numCache>
            </c:numRef>
          </c:xVal>
          <c:yVal>
            <c:numRef>
              <c:f>[0]!FT_PH16</c:f>
              <c:numCache>
                <c:formatCode>0.00</c:formatCode>
                <c:ptCount val="1"/>
                <c:pt idx="0">
                  <c:v>54.879100000000001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3.3812100000000003</c:v>
                </c:pt>
              </c:numCache>
            </c:numRef>
          </c:xVal>
          <c:yVal>
            <c:numRef>
              <c:f>[0]!FT_PH17</c:f>
              <c:numCache>
                <c:formatCode>0.00</c:formatCode>
                <c:ptCount val="1"/>
                <c:pt idx="0">
                  <c:v>54.879100000000001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3.3812100000000003</c:v>
                </c:pt>
              </c:numCache>
            </c:numRef>
          </c:xVal>
          <c:yVal>
            <c:numRef>
              <c:f>[0]!FT_PH18</c:f>
              <c:numCache>
                <c:formatCode>0.00</c:formatCode>
                <c:ptCount val="1"/>
                <c:pt idx="0">
                  <c:v>54.879100000000001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3.3812100000000003</c:v>
                </c:pt>
              </c:numCache>
            </c:numRef>
          </c:xVal>
          <c:yVal>
            <c:numRef>
              <c:f>[0]!FT_PH19</c:f>
              <c:numCache>
                <c:formatCode>0.00</c:formatCode>
                <c:ptCount val="1"/>
                <c:pt idx="0">
                  <c:v>54.879100000000001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3.3812100000000003</c:v>
                </c:pt>
              </c:numCache>
            </c:numRef>
          </c:xVal>
          <c:yVal>
            <c:numRef>
              <c:f>[0]!FT_PH20</c:f>
              <c:numCache>
                <c:formatCode>0.00</c:formatCode>
                <c:ptCount val="1"/>
                <c:pt idx="0">
                  <c:v>54.879100000000001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3.3812100000000003</c:v>
                </c:pt>
              </c:numCache>
            </c:numRef>
          </c:xVal>
          <c:yVal>
            <c:numRef>
              <c:f>[0]!FT_PH21</c:f>
              <c:numCache>
                <c:formatCode>0.00</c:formatCode>
                <c:ptCount val="1"/>
                <c:pt idx="0">
                  <c:v>54.879100000000001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3.3812100000000003</c:v>
                </c:pt>
              </c:numCache>
            </c:numRef>
          </c:xVal>
          <c:yVal>
            <c:numRef>
              <c:f>[0]!FT_PH22</c:f>
              <c:numCache>
                <c:formatCode>0.00</c:formatCode>
                <c:ptCount val="1"/>
                <c:pt idx="0">
                  <c:v>54.879100000000001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3.3812100000000003</c:v>
                </c:pt>
              </c:numCache>
            </c:numRef>
          </c:xVal>
          <c:yVal>
            <c:numRef>
              <c:f>[0]!FT_PH23</c:f>
              <c:numCache>
                <c:formatCode>0.00</c:formatCode>
                <c:ptCount val="1"/>
                <c:pt idx="0">
                  <c:v>54.879100000000001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3.3812100000000003</c:v>
                </c:pt>
              </c:numCache>
            </c:numRef>
          </c:xVal>
          <c:yVal>
            <c:numRef>
              <c:f>[0]!FT_PH24</c:f>
              <c:numCache>
                <c:formatCode>0.00</c:formatCode>
                <c:ptCount val="1"/>
                <c:pt idx="0">
                  <c:v>54.879100000000001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3.3812100000000003</c:v>
                </c:pt>
              </c:numCache>
            </c:numRef>
          </c:xVal>
          <c:yVal>
            <c:numRef>
              <c:f>info!$H$2</c:f>
              <c:numCache>
                <c:formatCode>0.00</c:formatCode>
                <c:ptCount val="1"/>
                <c:pt idx="0">
                  <c:v>54.879100000000001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0.17544150868219699</c:v>
                </c:pt>
                <c:pt idx="1">
                  <c:v>0.52117156113131291</c:v>
                </c:pt>
                <c:pt idx="2">
                  <c:v>0.3033869301864901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0.36979499999999998</c:v>
                </c:pt>
                <c:pt idx="2">
                  <c:v>0.77649699999999999</c:v>
                </c:pt>
                <c:pt idx="3">
                  <c:v>1.18746</c:v>
                </c:pt>
                <c:pt idx="4">
                  <c:v>1.5813200000000001</c:v>
                </c:pt>
                <c:pt idx="5">
                  <c:v>2.0061599999999999</c:v>
                </c:pt>
                <c:pt idx="6">
                  <c:v>2.4031699999999998</c:v>
                </c:pt>
                <c:pt idx="7">
                  <c:v>2.80762</c:v>
                </c:pt>
                <c:pt idx="8">
                  <c:v>3.21706</c:v>
                </c:pt>
                <c:pt idx="9">
                  <c:v>3.6143200000000002</c:v>
                </c:pt>
                <c:pt idx="10">
                  <c:v>4.0239200000000004</c:v>
                </c:pt>
                <c:pt idx="11">
                  <c:v>4.4388399999999999</c:v>
                </c:pt>
                <c:pt idx="12">
                  <c:v>4.8465199999999999</c:v>
                </c:pt>
                <c:pt idx="13">
                  <c:v>5.2465599999999997</c:v>
                </c:pt>
                <c:pt idx="14">
                  <c:v>5.6409500000000001</c:v>
                </c:pt>
                <c:pt idx="15">
                  <c:v>6.0636099999999997</c:v>
                </c:pt>
                <c:pt idx="16">
                  <c:v>6.4830399999999999</c:v>
                </c:pt>
                <c:pt idx="17">
                  <c:v>6.8734900000000003</c:v>
                </c:pt>
                <c:pt idx="18">
                  <c:v>7.2843299999999997</c:v>
                </c:pt>
                <c:pt idx="19">
                  <c:v>7.6909400000000003</c:v>
                </c:pt>
                <c:pt idx="20">
                  <c:v>8.0962399999999999</c:v>
                </c:pt>
                <c:pt idx="21">
                  <c:v>8.4953099999999999</c:v>
                </c:pt>
                <c:pt idx="22">
                  <c:v>8.9029900000000008</c:v>
                </c:pt>
                <c:pt idx="23">
                  <c:v>9.3099699999999999</c:v>
                </c:pt>
                <c:pt idx="24">
                  <c:v>9.71218</c:v>
                </c:pt>
              </c:numCache>
            </c:numRef>
          </c:xVal>
          <c:yVal>
            <c:numRef>
              <c:f>[0]!FT_E</c:f>
              <c:numCache>
                <c:formatCode>0.00</c:formatCode>
                <c:ptCount val="25"/>
                <c:pt idx="0">
                  <c:v>3.3812100000000003</c:v>
                </c:pt>
                <c:pt idx="1">
                  <c:v>3.3744700000000001</c:v>
                </c:pt>
                <c:pt idx="2">
                  <c:v>3.3161700000000001</c:v>
                </c:pt>
                <c:pt idx="3">
                  <c:v>3.2530799999999997</c:v>
                </c:pt>
                <c:pt idx="4">
                  <c:v>3.1807999999999996</c:v>
                </c:pt>
                <c:pt idx="5">
                  <c:v>3.1387700000000001</c:v>
                </c:pt>
                <c:pt idx="6">
                  <c:v>3.1979000000000002</c:v>
                </c:pt>
                <c:pt idx="7">
                  <c:v>3.24763</c:v>
                </c:pt>
                <c:pt idx="8">
                  <c:v>3.2341500000000001</c:v>
                </c:pt>
                <c:pt idx="9">
                  <c:v>3.29081</c:v>
                </c:pt>
                <c:pt idx="10">
                  <c:v>3.3698299999999999</c:v>
                </c:pt>
                <c:pt idx="11">
                  <c:v>3.4329000000000001</c:v>
                </c:pt>
                <c:pt idx="12">
                  <c:v>3.4791699999999999</c:v>
                </c:pt>
                <c:pt idx="13">
                  <c:v>3.4702600000000001</c:v>
                </c:pt>
                <c:pt idx="14">
                  <c:v>3.3942199999999998</c:v>
                </c:pt>
                <c:pt idx="15">
                  <c:v>3.3714399999999998</c:v>
                </c:pt>
                <c:pt idx="16">
                  <c:v>3.37019</c:v>
                </c:pt>
                <c:pt idx="17">
                  <c:v>3.3646700000000003</c:v>
                </c:pt>
                <c:pt idx="18">
                  <c:v>3.3777400000000002</c:v>
                </c:pt>
                <c:pt idx="19">
                  <c:v>3.3674200000000001</c:v>
                </c:pt>
                <c:pt idx="20">
                  <c:v>3.3624700000000001</c:v>
                </c:pt>
                <c:pt idx="21">
                  <c:v>3.35825</c:v>
                </c:pt>
                <c:pt idx="22">
                  <c:v>3.3586399999999998</c:v>
                </c:pt>
                <c:pt idx="23">
                  <c:v>3.3630599999999999</c:v>
                </c:pt>
                <c:pt idx="24">
                  <c:v>3.3636700000000004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3.3812100000000003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3.3812100000000003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3.3812100000000003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3.3812100000000003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3.3812100000000003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3.3812100000000003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3.3812100000000003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3.3812100000000003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3.3812100000000003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3.3812100000000003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3.3812100000000003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3.3812100000000003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3.3812100000000003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3.3812100000000003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3.3812100000000003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3.3812100000000003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3.3812100000000003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3.3812100000000003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3.3812100000000003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3.3812100000000003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3.3812100000000003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3.3812100000000003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3.3812100000000003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3.3812100000000003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0.36979499999999998</c:v>
                </c:pt>
                <c:pt idx="2">
                  <c:v>0.77649699999999999</c:v>
                </c:pt>
                <c:pt idx="3">
                  <c:v>1.18746</c:v>
                </c:pt>
                <c:pt idx="4">
                  <c:v>1.5813200000000001</c:v>
                </c:pt>
                <c:pt idx="5">
                  <c:v>2.0061599999999999</c:v>
                </c:pt>
                <c:pt idx="6">
                  <c:v>2.4031699999999998</c:v>
                </c:pt>
                <c:pt idx="7">
                  <c:v>2.80762</c:v>
                </c:pt>
                <c:pt idx="8">
                  <c:v>3.21706</c:v>
                </c:pt>
                <c:pt idx="9">
                  <c:v>3.6143200000000002</c:v>
                </c:pt>
                <c:pt idx="10">
                  <c:v>4.0239200000000004</c:v>
                </c:pt>
                <c:pt idx="11">
                  <c:v>4.4388399999999999</c:v>
                </c:pt>
                <c:pt idx="12">
                  <c:v>4.8465199999999999</c:v>
                </c:pt>
                <c:pt idx="13">
                  <c:v>5.2465599999999997</c:v>
                </c:pt>
                <c:pt idx="14">
                  <c:v>5.6409500000000001</c:v>
                </c:pt>
                <c:pt idx="15">
                  <c:v>6.0636099999999997</c:v>
                </c:pt>
                <c:pt idx="16">
                  <c:v>6.4830399999999999</c:v>
                </c:pt>
                <c:pt idx="17">
                  <c:v>6.8734900000000003</c:v>
                </c:pt>
                <c:pt idx="18">
                  <c:v>7.2843299999999997</c:v>
                </c:pt>
                <c:pt idx="19">
                  <c:v>7.6909400000000003</c:v>
                </c:pt>
                <c:pt idx="20">
                  <c:v>8.0962399999999999</c:v>
                </c:pt>
                <c:pt idx="21">
                  <c:v>8.4953099999999999</c:v>
                </c:pt>
                <c:pt idx="22">
                  <c:v>8.9029900000000008</c:v>
                </c:pt>
                <c:pt idx="23">
                  <c:v>9.3099699999999999</c:v>
                </c:pt>
                <c:pt idx="24">
                  <c:v>9.71218</c:v>
                </c:pt>
              </c:numCache>
            </c:numRef>
          </c:xVal>
          <c:yVal>
            <c:numRef>
              <c:f>[0]!FT_PH</c:f>
              <c:numCache>
                <c:formatCode>0.00</c:formatCode>
                <c:ptCount val="25"/>
                <c:pt idx="0">
                  <c:v>54.879100000000001</c:v>
                </c:pt>
                <c:pt idx="1">
                  <c:v>54.757300000000001</c:v>
                </c:pt>
                <c:pt idx="2">
                  <c:v>53.421700000000008</c:v>
                </c:pt>
                <c:pt idx="3">
                  <c:v>52.524000000000001</c:v>
                </c:pt>
                <c:pt idx="4">
                  <c:v>52.288100000000007</c:v>
                </c:pt>
                <c:pt idx="5">
                  <c:v>52.030200000000008</c:v>
                </c:pt>
                <c:pt idx="6">
                  <c:v>51.774100000000004</c:v>
                </c:pt>
                <c:pt idx="7">
                  <c:v>52.486400000000003</c:v>
                </c:pt>
                <c:pt idx="8">
                  <c:v>53.762900000000002</c:v>
                </c:pt>
                <c:pt idx="9">
                  <c:v>54.560299999999998</c:v>
                </c:pt>
                <c:pt idx="10">
                  <c:v>55.928599999999996</c:v>
                </c:pt>
                <c:pt idx="11">
                  <c:v>57.459899999999998</c:v>
                </c:pt>
                <c:pt idx="12">
                  <c:v>58.676099999999998</c:v>
                </c:pt>
                <c:pt idx="13">
                  <c:v>59.994700000000002</c:v>
                </c:pt>
                <c:pt idx="14">
                  <c:v>61.120399999999997</c:v>
                </c:pt>
                <c:pt idx="15">
                  <c:v>61.523899999999998</c:v>
                </c:pt>
                <c:pt idx="16">
                  <c:v>62.1173</c:v>
                </c:pt>
                <c:pt idx="17">
                  <c:v>62.778700000000001</c:v>
                </c:pt>
                <c:pt idx="18">
                  <c:v>63.073100000000004</c:v>
                </c:pt>
                <c:pt idx="19">
                  <c:v>63.536300000000004</c:v>
                </c:pt>
                <c:pt idx="20">
                  <c:v>63.851199999999999</c:v>
                </c:pt>
                <c:pt idx="21">
                  <c:v>64.105599999999995</c:v>
                </c:pt>
                <c:pt idx="22">
                  <c:v>64.445999999999998</c:v>
                </c:pt>
                <c:pt idx="23">
                  <c:v>64.724199999999996</c:v>
                </c:pt>
                <c:pt idx="24">
                  <c:v>64.992399999999989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54.879100000000001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54.879100000000001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54.879100000000001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54.879100000000001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54.879100000000001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54.879100000000001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54.879100000000001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54.879100000000001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54.879100000000001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54.879100000000001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54.879100000000001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54.879100000000001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54.879100000000001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54.879100000000001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54.879100000000001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54.879100000000001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54.879100000000001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54.879100000000001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54.879100000000001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54.879100000000001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54.879100000000001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54.879100000000001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54.879100000000001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54.879100000000001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39.96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-1.0752287180947551</c:v>
                </c:pt>
                <c:pt idx="1">
                  <c:v>-1.0752287180947551</c:v>
                </c:pt>
                <c:pt idx="2">
                  <c:v>-7</c:v>
                </c:pt>
              </c:numCache>
            </c:numRef>
          </c:xVal>
          <c:yVal>
            <c:numRef>
              <c:f>'R'!$I$5:$I$7</c:f>
              <c:numCache>
                <c:formatCode>0.0_ </c:formatCode>
                <c:ptCount val="3"/>
                <c:pt idx="0">
                  <c:v>0</c:v>
                </c:pt>
                <c:pt idx="1">
                  <c:v>39.956735811985247</c:v>
                </c:pt>
                <c:pt idx="2">
                  <c:v>39.956735811985247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-1.0752287180947551</c:v>
                </c:pt>
                <c:pt idx="1">
                  <c:v>-1.0752287180947551</c:v>
                </c:pt>
                <c:pt idx="2">
                  <c:v>-7</c:v>
                </c:pt>
              </c:numCache>
            </c:numRef>
          </c:xVal>
          <c:yVal>
            <c:numRef>
              <c:f>'R'!$I$5:$I$7</c:f>
              <c:numCache>
                <c:formatCode>0.0_ </c:formatCode>
                <c:ptCount val="3"/>
                <c:pt idx="0">
                  <c:v>0</c:v>
                </c:pt>
                <c:pt idx="1">
                  <c:v>39.956735811985247</c:v>
                </c:pt>
                <c:pt idx="2">
                  <c:v>39.956735811985247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-1.0752287180947551</c:v>
                </c:pt>
              </c:numCache>
            </c:numRef>
          </c:xVal>
          <c:yVal>
            <c:numRef>
              <c:f>'R'!$I$4</c:f>
              <c:numCache>
                <c:formatCode>0.00_ </c:formatCode>
                <c:ptCount val="1"/>
                <c:pt idx="0">
                  <c:v>39.956735811985247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74.15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74.146450000000002</c:v>
                </c:pt>
                <c:pt idx="1">
                  <c:v>74.146450000000002</c:v>
                </c:pt>
                <c:pt idx="2">
                  <c:v>0</c:v>
                </c:pt>
              </c:numCache>
            </c:numRef>
          </c:xVal>
          <c:yVal>
            <c:numRef>
              <c:f>'R2'!$I$5:$I$7</c:f>
              <c:numCache>
                <c:formatCode>0.0_ </c:formatCode>
                <c:ptCount val="3"/>
                <c:pt idx="0">
                  <c:v>0</c:v>
                </c:pt>
                <c:pt idx="1">
                  <c:v>86.163134248791266</c:v>
                </c:pt>
                <c:pt idx="2">
                  <c:v>86.163134248791266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1.65608</c:v>
                </c:pt>
                <c:pt idx="1">
                  <c:v>1.65608</c:v>
                </c:pt>
                <c:pt idx="2">
                  <c:v>0</c:v>
                </c:pt>
              </c:numCache>
            </c:numRef>
          </c:xVal>
          <c:yVal>
            <c:numRef>
              <c:f>'R3'!$I$6:$I$8</c:f>
              <c:numCache>
                <c:formatCode>0.0_ </c:formatCode>
                <c:ptCount val="3"/>
                <c:pt idx="0">
                  <c:v>0</c:v>
                </c:pt>
                <c:pt idx="1">
                  <c:v>36.612010212680424</c:v>
                </c:pt>
                <c:pt idx="2">
                  <c:v>36.612010212680424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1.65608</c:v>
                </c:pt>
                <c:pt idx="1">
                  <c:v>1.65608</c:v>
                </c:pt>
                <c:pt idx="2">
                  <c:v>0</c:v>
                </c:pt>
              </c:numCache>
            </c:numRef>
          </c:xVal>
          <c:yVal>
            <c:numRef>
              <c:f>'R4'!$I$5:$I$7</c:f>
              <c:numCache>
                <c:formatCode>0.0_ </c:formatCode>
                <c:ptCount val="3"/>
                <c:pt idx="0">
                  <c:v>0</c:v>
                </c:pt>
                <c:pt idx="1">
                  <c:v>5.4005360837182881E-2</c:v>
                </c:pt>
                <c:pt idx="2">
                  <c:v>5.4005360837182881E-2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0.56804528969766854</c:v>
                </c:pt>
                <c:pt idx="1">
                  <c:v>0.24985472803128733</c:v>
                </c:pt>
                <c:pt idx="2">
                  <c:v>0.18209998227104413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0.20681381253473588</c:v>
                </c:pt>
                <c:pt idx="1">
                  <c:v>0.61436702381244723</c:v>
                </c:pt>
                <c:pt idx="2">
                  <c:v>0.17881916365281694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36.6)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76.257411613629372</c:v>
                      </c:pt>
                    </c:numCache>
                  </c:numRef>
                </c:xVal>
                <c:yVal>
                  <c:numRef>
                    <c:extLst>
                      <c:ext uri="{02D57815-91ED-43cb-92C2-25804820EDAC}">
                        <c15:formulaRef>
                          <c15:sqref>info!$W$20:$W$21</c15:sqref>
                        </c15:formulaRef>
                      </c:ext>
                    </c:extLst>
                    <c:numCache>
                      <c:formatCode>General</c:formatCode>
                      <c:ptCount val="2"/>
                      <c:pt idx="0">
                        <c:v>50</c:v>
                      </c:pt>
                      <c:pt idx="1">
                        <c:v>36.612010212680424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(73 , 58.3)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73.040599999999998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41.709499999999998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JjoU%5e1%5e1%5e\2025-07-15%2015_28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JjoU%5e1%5e1%5e\2025-07-15%2015_28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09836BD-952D-D34B-E0FF-7618F95362A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B5CE4FD-9B86-56FA-4A00-AD86E7868BA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45853.64471064815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JjoU</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45853.64471064815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JjoU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-1.0752287180947551</v>
      </c>
      <c r="I20" s="862"/>
      <c r="J20" s="311" t="str">
        <f>lang!B174</f>
        <v>정보량</v>
      </c>
      <c r="K20" s="236">
        <f ca="1">info!N9</f>
        <v>58.432499999999997</v>
      </c>
      <c r="L20" s="312" t="str">
        <f>lang!B175</f>
        <v>에너지</v>
      </c>
      <c r="M20" s="863">
        <f ca="1">info!M9</f>
        <v>3.3367567999999999</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 xml:space="preserve">심리적 편안함이 증가하는 정서 상태이다. 에너지 대사량이 보통이며 거의 변화가 없는 안정된 상태이다.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27.8247</v>
      </c>
      <c r="N32" s="816"/>
      <c r="O32" s="817">
        <f>Measurement!N7</f>
        <v>32.2744</v>
      </c>
      <c r="P32" s="818"/>
      <c r="Q32" s="819">
        <f>Measurement!T7</f>
        <v>38.6006</v>
      </c>
      <c r="R32" s="820"/>
    </row>
    <row r="33" spans="3:18" ht="12.75" customHeight="1">
      <c r="C33" s="77"/>
      <c r="I33" s="502">
        <f>Measurement!L8</f>
        <v>3</v>
      </c>
      <c r="J33" s="139" t="str">
        <f>lang!B15</f>
        <v>스트레스</v>
      </c>
      <c r="K33" s="90" t="s">
        <v>226</v>
      </c>
      <c r="L33" s="504" t="str">
        <f>Measurement!Y8</f>
        <v>보통</v>
      </c>
      <c r="M33" s="792">
        <f>Measurement!R8</f>
        <v>16.595500000000001</v>
      </c>
      <c r="N33" s="793"/>
      <c r="O33" s="806">
        <f>Measurement!N8</f>
        <v>23.3432</v>
      </c>
      <c r="P33" s="807"/>
      <c r="Q33" s="792">
        <f>Measurement!T8</f>
        <v>38.788499999999999</v>
      </c>
      <c r="R33" s="808"/>
    </row>
    <row r="34" spans="3:18" ht="12.75" customHeight="1">
      <c r="C34" s="77"/>
      <c r="I34" s="502">
        <f>Measurement!L9</f>
        <v>2</v>
      </c>
      <c r="J34" s="139" t="str">
        <f>lang!B16</f>
        <v>불안</v>
      </c>
      <c r="K34" s="90" t="s">
        <v>227</v>
      </c>
      <c r="L34" s="504" t="str">
        <f>Measurement!Y9</f>
        <v>낮음</v>
      </c>
      <c r="M34" s="792">
        <f>Measurement!R9</f>
        <v>5.0831900000000001</v>
      </c>
      <c r="N34" s="793"/>
      <c r="O34" s="806">
        <f>Measurement!N9</f>
        <v>15.2967</v>
      </c>
      <c r="P34" s="807"/>
      <c r="Q34" s="792">
        <f>Measurement!T9</f>
        <v>55.04</v>
      </c>
      <c r="R34" s="808"/>
    </row>
    <row r="35" spans="3:18" ht="12.75" customHeight="1">
      <c r="C35" s="77"/>
      <c r="I35" s="502">
        <f>Measurement!L10</f>
        <v>3</v>
      </c>
      <c r="J35" s="139" t="str">
        <f>lang!B17</f>
        <v>의심</v>
      </c>
      <c r="K35" s="90" t="s">
        <v>225</v>
      </c>
      <c r="L35" s="504" t="str">
        <f>Measurement!Y10</f>
        <v>보통</v>
      </c>
      <c r="M35" s="792">
        <f>Measurement!R10</f>
        <v>20.405899999999999</v>
      </c>
      <c r="N35" s="793"/>
      <c r="O35" s="806">
        <f>Measurement!N10</f>
        <v>28.5825</v>
      </c>
      <c r="P35" s="807"/>
      <c r="Q35" s="792">
        <f>Measurement!T10</f>
        <v>36.305999999999997</v>
      </c>
      <c r="R35" s="808"/>
    </row>
    <row r="36" spans="3:18" ht="12.75" customHeight="1">
      <c r="C36" s="77"/>
      <c r="I36" s="502">
        <f>Measurement!L11</f>
        <v>4</v>
      </c>
      <c r="J36" s="139" t="str">
        <f>lang!B18</f>
        <v>밸런스</v>
      </c>
      <c r="K36" s="90" t="s">
        <v>2171</v>
      </c>
      <c r="L36" s="504" t="str">
        <f>Measurement!Y11</f>
        <v>높음</v>
      </c>
      <c r="M36" s="792">
        <f>Measurement!R11</f>
        <v>66.764799999999994</v>
      </c>
      <c r="N36" s="793"/>
      <c r="O36" s="806">
        <f>Measurement!N11</f>
        <v>75.693299999999994</v>
      </c>
      <c r="P36" s="807"/>
      <c r="Q36" s="792">
        <f>Measurement!T11</f>
        <v>85.375399999999999</v>
      </c>
      <c r="R36" s="808"/>
    </row>
    <row r="37" spans="3:18" ht="12.75" customHeight="1">
      <c r="C37" s="77"/>
      <c r="I37" s="502">
        <f>Measurement!L12</f>
        <v>3</v>
      </c>
      <c r="J37" s="139" t="str">
        <f>lang!B19</f>
        <v>카리스마</v>
      </c>
      <c r="K37" s="90" t="s">
        <v>229</v>
      </c>
      <c r="L37" s="504" t="str">
        <f>Measurement!Y12</f>
        <v>보통</v>
      </c>
      <c r="M37" s="792">
        <f>Measurement!R12</f>
        <v>35.736400000000003</v>
      </c>
      <c r="N37" s="793"/>
      <c r="O37" s="806">
        <f>Measurement!N12</f>
        <v>56.9602</v>
      </c>
      <c r="P37" s="807"/>
      <c r="Q37" s="792">
        <f>Measurement!T12</f>
        <v>84.489699999999999</v>
      </c>
      <c r="R37" s="808"/>
    </row>
    <row r="38" spans="3:18" ht="12.75" customHeight="1">
      <c r="C38" s="77"/>
      <c r="I38" s="502">
        <f>Measurement!L13</f>
        <v>3</v>
      </c>
      <c r="J38" s="139" t="str">
        <f>lang!B20</f>
        <v>에너지</v>
      </c>
      <c r="K38" s="90" t="s">
        <v>2170</v>
      </c>
      <c r="L38" s="504" t="str">
        <f>Measurement!Y13</f>
        <v>보통</v>
      </c>
      <c r="M38" s="792">
        <f>Measurement!R13</f>
        <v>18.743500000000001</v>
      </c>
      <c r="N38" s="793"/>
      <c r="O38" s="806">
        <f>Measurement!N13</f>
        <v>26.0854</v>
      </c>
      <c r="P38" s="807"/>
      <c r="Q38" s="792">
        <f>Measurement!T13</f>
        <v>30.4498</v>
      </c>
      <c r="R38" s="808"/>
    </row>
    <row r="39" spans="3:18" ht="12.75" customHeight="1">
      <c r="C39" s="77"/>
      <c r="I39" s="502">
        <f>Measurement!L14</f>
        <v>3</v>
      </c>
      <c r="J39" s="139" t="str">
        <f>lang!B21</f>
        <v>자기조절</v>
      </c>
      <c r="K39" s="90" t="s">
        <v>230</v>
      </c>
      <c r="L39" s="504" t="str">
        <f>Measurement!Y14</f>
        <v>보통</v>
      </c>
      <c r="M39" s="792">
        <f>Measurement!R14</f>
        <v>52.044199999999996</v>
      </c>
      <c r="N39" s="793"/>
      <c r="O39" s="806">
        <f>Measurement!N14</f>
        <v>67.467299999999994</v>
      </c>
      <c r="P39" s="807"/>
      <c r="Q39" s="792">
        <f>Measurement!T14</f>
        <v>84.218800000000002</v>
      </c>
      <c r="R39" s="808"/>
    </row>
    <row r="40" spans="3:18" ht="12.75" customHeight="1">
      <c r="C40" s="77"/>
      <c r="I40" s="502">
        <f>Measurement!L15</f>
        <v>4</v>
      </c>
      <c r="J40" s="139" t="str">
        <f>lang!B22</f>
        <v>억제</v>
      </c>
      <c r="K40" s="91" t="s">
        <v>248</v>
      </c>
      <c r="L40" s="504" t="str">
        <f>Measurement!Y15</f>
        <v>높음</v>
      </c>
      <c r="M40" s="792">
        <f>Measurement!R15</f>
        <v>24.345300000000002</v>
      </c>
      <c r="N40" s="793"/>
      <c r="O40" s="806">
        <f>Measurement!N15</f>
        <v>30.026199999999999</v>
      </c>
      <c r="P40" s="807"/>
      <c r="Q40" s="792">
        <f>Measurement!T15</f>
        <v>40.858800000000002</v>
      </c>
      <c r="R40" s="808"/>
    </row>
    <row r="41" spans="3:18" ht="12.75" customHeight="1" thickBot="1">
      <c r="C41" s="77"/>
      <c r="I41" s="502">
        <f>Measurement!L16</f>
        <v>4</v>
      </c>
      <c r="J41" s="140" t="str">
        <f>lang!B23</f>
        <v>신경성</v>
      </c>
      <c r="K41" s="92" t="s">
        <v>231</v>
      </c>
      <c r="L41" s="504" t="str">
        <f>Measurement!Y16</f>
        <v>높음</v>
      </c>
      <c r="M41" s="794">
        <f>Measurement!R16</f>
        <v>3.74742</v>
      </c>
      <c r="N41" s="795"/>
      <c r="O41" s="796">
        <f>Measurement!N16</f>
        <v>42.489400000000003</v>
      </c>
      <c r="P41" s="797"/>
      <c r="Q41" s="794">
        <f>Measurement!T16</f>
        <v>56.765500000000003</v>
      </c>
      <c r="R41" s="798"/>
    </row>
    <row r="42" spans="3:18" ht="29.25" customHeight="1" thickBot="1">
      <c r="C42" s="77"/>
      <c r="I42" s="84"/>
      <c r="J42" s="780" t="str">
        <f>lang!B215</f>
        <v>감정변이도</v>
      </c>
      <c r="K42" s="781"/>
      <c r="L42" s="319" t="str">
        <f>info!V43</f>
        <v>보통</v>
      </c>
      <c r="M42" s="782">
        <f>info!W43</f>
        <v>28.342500000000001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1.65608</v>
      </c>
      <c r="E44" s="249" t="s">
        <v>1072</v>
      </c>
      <c r="G44" s="289"/>
      <c r="H44" s="289"/>
      <c r="I44" s="290"/>
      <c r="J44" s="802">
        <f>info!$W$36</f>
        <v>74.146450000000002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45853.64471064815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JjoU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-1.0752287180947551</v>
      </c>
      <c r="I20" s="862"/>
      <c r="J20" s="311" t="str">
        <f>lang!B174</f>
        <v>정보량</v>
      </c>
      <c r="K20" s="236">
        <f ca="1">info!N9</f>
        <v>58.432499999999997</v>
      </c>
      <c r="L20" s="312" t="str">
        <f>lang!B175</f>
        <v>에너지</v>
      </c>
      <c r="M20" s="863">
        <f ca="1">info!M9</f>
        <v>3.3367567999999999</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 xml:space="preserve">심리적 편안함이 증가하는 정서 상태이다. 에너지 대사량이 보통이며 거의 변화가 없는 안정된 상태이다.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27.8247</v>
      </c>
      <c r="N32" s="816"/>
      <c r="O32" s="817">
        <f>Measurement!N7</f>
        <v>32.2744</v>
      </c>
      <c r="P32" s="818"/>
      <c r="Q32" s="819">
        <f>Measurement!T7</f>
        <v>38.6006</v>
      </c>
      <c r="R32" s="820"/>
    </row>
    <row r="33" spans="3:18" ht="12.75" customHeight="1">
      <c r="C33" s="77"/>
      <c r="I33" s="502">
        <f>Measurement!L8</f>
        <v>3</v>
      </c>
      <c r="J33" s="139" t="str">
        <f>lang!B15</f>
        <v>스트레스</v>
      </c>
      <c r="K33" s="90" t="s">
        <v>226</v>
      </c>
      <c r="L33" s="504" t="str">
        <f>Measurement!Y8</f>
        <v>보통</v>
      </c>
      <c r="M33" s="792">
        <f>Measurement!R8</f>
        <v>16.595500000000001</v>
      </c>
      <c r="N33" s="793"/>
      <c r="O33" s="806">
        <f>Measurement!N8</f>
        <v>23.3432</v>
      </c>
      <c r="P33" s="807"/>
      <c r="Q33" s="792">
        <f>Measurement!T8</f>
        <v>38.788499999999999</v>
      </c>
      <c r="R33" s="808"/>
    </row>
    <row r="34" spans="3:18" ht="12.75" customHeight="1">
      <c r="C34" s="77"/>
      <c r="I34" s="502">
        <f>Measurement!L9</f>
        <v>2</v>
      </c>
      <c r="J34" s="139" t="str">
        <f>lang!B16</f>
        <v>불안</v>
      </c>
      <c r="K34" s="90" t="s">
        <v>227</v>
      </c>
      <c r="L34" s="504" t="str">
        <f>Measurement!Y9</f>
        <v>낮음</v>
      </c>
      <c r="M34" s="792">
        <f>Measurement!R9</f>
        <v>5.0831900000000001</v>
      </c>
      <c r="N34" s="793"/>
      <c r="O34" s="806">
        <f>Measurement!N9</f>
        <v>15.2967</v>
      </c>
      <c r="P34" s="807"/>
      <c r="Q34" s="792">
        <f>Measurement!T9</f>
        <v>55.04</v>
      </c>
      <c r="R34" s="808"/>
    </row>
    <row r="35" spans="3:18" ht="12.75" customHeight="1">
      <c r="C35" s="77"/>
      <c r="I35" s="502">
        <f>Measurement!L10</f>
        <v>3</v>
      </c>
      <c r="J35" s="139" t="str">
        <f>lang!B17</f>
        <v>의심</v>
      </c>
      <c r="K35" s="90" t="s">
        <v>225</v>
      </c>
      <c r="L35" s="504" t="str">
        <f>Measurement!Y10</f>
        <v>보통</v>
      </c>
      <c r="M35" s="792">
        <f>Measurement!R10</f>
        <v>20.405899999999999</v>
      </c>
      <c r="N35" s="793"/>
      <c r="O35" s="806">
        <f>Measurement!N10</f>
        <v>28.5825</v>
      </c>
      <c r="P35" s="807"/>
      <c r="Q35" s="792">
        <f>Measurement!T10</f>
        <v>36.305999999999997</v>
      </c>
      <c r="R35" s="808"/>
    </row>
    <row r="36" spans="3:18" ht="12.75" customHeight="1">
      <c r="C36" s="77"/>
      <c r="I36" s="502">
        <f>Measurement!L11</f>
        <v>4</v>
      </c>
      <c r="J36" s="139" t="str">
        <f>lang!B18</f>
        <v>밸런스</v>
      </c>
      <c r="K36" s="90" t="s">
        <v>2171</v>
      </c>
      <c r="L36" s="504" t="str">
        <f>Measurement!Y11</f>
        <v>높음</v>
      </c>
      <c r="M36" s="792">
        <f>Measurement!R11</f>
        <v>66.764799999999994</v>
      </c>
      <c r="N36" s="793"/>
      <c r="O36" s="806">
        <f>Measurement!N11</f>
        <v>75.693299999999994</v>
      </c>
      <c r="P36" s="807"/>
      <c r="Q36" s="792">
        <f>Measurement!T11</f>
        <v>85.375399999999999</v>
      </c>
      <c r="R36" s="808"/>
    </row>
    <row r="37" spans="3:18" ht="12.75" customHeight="1">
      <c r="C37" s="77"/>
      <c r="I37" s="502">
        <f>Measurement!L12</f>
        <v>3</v>
      </c>
      <c r="J37" s="139" t="str">
        <f>lang!B19</f>
        <v>카리스마</v>
      </c>
      <c r="K37" s="90" t="s">
        <v>229</v>
      </c>
      <c r="L37" s="504" t="str">
        <f>Measurement!Y12</f>
        <v>보통</v>
      </c>
      <c r="M37" s="792">
        <f>Measurement!R12</f>
        <v>35.736400000000003</v>
      </c>
      <c r="N37" s="793"/>
      <c r="O37" s="806">
        <f>Measurement!N12</f>
        <v>56.9602</v>
      </c>
      <c r="P37" s="807"/>
      <c r="Q37" s="792">
        <f>Measurement!T12</f>
        <v>84.489699999999999</v>
      </c>
      <c r="R37" s="808"/>
    </row>
    <row r="38" spans="3:18" ht="12.75" customHeight="1">
      <c r="C38" s="77"/>
      <c r="I38" s="502">
        <f>Measurement!L13</f>
        <v>3</v>
      </c>
      <c r="J38" s="139" t="str">
        <f>lang!B20</f>
        <v>에너지</v>
      </c>
      <c r="K38" s="90" t="s">
        <v>2170</v>
      </c>
      <c r="L38" s="504" t="str">
        <f>Measurement!Y13</f>
        <v>보통</v>
      </c>
      <c r="M38" s="792">
        <f>Measurement!R13</f>
        <v>18.743500000000001</v>
      </c>
      <c r="N38" s="793"/>
      <c r="O38" s="806">
        <f>Measurement!N13</f>
        <v>26.0854</v>
      </c>
      <c r="P38" s="807"/>
      <c r="Q38" s="792">
        <f>Measurement!T13</f>
        <v>30.4498</v>
      </c>
      <c r="R38" s="808"/>
    </row>
    <row r="39" spans="3:18" ht="12.75" customHeight="1">
      <c r="C39" s="77"/>
      <c r="I39" s="502">
        <f>Measurement!L14</f>
        <v>3</v>
      </c>
      <c r="J39" s="139" t="str">
        <f>lang!B21</f>
        <v>자기조절</v>
      </c>
      <c r="K39" s="90" t="s">
        <v>230</v>
      </c>
      <c r="L39" s="504" t="str">
        <f>Measurement!Y14</f>
        <v>보통</v>
      </c>
      <c r="M39" s="792">
        <f>Measurement!R14</f>
        <v>52.044199999999996</v>
      </c>
      <c r="N39" s="793"/>
      <c r="O39" s="806">
        <f>Measurement!N14</f>
        <v>67.467299999999994</v>
      </c>
      <c r="P39" s="807"/>
      <c r="Q39" s="792">
        <f>Measurement!T14</f>
        <v>84.218800000000002</v>
      </c>
      <c r="R39" s="808"/>
    </row>
    <row r="40" spans="3:18" ht="12.75" customHeight="1">
      <c r="C40" s="77"/>
      <c r="I40" s="502">
        <f>Measurement!L15</f>
        <v>4</v>
      </c>
      <c r="J40" s="139" t="str">
        <f>lang!B22</f>
        <v>억제</v>
      </c>
      <c r="K40" s="91" t="s">
        <v>248</v>
      </c>
      <c r="L40" s="504" t="str">
        <f>Measurement!Y15</f>
        <v>높음</v>
      </c>
      <c r="M40" s="792">
        <f>Measurement!R15</f>
        <v>24.345300000000002</v>
      </c>
      <c r="N40" s="793"/>
      <c r="O40" s="806">
        <f>Measurement!N15</f>
        <v>30.026199999999999</v>
      </c>
      <c r="P40" s="807"/>
      <c r="Q40" s="792">
        <f>Measurement!T15</f>
        <v>40.858800000000002</v>
      </c>
      <c r="R40" s="808"/>
    </row>
    <row r="41" spans="3:18" ht="12.75" customHeight="1" thickBot="1">
      <c r="C41" s="77"/>
      <c r="I41" s="502">
        <f>Measurement!L16</f>
        <v>4</v>
      </c>
      <c r="J41" s="140" t="str">
        <f>lang!B23</f>
        <v>신경성</v>
      </c>
      <c r="K41" s="92" t="s">
        <v>231</v>
      </c>
      <c r="L41" s="504" t="str">
        <f>Measurement!Y16</f>
        <v>높음</v>
      </c>
      <c r="M41" s="794">
        <f>Measurement!R16</f>
        <v>3.74742</v>
      </c>
      <c r="N41" s="795"/>
      <c r="O41" s="796">
        <f>Measurement!N16</f>
        <v>42.489400000000003</v>
      </c>
      <c r="P41" s="797"/>
      <c r="Q41" s="794">
        <f>Measurement!T16</f>
        <v>56.765500000000003</v>
      </c>
      <c r="R41" s="798"/>
    </row>
    <row r="42" spans="3:18" ht="29.25" customHeight="1" thickBot="1">
      <c r="C42" s="77"/>
      <c r="I42" s="84"/>
      <c r="J42" s="780" t="str">
        <f>lang!B215</f>
        <v>감정변이도</v>
      </c>
      <c r="K42" s="781"/>
      <c r="L42" s="319" t="str">
        <f>info!V43</f>
        <v>보통</v>
      </c>
      <c r="M42" s="782">
        <f>info!W43</f>
        <v>28.342500000000001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1.65608</v>
      </c>
      <c r="E44" s="249" t="s">
        <v>1195</v>
      </c>
      <c r="G44" s="289"/>
      <c r="H44" s="289"/>
      <c r="I44" s="290"/>
      <c r="J44" s="802">
        <f>info!$W$36</f>
        <v>74.146450000000002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45853.64471064815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JjoU</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(-0.05,0.09)</v>
      </c>
      <c r="S18" s="966"/>
      <c r="T18" s="967"/>
    </row>
    <row r="19" spans="2:22" ht="16.5" customHeight="1">
      <c r="C19" s="136" t="str">
        <f>lang!B328</f>
        <v>최소값</v>
      </c>
      <c r="D19" s="105">
        <f ca="1">info!M7</f>
        <v>51.774100000000004</v>
      </c>
      <c r="E19" s="94" t="str">
        <f>lang!B330</f>
        <v>평균값</v>
      </c>
      <c r="F19" s="971">
        <f ca="1">info!N9</f>
        <v>58.432499999999997</v>
      </c>
      <c r="G19" s="972"/>
      <c r="H19" s="912" t="str">
        <f>lang!B329</f>
        <v>최대값</v>
      </c>
      <c r="I19" s="913"/>
      <c r="J19" s="105">
        <f ca="1">info!M8</f>
        <v>64.992399999999989</v>
      </c>
      <c r="K19" s="137" t="str">
        <f>lang!B328</f>
        <v>최소값</v>
      </c>
      <c r="L19" s="105">
        <f ca="1">info!M5</f>
        <v>3.1387700000000001</v>
      </c>
      <c r="M19" s="94" t="str">
        <f>lang!B330</f>
        <v>평균값</v>
      </c>
      <c r="N19" s="971">
        <f ca="1">info!M9</f>
        <v>3.3367567999999999</v>
      </c>
      <c r="O19" s="972">
        <f>info!T9</f>
        <v>1</v>
      </c>
      <c r="P19" s="94" t="str">
        <f>lang!B329</f>
        <v>최대값</v>
      </c>
      <c r="Q19" s="105">
        <f ca="1">info!M6</f>
        <v>3.4791699999999999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17.499652864549446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1.6560760000000001</v>
      </c>
      <c r="N47" s="986"/>
      <c r="O47" s="451"/>
      <c r="P47" s="491" t="s">
        <v>1101</v>
      </c>
      <c r="Q47" s="987">
        <f>hist!M3</f>
        <v>0.56348900000000002</v>
      </c>
      <c r="R47" s="986"/>
      <c r="S47" s="451"/>
      <c r="T47" s="452"/>
    </row>
    <row r="48" spans="3:20" ht="18" customHeight="1">
      <c r="C48" s="931"/>
      <c r="D48" s="910"/>
      <c r="E48" s="910"/>
      <c r="F48" s="355"/>
      <c r="G48" s="355"/>
      <c r="H48" s="356"/>
      <c r="I48" s="356"/>
      <c r="J48" s="951"/>
      <c r="K48" s="951"/>
      <c r="L48" s="936"/>
      <c r="M48" s="988">
        <f>hist!N2</f>
        <v>0.34471400000000002</v>
      </c>
      <c r="N48" s="989"/>
      <c r="O48" s="451"/>
      <c r="P48" s="491" t="s">
        <v>1102</v>
      </c>
      <c r="Q48" s="986">
        <f>hist!N3</f>
        <v>0.28498899999999999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0.118827</v>
      </c>
      <c r="N49" s="991"/>
      <c r="O49" s="453"/>
      <c r="P49" s="454" t="s">
        <v>1588</v>
      </c>
      <c r="Q49" s="992">
        <f>hist!O3</f>
        <v>8.1219E-2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vision^JjoU^1^1^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76.257411613629372</v>
      </c>
      <c r="CK4" s="422">
        <f>info!W21</f>
        <v>36.612010212680424</v>
      </c>
      <c r="CL4">
        <f>100-M!B19*100</f>
        <v>41.709499999999998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45853.64471064815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28.342500000000001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4</v>
      </c>
      <c r="BZ6" s="220">
        <f t="shared" si="0"/>
        <v>2</v>
      </c>
      <c r="CA6" s="220">
        <f t="shared" si="0"/>
        <v>10</v>
      </c>
      <c r="CB6" s="220">
        <f t="shared" si="0"/>
        <v>6</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32.2744</v>
      </c>
      <c r="O7" s="48">
        <f>M!C5*1</f>
        <v>2.4349799999999999</v>
      </c>
      <c r="P7" s="48">
        <f>M!D5*1</f>
        <v>7.5446</v>
      </c>
      <c r="Q7" s="48">
        <f>M!E5*1</f>
        <v>20</v>
      </c>
      <c r="R7" s="48">
        <f>IF(M!B5="","",M!F5*1)</f>
        <v>27.8247</v>
      </c>
      <c r="S7" s="48">
        <f>M!G5*1</f>
        <v>50</v>
      </c>
      <c r="T7" s="48">
        <f>IF(M!B5="","",M!H5*1)</f>
        <v>38.6006</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-1.6536110570688736</v>
      </c>
      <c r="AI7" s="98">
        <v>2.5024862326905418E-2</v>
      </c>
      <c r="AJ7" s="98">
        <v>-7.7313821231156016E-2</v>
      </c>
      <c r="AK7" s="98">
        <v>0.50012525104428274</v>
      </c>
      <c r="AL7" s="98">
        <v>-8.545985269705475E-2</v>
      </c>
      <c r="AM7" s="98">
        <f>$AH7*AI7+$AH8*AI8+$AH9*AI9+$AH10*AI10+$AH11*AI11+$AH12*AI12+$AH13*AI13+$AH14*AI14+$AH15*AI15+$AH16*AI16</f>
        <v>-0.4058090578450454</v>
      </c>
      <c r="AN7" s="98">
        <f t="shared" ref="AN7:AP7" si="2">$AH7*AJ7+$AH8*AJ8+$AH9*AJ9+$AH10*AJ10+$AH11*AJ11+$AH12*AJ12+$AH13*AJ13+$AH14*AJ14+$AH15*AJ15+$AH16*AJ16</f>
        <v>-2.504724289251028</v>
      </c>
      <c r="AO7" s="98">
        <f t="shared" si="2"/>
        <v>-0.6972145671514145</v>
      </c>
      <c r="AP7" s="98">
        <f t="shared" si="2"/>
        <v>0.16003119769937957</v>
      </c>
      <c r="AQ7" s="335">
        <f>IF(SUM(N7:N16)&gt;0, 0.8608*AM7+0.333*AN7+0.104*AO7+1.129*AP7,"")</f>
        <v>-1.0752287180947551</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32.2744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226.64944828900002</v>
      </c>
      <c r="BL7" s="56">
        <f t="shared" ref="BL7:BT7" si="3">BB7*$AY7+BB8*$AY8+BB9*$AY9+BB10*$AY10+BB11*$AY11+BB12*$AY12+BB13*$AY13+BB14</f>
        <v>222.85356164499996</v>
      </c>
      <c r="BM7" s="56">
        <f t="shared" si="3"/>
        <v>218.92241452499991</v>
      </c>
      <c r="BN7" s="56">
        <f t="shared" si="3"/>
        <v>222.46402809749992</v>
      </c>
      <c r="BO7" s="56">
        <f t="shared" si="3"/>
        <v>225.32019185900003</v>
      </c>
      <c r="BP7" s="56">
        <f t="shared" si="3"/>
        <v>198.25647354499995</v>
      </c>
      <c r="BQ7" s="56">
        <f t="shared" si="3"/>
        <v>215.33198330049993</v>
      </c>
      <c r="BR7" s="56">
        <f t="shared" si="3"/>
        <v>214.72755513449999</v>
      </c>
      <c r="BS7" s="56">
        <f t="shared" si="3"/>
        <v>206.965157014</v>
      </c>
      <c r="BT7" s="56">
        <f t="shared" si="3"/>
        <v>206.94394230099999</v>
      </c>
      <c r="BU7" s="56">
        <f>EXP(BK7)+EXP(BL7)+EXP(BM7)+EXP(BN7)+EXP(BO7)+EXP(BP7)+EXP(BQ7)+EXP(BR7)+EXP(BS7)+EXP(BT7)</f>
        <v>3.5276588729856092E+98</v>
      </c>
      <c r="BV7" s="56">
        <f>IF(SUM($AY$7:$AY$13)&gt;0,EXP(BK7)/$BU$7,"")</f>
        <v>0.76757025476613272</v>
      </c>
      <c r="BW7" s="56">
        <f t="shared" ref="BW7:CE7" si="4">IF(SUM($AY$7:$AY$13)&gt;0,EXP(BL7)/$BU$7,"")</f>
        <v>1.7241915525422095E-2</v>
      </c>
      <c r="BX7" s="56">
        <f t="shared" si="4"/>
        <v>3.3830624224131736E-4</v>
      </c>
      <c r="BY7" s="56">
        <f t="shared" si="4"/>
        <v>1.1679203959517156E-2</v>
      </c>
      <c r="BZ7" s="56">
        <f t="shared" si="4"/>
        <v>0.20315588330775367</v>
      </c>
      <c r="CA7" s="56">
        <f t="shared" si="4"/>
        <v>3.5826623541485619E-13</v>
      </c>
      <c r="CB7" s="56">
        <f t="shared" si="4"/>
        <v>9.3326621172183864E-6</v>
      </c>
      <c r="CC7" s="56">
        <f t="shared" si="4"/>
        <v>5.0992432017671524E-6</v>
      </c>
      <c r="CD7" s="56">
        <f t="shared" si="4"/>
        <v>2.1693971011779059E-9</v>
      </c>
      <c r="CE7" s="56">
        <f t="shared" si="4"/>
        <v>2.1238587141190947E-9</v>
      </c>
      <c r="CF7" s="418" t="s">
        <v>1870</v>
      </c>
      <c r="CG7" s="221">
        <f>IF(SUM($AY$7:$AY$13)&gt;0,HLOOKUP(1,$BV$6:$CE$7,2,FALSE),"")</f>
        <v>0.76757025476613272</v>
      </c>
      <c r="CH7" s="221">
        <f>IF(SUM($AY$7:$AY$13)&gt;0,HLOOKUP(2,$BV$6:$CE$7,2,FALSE),"")</f>
        <v>0.20315588330775367</v>
      </c>
      <c r="CI7" s="425" t="str">
        <f>"( "&amp;IF(CG7&lt;&gt;"",ROUND(CG7*100,0),"")&amp;" , "&amp;IF(CH7&lt;&gt;"",ROUND(CH7*100,0),"")&amp;" )"</f>
        <v>( 77 , 20 )</v>
      </c>
      <c r="CJ7" s="420">
        <f>CG7</f>
        <v>0.76757025476613272</v>
      </c>
      <c r="CK7" s="420">
        <f>CH7</f>
        <v>0.20315588330775367</v>
      </c>
      <c r="CL7" s="425" t="str">
        <f>CI7</f>
        <v>( 77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32.2744</v>
      </c>
      <c r="DJ7" s="265">
        <f>(DI7-$DB7)/$DC7</f>
        <v>-0.59427653193530061</v>
      </c>
      <c r="DK7" s="266">
        <f>IF(DH7=1,(DJ7-DF7)^2,0)</f>
        <v>3.0298635482167038</v>
      </c>
      <c r="DL7" s="267">
        <f>IF(DH7=1,(DJ7-DG7)^2,0)</f>
        <v>6.899078668817082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23.3432</v>
      </c>
      <c r="O8" s="48">
        <f>M!C6*1</f>
        <v>3.93926</v>
      </c>
      <c r="P8" s="48">
        <f>M!D6*1</f>
        <v>16.875399999999999</v>
      </c>
      <c r="Q8" s="48">
        <f>M!E6*1</f>
        <v>20</v>
      </c>
      <c r="R8" s="48">
        <f>IF(M!B6="","",M!F6*1)</f>
        <v>16.595500000000001</v>
      </c>
      <c r="S8" s="48">
        <f>M!G6*1</f>
        <v>40</v>
      </c>
      <c r="T8" s="48">
        <f>IF(M!B6="","",M!H6*1)</f>
        <v>38.788499999999999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-1.9433834357979385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23.3432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23.3432</v>
      </c>
      <c r="DJ8" s="265">
        <f t="shared" ref="DJ8:DJ14" si="8">(DI8-$DB8)/$DC8</f>
        <v>-1.2025696317543992</v>
      </c>
      <c r="DK8" s="273">
        <f t="shared" ref="DK8:DK14" si="9">IF(DH8=1,(DJ8-DF8)^2,0)</f>
        <v>7.8439182601864652E-2</v>
      </c>
      <c r="DL8" s="274">
        <f t="shared" ref="DL8:DL14" si="10">IF(DH8=1,(DJ8-DG8)^2,0)</f>
        <v>2.1728847829514235</v>
      </c>
    </row>
    <row r="9" spans="2:119" s="5" customFormat="1" ht="24.75" customHeight="1" thickBot="1">
      <c r="B9" s="62" t="str">
        <f>CONCATENATE(M7,"
(20 ~ 50)")</f>
        <v>적극/공격성
(20 ~ 50)</v>
      </c>
      <c r="C9" s="63">
        <f>R7</f>
        <v>27.8247</v>
      </c>
      <c r="D9" s="64">
        <f>N7</f>
        <v>32.2744</v>
      </c>
      <c r="E9" s="65">
        <f>T7</f>
        <v>38.6006</v>
      </c>
      <c r="F9" s="65">
        <f>P7</f>
        <v>7.5446</v>
      </c>
      <c r="G9" s="66" t="str">
        <f>CONCATENATE(M8,"
(20 ~ 40)")</f>
        <v>스트레스
(20 ~ 40)</v>
      </c>
      <c r="H9" s="63">
        <f>R8</f>
        <v>16.595500000000001</v>
      </c>
      <c r="I9" s="67">
        <f>N8</f>
        <v>23.3432</v>
      </c>
      <c r="J9" s="63">
        <f>T8</f>
        <v>38.788499999999999</v>
      </c>
      <c r="K9" s="68">
        <f>P8</f>
        <v>16.875399999999999</v>
      </c>
      <c r="L9" s="1">
        <f>IF(M!B7="","",IF(N9&lt;U9,1,IF(N9&lt;V9,2,IF(N9&lt;W9,3,IF(N9&lt;X9,4,5)))))</f>
        <v>2</v>
      </c>
      <c r="M9" s="162" t="str">
        <f>lang!B16</f>
        <v>불안</v>
      </c>
      <c r="N9" s="48">
        <f>IF(M!B7="","",M!B7*1)</f>
        <v>15.2967</v>
      </c>
      <c r="O9" s="48">
        <f>M!C7*1</f>
        <v>19.523399999999999</v>
      </c>
      <c r="P9" s="48">
        <f>M!D7*1</f>
        <v>127.631</v>
      </c>
      <c r="Q9" s="48">
        <f>M!E7*1</f>
        <v>15</v>
      </c>
      <c r="R9" s="48">
        <f>IF(M!B7="","",M!F7*1)</f>
        <v>5.0831900000000001</v>
      </c>
      <c r="S9" s="48">
        <f>M!G7*1</f>
        <v>40</v>
      </c>
      <c r="T9" s="48">
        <f>IF(M!B7="","",M!H7*1)</f>
        <v>55.04</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-1.1119934667961813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15.2967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15.2967</v>
      </c>
      <c r="DJ9" s="265">
        <f t="shared" si="8"/>
        <v>-1.7937331619634069</v>
      </c>
      <c r="DK9" s="273">
        <f t="shared" si="9"/>
        <v>0.33125506307812913</v>
      </c>
      <c r="DL9" s="274">
        <f t="shared" si="10"/>
        <v>3.8103735355613266</v>
      </c>
      <c r="DM9"/>
      <c r="DN9"/>
    </row>
    <row r="10" spans="2:119" s="4" customFormat="1" ht="30.3" thickBot="1">
      <c r="B10" s="57" t="str">
        <f>CONCATENATE(M9,"
(15 ~ 40)")</f>
        <v>불안
(15 ~ 40)</v>
      </c>
      <c r="C10" s="17">
        <f>R9</f>
        <v>5.0831900000000001</v>
      </c>
      <c r="D10" s="41">
        <f>N9</f>
        <v>15.2967</v>
      </c>
      <c r="E10" s="43">
        <f>T9</f>
        <v>55.04</v>
      </c>
      <c r="F10" s="43">
        <f>P9</f>
        <v>127.631</v>
      </c>
      <c r="G10" s="59" t="str">
        <f>CONCATENATE(M10,"
(20 ~ 50)")</f>
        <v>의심
(20 ~ 50)</v>
      </c>
      <c r="H10" s="17">
        <f>R10</f>
        <v>20.405899999999999</v>
      </c>
      <c r="I10" s="42">
        <f>N10</f>
        <v>28.5825</v>
      </c>
      <c r="J10" s="17">
        <f>T10</f>
        <v>36.305999999999997</v>
      </c>
      <c r="K10" s="18">
        <f>P10</f>
        <v>22.075900000000001</v>
      </c>
      <c r="L10" s="1">
        <f>IF(M!B8="","",IF(N10&lt;U10,1,IF(N10&lt;V10,2,IF(N10&lt;W10,3,IF(N10&lt;X10,4,5)))))</f>
        <v>3</v>
      </c>
      <c r="M10" s="162" t="str">
        <f>lang!B17</f>
        <v>의심</v>
      </c>
      <c r="N10" s="48">
        <f>IF(M!B8="","",M!B8*1)</f>
        <v>28.5825</v>
      </c>
      <c r="O10" s="48">
        <f>M!C8*1</f>
        <v>6.30985</v>
      </c>
      <c r="P10" s="48">
        <f>M!D8*1</f>
        <v>22.075900000000001</v>
      </c>
      <c r="Q10" s="48">
        <f>M!E8*1</f>
        <v>20</v>
      </c>
      <c r="R10" s="48">
        <f>IF(M!B8="","",M!F8*1)</f>
        <v>20.405899999999999</v>
      </c>
      <c r="S10" s="48">
        <f>M!G8*1</f>
        <v>50</v>
      </c>
      <c r="T10" s="48">
        <f>IF(M!B8="","",M!H8*1)</f>
        <v>36.305999999999997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-0.4895638220239526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75.693299999999994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75.693299999999994</v>
      </c>
      <c r="DJ10" s="265">
        <f t="shared" si="8"/>
        <v>1.0967435036193043</v>
      </c>
      <c r="DK10" s="273">
        <f t="shared" si="9"/>
        <v>1.8339041459186485</v>
      </c>
      <c r="DL10" s="274">
        <f t="shared" si="10"/>
        <v>7.0807942993424806</v>
      </c>
      <c r="DM10"/>
      <c r="DN10"/>
    </row>
    <row r="11" spans="2:119" s="4" customFormat="1" ht="24.75" customHeight="1" thickBot="1">
      <c r="B11" s="57" t="str">
        <f>CONCATENATE(M11,"
(50 ~ 100)")</f>
        <v>밸런스
(50 ~ 100)</v>
      </c>
      <c r="C11" s="17">
        <f>R11</f>
        <v>66.764799999999994</v>
      </c>
      <c r="D11" s="42">
        <f>N11</f>
        <v>75.693299999999994</v>
      </c>
      <c r="E11" s="17">
        <f>T11</f>
        <v>85.375399999999999</v>
      </c>
      <c r="F11" s="17">
        <f>P11</f>
        <v>6.6796800000000003</v>
      </c>
      <c r="G11" s="59" t="str">
        <f>CONCATENATE(M12,"
(40 ~ 100)")</f>
        <v>카리스마
(40 ~ 100)</v>
      </c>
      <c r="H11" s="17">
        <f>R12</f>
        <v>35.736400000000003</v>
      </c>
      <c r="I11" s="42">
        <f>N12</f>
        <v>56.9602</v>
      </c>
      <c r="J11" s="17">
        <f>T12</f>
        <v>84.489699999999999</v>
      </c>
      <c r="K11" s="18">
        <f>P12</f>
        <v>27.9453</v>
      </c>
      <c r="L11" s="1">
        <f>IF(M!B9="","",IF(N11&lt;U11,1,IF(N11&lt;V11,2,IF(N11&lt;W11,3,IF(N11&lt;X11,4,5)))))</f>
        <v>4</v>
      </c>
      <c r="M11" s="162" t="str">
        <f>lang!B18</f>
        <v>밸런스</v>
      </c>
      <c r="N11" s="48">
        <f>IF(M!B9="","",M!B9*1)</f>
        <v>75.693299999999994</v>
      </c>
      <c r="O11" s="48">
        <f>M!C9*1</f>
        <v>5.0560700000000001</v>
      </c>
      <c r="P11" s="48">
        <f>M!D9*1</f>
        <v>6.6796800000000003</v>
      </c>
      <c r="Q11" s="48">
        <f>M!E9*1</f>
        <v>50</v>
      </c>
      <c r="R11" s="48">
        <f>IF(M!B9="","",M!F9*1)</f>
        <v>66.764799999999994</v>
      </c>
      <c r="S11" s="48">
        <f>M!G9*1</f>
        <v>100</v>
      </c>
      <c r="T11" s="48">
        <f>IF(M!B9="","",M!H9*1)</f>
        <v>85.375399999999999</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1.047872273450319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56.9602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56.9602</v>
      </c>
      <c r="DJ11" s="265">
        <f t="shared" si="8"/>
        <v>-0.65525997419126869</v>
      </c>
      <c r="DK11" s="273">
        <f t="shared" si="9"/>
        <v>2.7744935785358349</v>
      </c>
      <c r="DL11" s="274">
        <f t="shared" si="10"/>
        <v>7.7778747476593163E-2</v>
      </c>
      <c r="DM11"/>
      <c r="DN11"/>
    </row>
    <row r="12" spans="2:119" s="4" customFormat="1" ht="24.75" customHeight="1" thickBot="1">
      <c r="B12" s="57" t="str">
        <f>CONCATENATE(M13,"
(10 ~ 50)")</f>
        <v>에너지
(10 ~ 50)</v>
      </c>
      <c r="C12" s="17">
        <f>R13</f>
        <v>18.743500000000001</v>
      </c>
      <c r="D12" s="41">
        <f>N13</f>
        <v>26.0854</v>
      </c>
      <c r="E12" s="43">
        <f>T13</f>
        <v>30.4498</v>
      </c>
      <c r="F12" s="43">
        <f>P13</f>
        <v>10.416</v>
      </c>
      <c r="G12" s="59" t="str">
        <f>CONCATENATE(M14,"
(50 ~ 100)")</f>
        <v>자기조절
(50 ~ 100)</v>
      </c>
      <c r="H12" s="17">
        <f>R14</f>
        <v>52.044199999999996</v>
      </c>
      <c r="I12" s="42">
        <f>N14</f>
        <v>67.467299999999994</v>
      </c>
      <c r="J12" s="17">
        <f>T14</f>
        <v>84.218800000000002</v>
      </c>
      <c r="K12" s="18">
        <f>P14</f>
        <v>13.575200000000001</v>
      </c>
      <c r="L12" s="1">
        <f>IF(M!B10="","",IF(N12&lt;U12,1,IF(N12&lt;V12,2,IF(N12&lt;W12,3,IF(N12&lt;X12,4,5)))))</f>
        <v>3</v>
      </c>
      <c r="M12" s="162" t="str">
        <f>lang!B19</f>
        <v>카리스마</v>
      </c>
      <c r="N12" s="48">
        <f>IF(M!B10="","",M!B10*1)</f>
        <v>56.9602</v>
      </c>
      <c r="O12" s="48">
        <f>M!C10*1</f>
        <v>15.9177</v>
      </c>
      <c r="P12" s="48">
        <f>M!D10*1</f>
        <v>27.9453</v>
      </c>
      <c r="Q12" s="48">
        <f>M!E10*1</f>
        <v>40</v>
      </c>
      <c r="R12" s="48">
        <f>IF(M!B10="","",M!F10*1)</f>
        <v>35.736400000000003</v>
      </c>
      <c r="S12" s="48">
        <f>M!G10*1</f>
        <v>100</v>
      </c>
      <c r="T12" s="48">
        <f>IF(M!B10="","",M!H10*1)</f>
        <v>84.489699999999999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-2.163323263681038</v>
      </c>
      <c r="AI12" s="98">
        <v>0.31913434649697919</v>
      </c>
      <c r="AJ12" s="98">
        <v>3.8587997439955973E-2</v>
      </c>
      <c r="AK12" s="98">
        <v>1.0272327081707585E-2</v>
      </c>
      <c r="AL12" s="98">
        <v>1.9404033844491575E-2</v>
      </c>
      <c r="AM12" s="101"/>
      <c r="AN12" s="101"/>
      <c r="AO12" s="101"/>
      <c r="AP12" s="101"/>
      <c r="AX12" s="171"/>
      <c r="AY12" s="219">
        <f>N13</f>
        <v>26.0854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26.0854</v>
      </c>
      <c r="DJ12" s="265">
        <f t="shared" si="8"/>
        <v>1.2716487054600667</v>
      </c>
      <c r="DK12" s="273">
        <f t="shared" si="9"/>
        <v>0.37963892341521061</v>
      </c>
      <c r="DL12" s="274">
        <f t="shared" si="10"/>
        <v>0.86539793936481313</v>
      </c>
      <c r="DM12"/>
      <c r="DN12"/>
    </row>
    <row r="13" spans="2:119" ht="24.75" customHeight="1" thickBot="1">
      <c r="B13" s="58" t="str">
        <f>CONCATENATE(M15,"
(10 ~ 25)")</f>
        <v>억제
(10 ~ 25)</v>
      </c>
      <c r="C13" s="44">
        <f>R15</f>
        <v>24.345300000000002</v>
      </c>
      <c r="D13" s="45">
        <f>N15</f>
        <v>30.026199999999999</v>
      </c>
      <c r="E13" s="46">
        <f>T15</f>
        <v>40.858800000000002</v>
      </c>
      <c r="F13" s="46">
        <f>P15</f>
        <v>14.1508</v>
      </c>
      <c r="G13" s="60" t="str">
        <f>CONCATENATE(M16,"
(10 ~ 50)")</f>
        <v>신경성
(10 ~ 50)</v>
      </c>
      <c r="H13" s="44">
        <f>R16</f>
        <v>3.74742</v>
      </c>
      <c r="I13" s="45">
        <f>N16</f>
        <v>42.489400000000003</v>
      </c>
      <c r="J13" s="46">
        <f>T16</f>
        <v>56.765500000000003</v>
      </c>
      <c r="K13" s="47">
        <f>P16</f>
        <v>36.530999999999999</v>
      </c>
      <c r="L13" s="1">
        <f>IF(M!B11="","",IF(N13&lt;U13,1,IF(N13&lt;V13,2,IF(N13&lt;W13,3,IF(N13&lt;X13,4,5)))))</f>
        <v>3</v>
      </c>
      <c r="M13" s="162" t="str">
        <f>lang!B20</f>
        <v>에너지</v>
      </c>
      <c r="N13" s="48">
        <f>IF(M!B11="","",M!B11*1)</f>
        <v>26.0854</v>
      </c>
      <c r="O13" s="48">
        <f>M!C11*1</f>
        <v>2.71706</v>
      </c>
      <c r="P13" s="48">
        <f>M!D11*1</f>
        <v>10.416</v>
      </c>
      <c r="Q13" s="48">
        <f>M!E11*1</f>
        <v>10</v>
      </c>
      <c r="R13" s="48">
        <f>IF(M!B11="","",M!F11*1)</f>
        <v>18.743500000000001</v>
      </c>
      <c r="S13" s="48">
        <f>M!G11*1</f>
        <v>50</v>
      </c>
      <c r="T13" s="48">
        <f>IF(M!B11="","",M!H11*1)</f>
        <v>30.4498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0.42167473010317125</v>
      </c>
      <c r="AI13" s="98">
        <v>0.16093442074971984</v>
      </c>
      <c r="AJ13" s="98">
        <v>-1.0988594420247608E-2</v>
      </c>
      <c r="AK13" s="98">
        <v>0.37151940745754808</v>
      </c>
      <c r="AL13" s="98">
        <v>8.9062029657998948E-2</v>
      </c>
      <c r="AM13" s="96"/>
      <c r="AN13" s="96"/>
      <c r="AO13" s="96"/>
      <c r="AP13" s="96"/>
      <c r="AX13" s="171"/>
      <c r="AY13" s="219">
        <f>info!W36</f>
        <v>74.146450000000002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42.489400000000003</v>
      </c>
      <c r="DJ13" s="265">
        <f t="shared" si="8"/>
        <v>1.113935430488429</v>
      </c>
      <c r="DK13" s="273">
        <f>IF(DH13=1,(DJ13-DF13)^2,0)</f>
        <v>0.45441255716764334</v>
      </c>
      <c r="DL13" s="274">
        <f t="shared" si="10"/>
        <v>2.1958931801528108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67.467299999999994</v>
      </c>
      <c r="O14" s="48">
        <f>M!C12*1</f>
        <v>9.1588100000000008</v>
      </c>
      <c r="P14" s="48">
        <f>M!D12*1</f>
        <v>13.575200000000001</v>
      </c>
      <c r="Q14" s="48">
        <f>M!E12*1</f>
        <v>50</v>
      </c>
      <c r="R14" s="48">
        <f>IF(M!B12="","",M!F12*1)</f>
        <v>52.044199999999996</v>
      </c>
      <c r="S14" s="48">
        <f>M!G12*1</f>
        <v>100</v>
      </c>
      <c r="T14" s="48">
        <f>IF(M!B12="","",M!H12*1)</f>
        <v>84.218800000000002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-0.80397839503098978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73.040599999999998</v>
      </c>
      <c r="DJ14" s="265">
        <f t="shared" si="8"/>
        <v>1.4661434261640534</v>
      </c>
      <c r="DK14" s="279">
        <f t="shared" si="9"/>
        <v>2.3586877278257172</v>
      </c>
      <c r="DL14" s="280">
        <f t="shared" si="10"/>
        <v>13.001119623849755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30.026199999999999</v>
      </c>
      <c r="O15" s="48">
        <f>M!C13*1</f>
        <v>4.2489400000000002</v>
      </c>
      <c r="P15" s="48">
        <f>M!D13*1</f>
        <v>14.1508</v>
      </c>
      <c r="Q15" s="48">
        <f>M!E13*1</f>
        <v>10</v>
      </c>
      <c r="R15" s="48">
        <f>IF(M!B13="","",M!F13*1)</f>
        <v>24.345300000000002</v>
      </c>
      <c r="S15" s="48">
        <f>M!G13*1</f>
        <v>25</v>
      </c>
      <c r="T15" s="48">
        <f>IF(M!B13="","",M!H13*1)</f>
        <v>40.858800000000002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3.1704315972385295</v>
      </c>
      <c r="AI15" s="98">
        <v>-8.3250321124619289E-2</v>
      </c>
      <c r="AJ15" s="98">
        <v>-0.44690513063775733</v>
      </c>
      <c r="AK15" s="98">
        <v>0.12052818186953573</v>
      </c>
      <c r="AL15" s="98">
        <v>-2.4174505446491225E-2</v>
      </c>
      <c r="AM15" s="96"/>
      <c r="AN15" s="96"/>
      <c r="AO15" s="96"/>
      <c r="AP15" s="96"/>
      <c r="AX15" s="171"/>
      <c r="AY15" s="50">
        <f>SUM(AY7:AY14)</f>
        <v>303.79964999999999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11.240694726759752</v>
      </c>
      <c r="DL15" s="281">
        <f>IF(SUM($DI$7:$DI$14)&gt;0,SUM(DL7:DL14),0)</f>
        <v>36.103320777516288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42.489400000000003</v>
      </c>
      <c r="O16" s="48">
        <f>M!C14*1</f>
        <v>15.521800000000001</v>
      </c>
      <c r="P16" s="48">
        <f>M!D14*1</f>
        <v>36.530999999999999</v>
      </c>
      <c r="Q16" s="48">
        <f>M!E14*1</f>
        <v>10</v>
      </c>
      <c r="R16" s="48">
        <f>IF(M!B14="","",M!F14*1)</f>
        <v>3.74742</v>
      </c>
      <c r="S16" s="48">
        <f>M!G14*1</f>
        <v>50</v>
      </c>
      <c r="T16" s="48">
        <f>IF(M!B14="","",M!H14*1)</f>
        <v>56.765500000000003</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1.7250382541262461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8.8962472899418416E-2</v>
      </c>
      <c r="DL16" s="281">
        <f>IF(DL15&gt;0,1/DL15,0)</f>
        <v>2.769828310704206E-2</v>
      </c>
      <c r="DM16" t="s">
        <v>1207</v>
      </c>
    </row>
    <row r="17" spans="2:117" ht="21" customHeight="1" thickBot="1">
      <c r="B17" s="20"/>
      <c r="C17"/>
      <c r="D17"/>
      <c r="E17"/>
      <c r="F17"/>
      <c r="G17" s="1071"/>
      <c r="H17" s="827"/>
      <c r="I17" s="827"/>
      <c r="J17" s="827"/>
      <c r="K17" s="828"/>
      <c r="M17" s="163" t="str">
        <f>lang!B7</f>
        <v>긍정감정</v>
      </c>
      <c r="N17" s="54">
        <f>SUM(N11:N14)/4</f>
        <v>56.551549999999999</v>
      </c>
      <c r="O17" s="16">
        <f>N17/(N17+N18+N19)</f>
        <v>0.48053912377728236</v>
      </c>
      <c r="P17" s="54">
        <f>SUM(P11:P14)/4</f>
        <v>14.654045000000002</v>
      </c>
      <c r="Q17" s="16">
        <f>P17/(P17+P18+P19)</f>
        <v>0.17544150868219699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0.76257411613629367</v>
      </c>
      <c r="DL17" s="283"/>
      <c r="DM17" s="284" t="s">
        <v>1208</v>
      </c>
    </row>
    <row r="18" spans="2:117" ht="21" customHeight="1">
      <c r="B18" s="20"/>
      <c r="C18"/>
      <c r="D18"/>
      <c r="E18"/>
      <c r="F18"/>
      <c r="G18" s="1071"/>
      <c r="H18" s="827"/>
      <c r="I18" s="827"/>
      <c r="J18" s="827"/>
      <c r="K18" s="828"/>
      <c r="M18" s="163" t="str">
        <f>lang!B8</f>
        <v>부정감정</v>
      </c>
      <c r="N18" s="14">
        <f>SUM(N7:N10)/4</f>
        <v>24.874199999999998</v>
      </c>
      <c r="O18" s="16">
        <f>N18/(N17+N18+N19)</f>
        <v>0.21136513981775701</v>
      </c>
      <c r="P18" s="14">
        <f>SUM(P7:P10)/4</f>
        <v>43.531724999999994</v>
      </c>
      <c r="Q18" s="16">
        <f>P18/(P17+P18+P19)</f>
        <v>0.52117156113131291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36.257800000000003</v>
      </c>
      <c r="O19" s="16">
        <f>N19/(N17+N18+N19)</f>
        <v>0.30809573640496063</v>
      </c>
      <c r="P19" s="14">
        <f>(P15+P16)/2</f>
        <v>25.340899999999998</v>
      </c>
      <c r="Q19" s="16">
        <f>P19/(P17+P18+P19)</f>
        <v>0.3033869301864901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1.65608</v>
      </c>
      <c r="D24" s="34" t="str">
        <f>lang!B11</f>
        <v>편차</v>
      </c>
      <c r="E24" s="1077">
        <f>FH_info!G2*1</f>
        <v>0.34471400000000002</v>
      </c>
      <c r="F24" s="1078"/>
      <c r="G24" s="1075" t="str">
        <f>lang!B12</f>
        <v>정보(I)변화량</v>
      </c>
      <c r="H24" s="1076"/>
      <c r="I24" s="51" t="str">
        <f ca="1">CONCATENATE(info!N7,"-",info!N8)</f>
        <v>51.8-65</v>
      </c>
      <c r="J24" s="32" t="str">
        <f>lang!B13</f>
        <v>Kcal/분</v>
      </c>
      <c r="K24" s="31" t="str">
        <f ca="1">CONCATENATE(info!N5,"-",info!N6)</f>
        <v>3.1-3.5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73.040599999999998</v>
      </c>
      <c r="F27" s="1043"/>
      <c r="G27" s="1055" t="str">
        <f>lang!B33</f>
        <v>정서안정성</v>
      </c>
      <c r="H27" s="1056"/>
      <c r="I27" s="1057"/>
      <c r="J27" s="993">
        <f>M!B19*100</f>
        <v>58.290500000000002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3.3812100000000003</v>
      </c>
      <c r="H2" s="50">
        <f>IF(FT!B2&lt;&gt;"",FT!B2*100,"")</f>
        <v>54.879100000000001</v>
      </c>
      <c r="I2" s="50">
        <f>(IF(G2&lt;&gt;"",1,""))</f>
        <v>1</v>
      </c>
      <c r="J2" t="str">
        <f>IF(FT!B2&lt;&gt;"",FT!E2,"")</f>
        <v>0 [0.000000]</v>
      </c>
      <c r="K2">
        <f>IF(FT!B2&lt;&gt;"",IF(FT!C2&lt;&gt;"",FT!C2,F2/$M$3*$M$4),"")</f>
        <v>0</v>
      </c>
      <c r="L2" t="s">
        <v>52</v>
      </c>
      <c r="M2">
        <f>FH_info!E2</f>
        <v>4.9234099999999996</v>
      </c>
      <c r="N2" s="75">
        <f>LOOKUP(O3,A2:A1000,B2:B1000)</f>
        <v>1.6990591372549018</v>
      </c>
      <c r="O2" s="50">
        <f>MAX(C2:C1000)</f>
        <v>1</v>
      </c>
      <c r="P2" t="s">
        <v>60</v>
      </c>
      <c r="Q2" t="s">
        <v>61</v>
      </c>
      <c r="R2" t="s">
        <v>62</v>
      </c>
      <c r="S2" t="s">
        <v>63</v>
      </c>
      <c r="T2" t="s">
        <v>64</v>
      </c>
      <c r="V2" s="50">
        <f>FT!G2*10</f>
        <v>3.3744700000000001</v>
      </c>
      <c r="W2" s="50">
        <f>FT!H2*100</f>
        <v>54.757300000000001</v>
      </c>
      <c r="Y2">
        <f>IF(I2=1,H2/G2,"")</f>
        <v>16.230609752130153</v>
      </c>
      <c r="Z2">
        <f>AVERAGE(Y2:Y2000)</f>
        <v>17.499652864549446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3.3744700000000001</v>
      </c>
      <c r="H3" s="50">
        <f>IF(FT!B3&lt;&gt;"",FT!B3*100,"")</f>
        <v>54.757300000000001</v>
      </c>
      <c r="I3" s="50">
        <f t="shared" ref="I3:I66" si="2">(IF(G3&lt;&gt;"",1,""))</f>
        <v>1</v>
      </c>
      <c r="J3" t="str">
        <f>IF(FT!B3&lt;&gt;"",FT!E3,"")</f>
        <v>0 [0.369795]</v>
      </c>
      <c r="K3">
        <f>IF(FT!B3&lt;&gt;"",IF(FT!C3&lt;&gt;"",FT!C3,F3/$M$3*$M$4),"")</f>
        <v>0.36979499999999998</v>
      </c>
      <c r="L3" t="s">
        <v>53</v>
      </c>
      <c r="M3">
        <f>SUM(I2:I2005)</f>
        <v>25</v>
      </c>
      <c r="O3" s="104">
        <f>MATCH(O2,C2:C1000,0)-1</f>
        <v>88</v>
      </c>
      <c r="P3">
        <v>0</v>
      </c>
      <c r="Q3">
        <v>0</v>
      </c>
      <c r="R3">
        <f>IF(S4=0,M3,0)</f>
        <v>25</v>
      </c>
      <c r="S3">
        <f t="array" ref="S3">MAX(IF(ft_nq=0,row_n))</f>
        <v>1998</v>
      </c>
      <c r="T3">
        <f>R3-Q3</f>
        <v>25</v>
      </c>
      <c r="V3" s="50">
        <f>FT!G3*10</f>
        <v>3.35825</v>
      </c>
      <c r="W3" s="50">
        <f>FT!H3*100</f>
        <v>64.105599999999995</v>
      </c>
      <c r="Y3" s="75">
        <f t="shared" ref="Y3:Y66" si="3">IF(I3=1,H3/G3,"")</f>
        <v>16.22693341472883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3.3161700000000001</v>
      </c>
      <c r="H4" s="50">
        <f>IF(FT!B4&lt;&gt;"",FT!B4*100,"")</f>
        <v>53.421700000000008</v>
      </c>
      <c r="I4" s="50">
        <f t="shared" si="2"/>
        <v>1</v>
      </c>
      <c r="J4" t="str">
        <f>IF(FT!B4&lt;&gt;"",FT!E4,"")</f>
        <v>0 [0.776497]</v>
      </c>
      <c r="K4">
        <f>IF(FT!B4&lt;&gt;"",IF(FT!C4&lt;&gt;"",FT!C4,F4/$M$3*$M$4),"")</f>
        <v>0.77649699999999999</v>
      </c>
      <c r="L4" t="s">
        <v>246</v>
      </c>
      <c r="M4">
        <f>IF(M2&lt;&gt;0,M3/M2*2,0)</f>
        <v>10.155562912696688</v>
      </c>
      <c r="P4">
        <f>P3+1</f>
        <v>1</v>
      </c>
      <c r="Q4">
        <v>0</v>
      </c>
      <c r="R4">
        <f>IF(S4=1998,0,S4)</f>
        <v>0</v>
      </c>
      <c r="S4">
        <f t="array" ref="S4">MAX(IF(ft_nq=P4,row_n))</f>
        <v>0</v>
      </c>
      <c r="T4">
        <f>R4-Q4+1</f>
        <v>1</v>
      </c>
      <c r="V4" t="s">
        <v>209</v>
      </c>
      <c r="W4" s="23">
        <f>IF(ISERROR(V3-V2)=FALSE,(V3-V2)*10,0)</f>
        <v>-0.16220000000000123</v>
      </c>
      <c r="Y4" s="75">
        <f t="shared" si="3"/>
        <v>16.109457597167818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1.1794565996432243E-3</v>
      </c>
      <c r="E5" s="50">
        <f t="shared" si="1"/>
        <v>2.2686280082898476E-5</v>
      </c>
      <c r="F5">
        <f t="shared" si="6"/>
        <v>3</v>
      </c>
      <c r="G5" s="50">
        <f>IF(FT!A5&lt;&gt;"",FT!A5*10,"")</f>
        <v>3.2530799999999997</v>
      </c>
      <c r="H5" s="50">
        <f>IF(FT!B5&lt;&gt;"",FT!B5*100,"")</f>
        <v>52.524000000000001</v>
      </c>
      <c r="I5" s="50">
        <f t="shared" si="2"/>
        <v>1</v>
      </c>
      <c r="J5" t="str">
        <f>IF(FT!B5&lt;&gt;"",FT!E5,"")</f>
        <v>0 [1.187463]</v>
      </c>
      <c r="K5">
        <f>IF(FT!B5&lt;&gt;"",IF(FT!C5&lt;&gt;"",FT!C5,F5/$M$3*$M$4),"")</f>
        <v>1.18746</v>
      </c>
      <c r="L5" t="s">
        <v>54</v>
      </c>
      <c r="M5" s="52">
        <f ca="1">IF(M3&gt;0,MIN(FT_E),0)</f>
        <v>3.1387700000000001</v>
      </c>
      <c r="N5" s="52">
        <f ca="1">IF(M3&gt;0,ROUND(M5,1),0)</f>
        <v>3.1</v>
      </c>
      <c r="P5">
        <f t="shared" ref="P5:P27" si="10">P4+1</f>
        <v>2</v>
      </c>
      <c r="Q5">
        <f>IF(S5=1998,0,R4)</f>
        <v>0</v>
      </c>
      <c r="R5">
        <f>IF(S5=1998,0,S5)</f>
        <v>0</v>
      </c>
      <c r="S5">
        <f t="array" ref="S5">MAX(IF(ft_nq=P5,row_n))</f>
        <v>0</v>
      </c>
      <c r="T5">
        <f t="shared" ref="T5:T27" si="11">R5-Q5+1</f>
        <v>1</v>
      </c>
      <c r="V5" t="s">
        <v>210</v>
      </c>
      <c r="W5" s="23">
        <f>IF(ISERROR(W3-W2)=FALSE,W3-W2,0)</f>
        <v>9.3482999999999947</v>
      </c>
      <c r="Y5" s="75">
        <f t="shared" si="3"/>
        <v>16.145929396141504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3.1807999999999996</v>
      </c>
      <c r="H6" s="50">
        <f>IF(FT!B6&lt;&gt;"",FT!B6*100,"")</f>
        <v>52.288100000000007</v>
      </c>
      <c r="I6" s="50">
        <f t="shared" si="2"/>
        <v>1</v>
      </c>
      <c r="J6" t="str">
        <f>IF(FT!B6&lt;&gt;"",FT!E6,"")</f>
        <v>0 [1.581320]</v>
      </c>
      <c r="K6">
        <f>IF(FT!B6&lt;&gt;"",IF(FT!C6&lt;&gt;"",FT!C6,F6/$M$3*$M$4),"")</f>
        <v>1.5813200000000001</v>
      </c>
      <c r="L6" t="s">
        <v>55</v>
      </c>
      <c r="M6" s="52">
        <f ca="1">IF(M3&gt;0,MAX(FT_E),0)</f>
        <v>3.4791699999999999</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-57.634401972872524</v>
      </c>
      <c r="Y6" s="75">
        <f t="shared" si="3"/>
        <v>16.43866322937626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3.1387700000000001</v>
      </c>
      <c r="H7" s="50">
        <f>IF(FT!B7&lt;&gt;"",FT!B7*100,"")</f>
        <v>52.030200000000008</v>
      </c>
      <c r="I7" s="50">
        <f t="shared" si="2"/>
        <v>1</v>
      </c>
      <c r="J7" t="str">
        <f>IF(FT!B7&lt;&gt;"",FT!E7,"")</f>
        <v>0 [2.006160]</v>
      </c>
      <c r="K7">
        <f>IF(FT!B7&lt;&gt;"",IF(FT!C7&lt;&gt;"",FT!C7,F7/$M$3*$M$4),"")</f>
        <v>2.0061599999999999</v>
      </c>
      <c r="L7" t="s">
        <v>56</v>
      </c>
      <c r="M7" s="366">
        <f ca="1">IF(M3&gt;0,MIN(FT_PH),0)</f>
        <v>51.774100000000004</v>
      </c>
      <c r="N7" s="52">
        <f ca="1">IF(M3&gt;0,ROUND(M7,1),0)</f>
        <v>51.8</v>
      </c>
      <c r="P7">
        <f t="shared" si="10"/>
        <v>4</v>
      </c>
      <c r="Q7">
        <f t="shared" si="12"/>
        <v>0</v>
      </c>
      <c r="R7">
        <f t="shared" si="13"/>
        <v>0</v>
      </c>
      <c r="S7">
        <f t="array" ref="S7">MAX(IF(ft_nq=P7,row_n))</f>
        <v>0</v>
      </c>
      <c r="T7">
        <f t="shared" si="11"/>
        <v>1</v>
      </c>
      <c r="V7" t="s">
        <v>212</v>
      </c>
      <c r="W7" s="23">
        <f>DEGREES(ATAN(W6))</f>
        <v>-89.005975094940595</v>
      </c>
      <c r="X7" s="106">
        <v>0.05</v>
      </c>
      <c r="Y7" s="75">
        <f t="shared" si="3"/>
        <v>16.57662077820293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3.1019128570109189E-2</v>
      </c>
      <c r="E8" s="50">
        <f t="shared" si="1"/>
        <v>4.239235128206329E-5</v>
      </c>
      <c r="F8">
        <f t="shared" si="6"/>
        <v>6</v>
      </c>
      <c r="G8" s="50">
        <f>IF(FT!A8&lt;&gt;"",FT!A8*10,"")</f>
        <v>3.1979000000000002</v>
      </c>
      <c r="H8" s="50">
        <f>IF(FT!B8&lt;&gt;"",FT!B8*100,"")</f>
        <v>51.774100000000004</v>
      </c>
      <c r="I8" s="50">
        <f t="shared" si="2"/>
        <v>1</v>
      </c>
      <c r="J8" t="str">
        <f>IF(FT!B8&lt;&gt;"",FT!E8,"")</f>
        <v>0 [2.403170]</v>
      </c>
      <c r="K8">
        <f>IF(FT!B8&lt;&gt;"",IF(FT!C8&lt;&gt;"",FT!C8,F8/$M$3*$M$4),"")</f>
        <v>2.4031699999999998</v>
      </c>
      <c r="L8" t="s">
        <v>57</v>
      </c>
      <c r="M8" s="52">
        <f ca="1">IF(M3&gt;0,MAX(FT_PH),0)</f>
        <v>64.992399999999989</v>
      </c>
      <c r="N8" s="52">
        <f ca="1">IF(M3&gt;0,ROUND(M8,1),0)</f>
        <v>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16.190030957816067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3.24763</v>
      </c>
      <c r="H9" s="50">
        <f>IF(FT!B9&lt;&gt;"",FT!B9*100,"")</f>
        <v>52.486400000000003</v>
      </c>
      <c r="I9" s="50">
        <f t="shared" si="2"/>
        <v>1</v>
      </c>
      <c r="J9" t="str">
        <f>IF(FT!B9&lt;&gt;"",FT!E9,"")</f>
        <v>0 [2.807622]</v>
      </c>
      <c r="K9">
        <f>IF(FT!B9&lt;&gt;"",IF(FT!C9&lt;&gt;"",FT!C9,F9/$M$3*$M$4),"")</f>
        <v>2.80762</v>
      </c>
      <c r="L9" t="s">
        <v>222</v>
      </c>
      <c r="M9" s="74">
        <f ca="1">IF(M3&gt;0,IF(COUNT(FT_E)&gt;0,AVERAGE(FT_E),0),0)</f>
        <v>3.3367567999999999</v>
      </c>
      <c r="N9" s="365">
        <f ca="1">IF(M3&gt;0,IF(COUNT(FT_PH)&gt;0,AVERAGE(FT_PH),0),0)</f>
        <v>58.432499999999997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16.161446962862151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9.5806386411865424E-2</v>
      </c>
      <c r="E10" s="50">
        <f t="shared" si="1"/>
        <v>6.3640932711193118E-5</v>
      </c>
      <c r="F10">
        <f t="shared" si="6"/>
        <v>8</v>
      </c>
      <c r="G10" s="50">
        <f>IF(FT!A10&lt;&gt;"",FT!A10*10,"")</f>
        <v>3.2341500000000001</v>
      </c>
      <c r="H10" s="50">
        <f>IF(FT!B10&lt;&gt;"",FT!B10*100,"")</f>
        <v>53.762900000000002</v>
      </c>
      <c r="I10" s="50">
        <f t="shared" si="2"/>
        <v>1</v>
      </c>
      <c r="J10" t="str">
        <f>IF(FT!B10&lt;&gt;"",FT!E10,"")</f>
        <v>0 [3.217055]</v>
      </c>
      <c r="K10">
        <f>IF(FT!B10&lt;&gt;"",IF(FT!C10&lt;&gt;"",FT!C10,F10/$M$3*$M$4),"")</f>
        <v>3.21706</v>
      </c>
      <c r="M10">
        <v>2</v>
      </c>
      <c r="P10">
        <f t="shared" si="10"/>
        <v>7</v>
      </c>
      <c r="Q10">
        <f t="shared" si="12"/>
        <v>0</v>
      </c>
      <c r="R10">
        <f t="shared" si="13"/>
        <v>0</v>
      </c>
      <c r="S10">
        <f t="array" ref="S10">MAX(IF(ft_nq=P10,row_n))</f>
        <v>0</v>
      </c>
      <c r="T10">
        <f t="shared" si="11"/>
        <v>1</v>
      </c>
      <c r="V10" t="s">
        <v>215</v>
      </c>
      <c r="X10" s="71" t="s">
        <v>270</v>
      </c>
      <c r="Y10" s="75">
        <f t="shared" si="3"/>
        <v>16.623502311271896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3.29081</v>
      </c>
      <c r="H11" s="50">
        <f>IF(FT!B11&lt;&gt;"",FT!B11*100,"")</f>
        <v>54.560299999999998</v>
      </c>
      <c r="I11" s="50">
        <f t="shared" si="2"/>
        <v>1</v>
      </c>
      <c r="J11" t="str">
        <f>IF(FT!B11&lt;&gt;"",FT!E11,"")</f>
        <v>0 [3.614317]</v>
      </c>
      <c r="K11">
        <f>IF(FT!B11&lt;&gt;"",IF(FT!C11&lt;&gt;"",FT!C11,F11/$M$3*$M$4),"")</f>
        <v>3.6143200000000002</v>
      </c>
      <c r="M11" s="49">
        <f>MAX(IF(ft_nq=1,row_n))</f>
        <v>0</v>
      </c>
      <c r="P11">
        <f t="shared" si="10"/>
        <v>8</v>
      </c>
      <c r="Q11">
        <f t="shared" si="12"/>
        <v>0</v>
      </c>
      <c r="R11">
        <f t="shared" si="13"/>
        <v>0</v>
      </c>
      <c r="S11">
        <f t="array" ref="S11">MAX(IF(ft_nq=P11,row_n))</f>
        <v>0</v>
      </c>
      <c r="T11">
        <f t="shared" si="11"/>
        <v>1</v>
      </c>
      <c r="V11" s="71" t="s">
        <v>216</v>
      </c>
      <c r="W11" s="23">
        <f>FT!H11*100</f>
        <v>51.774100000000004</v>
      </c>
      <c r="Y11" s="75">
        <f t="shared" si="3"/>
        <v>16.579595904959568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3.3698299999999999</v>
      </c>
      <c r="H12" s="50">
        <f>IF(FT!B12&lt;&gt;"",FT!B12*100,"")</f>
        <v>55.928599999999996</v>
      </c>
      <c r="I12" s="50">
        <f t="shared" si="2"/>
        <v>1</v>
      </c>
      <c r="J12" t="str">
        <f>IF(FT!B12&lt;&gt;"",FT!E12,"")</f>
        <v>0 [4.023916]</v>
      </c>
      <c r="K12">
        <f>IF(FT!B12&lt;&gt;"",IF(FT!C12&lt;&gt;"",FT!C12,F12/$M$3*$M$4),"")</f>
        <v>4.0239200000000004</v>
      </c>
      <c r="M12">
        <f>M11+1</f>
        <v>1</v>
      </c>
      <c r="P12">
        <f t="shared" si="10"/>
        <v>9</v>
      </c>
      <c r="Q12">
        <f t="shared" si="12"/>
        <v>0</v>
      </c>
      <c r="R12">
        <f t="shared" si="13"/>
        <v>0</v>
      </c>
      <c r="S12">
        <f t="array" ref="S12">MAX(IF(ft_nq=P12,row_n))</f>
        <v>0</v>
      </c>
      <c r="T12">
        <f t="shared" si="11"/>
        <v>1</v>
      </c>
      <c r="V12" s="71" t="s">
        <v>217</v>
      </c>
      <c r="W12" s="23">
        <f>FT!H12*100</f>
        <v>64.992399999999989</v>
      </c>
      <c r="Y12" s="75">
        <f t="shared" si="3"/>
        <v>16.596860969247707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0.28080324692243314</v>
      </c>
      <c r="E13" s="50">
        <f t="shared" si="1"/>
        <v>1.1522836836240688E-4</v>
      </c>
      <c r="F13">
        <f t="shared" si="6"/>
        <v>11</v>
      </c>
      <c r="G13" s="50">
        <f>IF(FT!A13&lt;&gt;"",FT!A13*10,"")</f>
        <v>3.4329000000000001</v>
      </c>
      <c r="H13" s="50">
        <f>IF(FT!B13&lt;&gt;"",FT!B13*100,"")</f>
        <v>57.459899999999998</v>
      </c>
      <c r="I13" s="50">
        <f t="shared" si="2"/>
        <v>1</v>
      </c>
      <c r="J13" t="str">
        <f>IF(FT!B13&lt;&gt;"",FT!E13,"")</f>
        <v>0 [4.438842]</v>
      </c>
      <c r="K13">
        <f>IF(FT!B13&lt;&gt;"",IF(FT!C13&lt;&gt;"",FT!C13,F13/$M$3*$M$4),"")</f>
        <v>4.4388399999999999</v>
      </c>
      <c r="M13" s="49">
        <f t="array" ref="M13">MAX(IF(ft_nq=2,row_n))</f>
        <v>0</v>
      </c>
      <c r="P13">
        <f t="shared" si="10"/>
        <v>10</v>
      </c>
      <c r="Q13">
        <f t="shared" si="12"/>
        <v>0</v>
      </c>
      <c r="R13">
        <f t="shared" si="13"/>
        <v>0</v>
      </c>
      <c r="S13">
        <f t="array" ref="S13">MAX(IF(ft_nq=P13,row_n))</f>
        <v>0</v>
      </c>
      <c r="T13">
        <f t="shared" si="11"/>
        <v>1</v>
      </c>
      <c r="V13" s="71" t="s">
        <v>219</v>
      </c>
      <c r="W13">
        <f>FT!H13</f>
        <v>7</v>
      </c>
      <c r="Y13" s="75">
        <f t="shared" si="3"/>
        <v>16.738005767718256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3.4791699999999999</v>
      </c>
      <c r="H14" s="50">
        <f>IF(FT!B14&lt;&gt;"",FT!B14*100,"")</f>
        <v>58.676099999999998</v>
      </c>
      <c r="I14" s="50">
        <f t="shared" si="2"/>
        <v>1</v>
      </c>
      <c r="J14" t="str">
        <f>IF(FT!B14&lt;&gt;"",FT!E14,"")</f>
        <v>0 [4.846522]</v>
      </c>
      <c r="K14">
        <f>IF(FT!B14&lt;&gt;"",IF(FT!C14&lt;&gt;"",FT!C14,F14/$M$3*$M$4),"")</f>
        <v>4.8465199999999999</v>
      </c>
      <c r="M14">
        <f>M13+1</f>
        <v>1</v>
      </c>
      <c r="P14">
        <f t="shared" si="10"/>
        <v>11</v>
      </c>
      <c r="Q14">
        <f t="shared" si="12"/>
        <v>0</v>
      </c>
      <c r="R14">
        <f t="shared" si="13"/>
        <v>0</v>
      </c>
      <c r="S14">
        <f t="array" ref="S14">MAX(IF(ft_nq=P14,row_n))</f>
        <v>0</v>
      </c>
      <c r="T14">
        <f t="shared" si="11"/>
        <v>1</v>
      </c>
      <c r="V14" s="71" t="s">
        <v>221</v>
      </c>
      <c r="W14">
        <f>FT!H14</f>
        <v>25</v>
      </c>
      <c r="Y14" s="75">
        <f t="shared" si="3"/>
        <v>16.864970668291576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0.57488288318216718</v>
      </c>
      <c r="E15" s="50">
        <f t="shared" si="1"/>
        <v>1.6938471460455832E-4</v>
      </c>
      <c r="F15">
        <f t="shared" si="6"/>
        <v>13</v>
      </c>
      <c r="G15" s="50">
        <f>IF(FT!A15&lt;&gt;"",FT!A15*10,"")</f>
        <v>3.4702600000000001</v>
      </c>
      <c r="H15" s="50">
        <f>IF(FT!B15&lt;&gt;"",FT!B15*100,"")</f>
        <v>59.994700000000002</v>
      </c>
      <c r="I15" s="50">
        <f t="shared" si="2"/>
        <v>1</v>
      </c>
      <c r="J15" t="str">
        <f>IF(FT!B15&lt;&gt;"",FT!E15,"")</f>
        <v>0 [5.246564]</v>
      </c>
      <c r="K15">
        <f>IF(FT!B15&lt;&gt;"",IF(FT!C15&lt;&gt;"",FT!C15,F15/$M$3*$M$4),"")</f>
        <v>5.2465599999999997</v>
      </c>
      <c r="M15">
        <f t="array" ref="M15">MAX(IF(ft_nq=3,row_n))</f>
        <v>0</v>
      </c>
      <c r="P15">
        <f t="shared" si="10"/>
        <v>12</v>
      </c>
      <c r="Q15">
        <f t="shared" si="12"/>
        <v>0</v>
      </c>
      <c r="R15">
        <f t="shared" si="13"/>
        <v>0</v>
      </c>
      <c r="S15">
        <f t="array" ref="S15">MAX(IF(ft_nq=P15,row_n))</f>
        <v>0</v>
      </c>
      <c r="T15">
        <f t="shared" si="11"/>
        <v>1</v>
      </c>
      <c r="V15" s="23">
        <f>FT!G15*10</f>
        <v>3.1979000000000002</v>
      </c>
      <c r="W15" s="23">
        <f>FT!H15*100</f>
        <v>51.774100000000004</v>
      </c>
      <c r="Y15" s="75">
        <f t="shared" si="3"/>
        <v>17.288243532184907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3.3942199999999998</v>
      </c>
      <c r="H16" s="50">
        <f>IF(FT!B16&lt;&gt;"",FT!B16*100,"")</f>
        <v>61.120399999999997</v>
      </c>
      <c r="I16" s="50">
        <f t="shared" si="2"/>
        <v>1</v>
      </c>
      <c r="J16" t="str">
        <f>IF(FT!B16&lt;&gt;"",FT!E16,"")</f>
        <v>0 [5.640947]</v>
      </c>
      <c r="K16">
        <f>IF(FT!B16&lt;&gt;"",IF(FT!C16&lt;&gt;"",FT!C16,F16/$M$3*$M$4),"")</f>
        <v>5.6409500000000001</v>
      </c>
      <c r="M16">
        <f>M15+1</f>
        <v>1</v>
      </c>
      <c r="P16">
        <f t="shared" si="10"/>
        <v>13</v>
      </c>
      <c r="Q16">
        <f t="shared" si="12"/>
        <v>0</v>
      </c>
      <c r="R16">
        <f t="shared" si="13"/>
        <v>0</v>
      </c>
      <c r="S16">
        <f t="array" ref="S16">MAX(IF(ft_nq=P16,row_n))</f>
        <v>0</v>
      </c>
      <c r="T16">
        <f t="shared" si="11"/>
        <v>1</v>
      </c>
      <c r="V16" s="23">
        <f>FT!G16*10</f>
        <v>3.3636700000000004</v>
      </c>
      <c r="W16" s="23">
        <f>FT!H16*100</f>
        <v>64.992399999999989</v>
      </c>
      <c r="Y16" s="75">
        <f t="shared" si="3"/>
        <v>18.007200476103495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3.3714399999999998</v>
      </c>
      <c r="H17" s="50">
        <f>IF(FT!B17&lt;&gt;"",FT!B17*100,"")</f>
        <v>61.523899999999998</v>
      </c>
      <c r="I17" s="50">
        <f t="shared" si="2"/>
        <v>1</v>
      </c>
      <c r="J17" t="str">
        <f>IF(FT!B17&lt;&gt;"",FT!E17,"")</f>
        <v>0 [6.063613]</v>
      </c>
      <c r="K17">
        <f>IF(FT!B17&lt;&gt;"",IF(FT!C17&lt;&gt;"",FT!C17,F17/$M$3*$M$4),"")</f>
        <v>6.0636099999999997</v>
      </c>
      <c r="M17">
        <f>M3+1</f>
        <v>26</v>
      </c>
      <c r="P17">
        <f t="shared" si="10"/>
        <v>14</v>
      </c>
      <c r="Q17">
        <f t="shared" si="12"/>
        <v>0</v>
      </c>
      <c r="R17">
        <f t="shared" si="13"/>
        <v>0</v>
      </c>
      <c r="S17">
        <f t="array" ref="S17">MAX(IF(ft_nq=P17,row_n))</f>
        <v>0</v>
      </c>
      <c r="T17">
        <f t="shared" si="11"/>
        <v>1</v>
      </c>
      <c r="V17" t="s">
        <v>1522</v>
      </c>
      <c r="Y17" s="75">
        <f t="shared" si="3"/>
        <v>18.248552547279502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0.84310854343415287</v>
      </c>
      <c r="E18" s="50">
        <f t="shared" si="1"/>
        <v>2.9716369761879154E-4</v>
      </c>
      <c r="F18">
        <f t="shared" si="6"/>
        <v>16</v>
      </c>
      <c r="G18" s="50">
        <f>IF(FT!A18&lt;&gt;"",FT!A18*10,"")</f>
        <v>3.37019</v>
      </c>
      <c r="H18" s="50">
        <f>IF(FT!B18&lt;&gt;"",FT!B18*100,"")</f>
        <v>62.1173</v>
      </c>
      <c r="I18" s="50">
        <f t="shared" si="2"/>
        <v>1</v>
      </c>
      <c r="J18" t="str">
        <f>IF(FT!B18&lt;&gt;"",FT!E18,"")</f>
        <v>0 [6.483044]</v>
      </c>
      <c r="K18">
        <f>IF(FT!B18&lt;&gt;"",IF(FT!C18&lt;&gt;"",FT!C18,F18/$M$3*$M$4),"")</f>
        <v>6.4830399999999999</v>
      </c>
      <c r="P18">
        <f t="shared" si="10"/>
        <v>15</v>
      </c>
      <c r="Q18">
        <f t="shared" si="12"/>
        <v>0</v>
      </c>
      <c r="R18">
        <f t="shared" si="13"/>
        <v>0</v>
      </c>
      <c r="S18">
        <f t="array" ref="S18">MAX(IF(ft_nq=P18,row_n))</f>
        <v>0</v>
      </c>
      <c r="T18">
        <f t="shared" si="11"/>
        <v>1</v>
      </c>
      <c r="V18" s="288">
        <f>M!B18*100</f>
        <v>73.040599999999998</v>
      </c>
      <c r="W18" s="287">
        <f>100-M!B19*100</f>
        <v>41.709499999999998</v>
      </c>
      <c r="X18" t="str">
        <f>"(" &amp; ROUND(V18,1) &amp; " , " &amp; ROUND(100-W18,1) &amp; ")"</f>
        <v>(73 , 58.3)</v>
      </c>
      <c r="Y18" s="75">
        <f t="shared" si="3"/>
        <v>18.431394075704929</v>
      </c>
      <c r="Z18">
        <f>M!B18*100</f>
        <v>73.040599999999998</v>
      </c>
      <c r="AA18">
        <f>100-M!B19*100</f>
        <v>41.709499999999998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3.3646700000000003</v>
      </c>
      <c r="H19" s="50">
        <f>IF(FT!B19&lt;&gt;"",FT!B19*100,"")</f>
        <v>62.778700000000001</v>
      </c>
      <c r="I19" s="50">
        <f t="shared" si="2"/>
        <v>1</v>
      </c>
      <c r="J19" t="str">
        <f>IF(FT!B19&lt;&gt;"",FT!E19,"")</f>
        <v>0 [6.873493]</v>
      </c>
      <c r="K19">
        <f>IF(FT!B19&lt;&gt;"",IF(FT!C19&lt;&gt;"",FT!C19,F19/$M$3*$M$4),"")</f>
        <v>6.8734900000000003</v>
      </c>
      <c r="P19">
        <f t="shared" si="10"/>
        <v>16</v>
      </c>
      <c r="Q19">
        <f t="shared" si="12"/>
        <v>0</v>
      </c>
      <c r="R19">
        <f t="shared" si="13"/>
        <v>0</v>
      </c>
      <c r="S19">
        <f t="array" ref="S19">MAX(IF(ft_nq=P19,row_n))</f>
        <v>0</v>
      </c>
      <c r="T19">
        <f t="shared" si="11"/>
        <v>1</v>
      </c>
      <c r="V19" t="s">
        <v>1521</v>
      </c>
      <c r="Y19" s="75">
        <f t="shared" si="3"/>
        <v>18.658204222107962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3.3777400000000002</v>
      </c>
      <c r="H20" s="50">
        <f>IF(FT!B20&lt;&gt;"",FT!B20*100,"")</f>
        <v>63.073100000000004</v>
      </c>
      <c r="I20" s="50">
        <f t="shared" si="2"/>
        <v>1</v>
      </c>
      <c r="J20" t="str">
        <f>IF(FT!B20&lt;&gt;"",FT!E20,"")</f>
        <v>0 [7.284327]</v>
      </c>
      <c r="K20">
        <f>IF(FT!B20&lt;&gt;"",IF(FT!C20&lt;&gt;"",FT!C20,F20/$M$3*$M$4),"")</f>
        <v>7.2843299999999997</v>
      </c>
      <c r="P20">
        <f t="shared" si="10"/>
        <v>17</v>
      </c>
      <c r="Q20">
        <f t="shared" si="12"/>
        <v>0</v>
      </c>
      <c r="R20">
        <f t="shared" si="13"/>
        <v>0</v>
      </c>
      <c r="S20">
        <f t="array" ref="S20">MAX(IF(ft_nq=P20,row_n))</f>
        <v>0</v>
      </c>
      <c r="T20">
        <f t="shared" si="11"/>
        <v>1</v>
      </c>
      <c r="V20" s="56">
        <v>50</v>
      </c>
      <c r="W20">
        <v>50</v>
      </c>
      <c r="Y20" s="75">
        <f t="shared" si="3"/>
        <v>18.673166081462753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0.98293947677876181</v>
      </c>
      <c r="E21" s="50">
        <f t="shared" si="1"/>
        <v>5.1155989191839816E-4</v>
      </c>
      <c r="F21">
        <f t="shared" si="6"/>
        <v>19</v>
      </c>
      <c r="G21" s="50">
        <f>IF(FT!A21&lt;&gt;"",FT!A21*10,"")</f>
        <v>3.3674200000000001</v>
      </c>
      <c r="H21" s="50">
        <f>IF(FT!B21&lt;&gt;"",FT!B21*100,"")</f>
        <v>63.536300000000004</v>
      </c>
      <c r="I21" s="50">
        <f t="shared" si="2"/>
        <v>1</v>
      </c>
      <c r="J21" t="str">
        <f>IF(FT!B21&lt;&gt;"",FT!E21,"")</f>
        <v>0 [7.690936]</v>
      </c>
      <c r="K21">
        <f>IF(FT!B21&lt;&gt;"",IF(FT!C21&lt;&gt;"",FT!C21,F21/$M$3*$M$4),"")</f>
        <v>7.6909400000000003</v>
      </c>
      <c r="P21">
        <f t="shared" si="10"/>
        <v>18</v>
      </c>
      <c r="Q21">
        <f t="shared" si="12"/>
        <v>0</v>
      </c>
      <c r="R21">
        <f t="shared" si="13"/>
        <v>0</v>
      </c>
      <c r="S21">
        <f t="array" ref="S21">MAX(IF(ft_nq=P21,row_n))</f>
        <v>0</v>
      </c>
      <c r="T21">
        <f t="shared" si="11"/>
        <v>1</v>
      </c>
      <c r="V21" s="288">
        <f>Measurement!DK17*100</f>
        <v>76.257411613629372</v>
      </c>
      <c r="W21" s="287">
        <f>'R3'!I3</f>
        <v>36.612010212680424</v>
      </c>
      <c r="X21" t="str">
        <f>"(" &amp; ROUND(V21,1) &amp; " , " &amp; ROUND(W21,1) &amp; ")" &amp; CHAR(10) &amp; AR26</f>
        <v>(76.3 , 36.6)
만족스러운</v>
      </c>
      <c r="Y21" s="75">
        <f t="shared" si="3"/>
        <v>18.867946380314901</v>
      </c>
      <c r="AA21">
        <f>100-M!B19*100</f>
        <v>41.709499999999998</v>
      </c>
      <c r="AC21">
        <f>'R3'!I3</f>
        <v>36.612010212680424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3.3624700000000001</v>
      </c>
      <c r="H22" s="50">
        <f>IF(FT!B22&lt;&gt;"",FT!B22*100,"")</f>
        <v>63.851199999999999</v>
      </c>
      <c r="I22" s="50">
        <f t="shared" si="2"/>
        <v>1</v>
      </c>
      <c r="J22" t="str">
        <f>IF(FT!B22&lt;&gt;"",FT!E22,"")</f>
        <v>0 [8.096237]</v>
      </c>
      <c r="K22">
        <f>IF(FT!B22&lt;&gt;"",IF(FT!C22&lt;&gt;"",FT!C22,F22/$M$3*$M$4),"")</f>
        <v>8.0962399999999999</v>
      </c>
      <c r="P22">
        <f t="shared" si="10"/>
        <v>19</v>
      </c>
      <c r="Q22">
        <f t="shared" si="12"/>
        <v>0</v>
      </c>
      <c r="R22">
        <f t="shared" si="13"/>
        <v>0</v>
      </c>
      <c r="S22">
        <f t="array" ref="S22">MAX(IF(ft_nq=P22,row_n))</f>
        <v>0</v>
      </c>
      <c r="T22">
        <f t="shared" si="11"/>
        <v>1</v>
      </c>
      <c r="V22" s="300">
        <f>X23</f>
        <v>90</v>
      </c>
      <c r="W22" s="300">
        <f>X23</f>
        <v>90</v>
      </c>
      <c r="X22" t="s">
        <v>1188</v>
      </c>
      <c r="Y22" s="75">
        <f t="shared" si="3"/>
        <v>18.989373882889662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1</v>
      </c>
      <c r="E23" s="50">
        <f t="shared" si="1"/>
        <v>7.2710399246906645E-4</v>
      </c>
      <c r="F23">
        <f t="shared" si="6"/>
        <v>21</v>
      </c>
      <c r="G23" s="50">
        <f>IF(FT!A23&lt;&gt;"",FT!A23*10,"")</f>
        <v>3.35825</v>
      </c>
      <c r="H23" s="50">
        <f>IF(FT!B23&lt;&gt;"",FT!B23*100,"")</f>
        <v>64.105599999999995</v>
      </c>
      <c r="I23" s="50">
        <f t="shared" si="2"/>
        <v>1</v>
      </c>
      <c r="J23" t="str">
        <f>IF(FT!B23&lt;&gt;"",FT!E23,"")</f>
        <v>0 [8.495315]</v>
      </c>
      <c r="K23">
        <f>IF(FT!B23&lt;&gt;"",IF(FT!C23&lt;&gt;"",FT!C23,F23/$M$3*$M$4),"")</f>
        <v>8.4953099999999999</v>
      </c>
      <c r="P23">
        <f t="shared" si="10"/>
        <v>20</v>
      </c>
      <c r="Q23">
        <f t="shared" si="12"/>
        <v>0</v>
      </c>
      <c r="R23">
        <f t="shared" si="13"/>
        <v>0</v>
      </c>
      <c r="S23">
        <f t="array" ref="S23">MAX(IF(ft_nq=P23,row_n))</f>
        <v>0</v>
      </c>
      <c r="T23">
        <f t="shared" si="11"/>
        <v>1</v>
      </c>
      <c r="V23" s="300">
        <f>100-X23</f>
        <v>10</v>
      </c>
      <c r="W23" s="300">
        <f>X23</f>
        <v>90</v>
      </c>
      <c r="X23">
        <v>90</v>
      </c>
      <c r="Y23" s="75">
        <f t="shared" si="3"/>
        <v>19.088989801235762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3.3586399999999998</v>
      </c>
      <c r="H24" s="50">
        <f>IF(FT!B24&lt;&gt;"",FT!B24*100,"")</f>
        <v>64.445999999999998</v>
      </c>
      <c r="I24" s="50">
        <f t="shared" si="2"/>
        <v>1</v>
      </c>
      <c r="J24" t="str">
        <f>IF(FT!B24&lt;&gt;"",FT!E24,"")</f>
        <v>0 [8.902990]</v>
      </c>
      <c r="K24">
        <f>IF(FT!B24&lt;&gt;"",IF(FT!C24&lt;&gt;"",FT!C24,F24/$M$3*$M$4),"")</f>
        <v>8.9029900000000008</v>
      </c>
      <c r="P24">
        <f t="shared" si="10"/>
        <v>21</v>
      </c>
      <c r="Q24">
        <f t="shared" si="12"/>
        <v>0</v>
      </c>
      <c r="R24">
        <f t="shared" si="13"/>
        <v>0</v>
      </c>
      <c r="S24">
        <f t="array" ref="S24">MAX(IF(ft_nq=P24,row_n))</f>
        <v>0</v>
      </c>
      <c r="T24">
        <f t="shared" si="11"/>
        <v>1</v>
      </c>
      <c r="V24" s="300">
        <f>100-X23</f>
        <v>10</v>
      </c>
      <c r="W24" s="300">
        <f>100-X23</f>
        <v>10</v>
      </c>
      <c r="Y24" s="75">
        <f t="shared" si="3"/>
        <v>19.188123764380823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3.3630599999999999</v>
      </c>
      <c r="H25" s="50">
        <f>IF(FT!B25&lt;&gt;"",FT!B25*100,"")</f>
        <v>64.724199999999996</v>
      </c>
      <c r="I25" s="50">
        <f t="shared" si="2"/>
        <v>1</v>
      </c>
      <c r="J25" t="str">
        <f>IF(FT!B25&lt;&gt;"",FT!E25,"")</f>
        <v>0 [9.309967]</v>
      </c>
      <c r="K25">
        <f>IF(FT!B25&lt;&gt;"",IF(FT!C25&lt;&gt;"",FT!C25,F25/$M$3*$M$4),"")</f>
        <v>9.3099699999999999</v>
      </c>
      <c r="P25">
        <f t="shared" si="10"/>
        <v>22</v>
      </c>
      <c r="Q25">
        <f t="shared" si="12"/>
        <v>0</v>
      </c>
      <c r="R25">
        <f t="shared" si="13"/>
        <v>0</v>
      </c>
      <c r="S25">
        <f t="array" ref="S25">MAX(IF(ft_nq=P25,row_n))</f>
        <v>0</v>
      </c>
      <c r="T25">
        <f t="shared" si="11"/>
        <v>1</v>
      </c>
      <c r="V25" s="300">
        <f>X23</f>
        <v>90</v>
      </c>
      <c r="W25" s="300">
        <f>100-X23</f>
        <v>10</v>
      </c>
      <c r="Y25" s="75">
        <f t="shared" si="3"/>
        <v>19.245627494008431</v>
      </c>
    </row>
    <row r="26" spans="1:120">
      <c r="A26" s="50">
        <f t="shared" si="5"/>
        <v>24</v>
      </c>
      <c r="B26" s="50">
        <f t="shared" si="0"/>
        <v>0.46337976470588232</v>
      </c>
      <c r="C26" s="50">
        <f>IF(FH!$C$2&gt;0,FH!A26/FH!$C$2,0)</f>
        <v>0</v>
      </c>
      <c r="D26" s="50">
        <f>IF(hist!$D$2&gt;0,hist!B26/hist!$D$2,0)</f>
        <v>0.91802824878025913</v>
      </c>
      <c r="E26" s="50">
        <f t="shared" si="1"/>
        <v>1.2128188079122912E-3</v>
      </c>
      <c r="F26">
        <f t="shared" si="6"/>
        <v>24</v>
      </c>
      <c r="G26" s="50">
        <f>IF(FT!A26&lt;&gt;"",FT!A26*10,"")</f>
        <v>3.3636700000000004</v>
      </c>
      <c r="H26" s="50">
        <f>IF(FT!B26&lt;&gt;"",FT!B26*100,"")</f>
        <v>64.992399999999989</v>
      </c>
      <c r="I26" s="50">
        <f t="shared" si="2"/>
        <v>1</v>
      </c>
      <c r="J26" t="str">
        <f>IF(FT!B26&lt;&gt;"",FT!E26,"")</f>
        <v>0 [9.712182]</v>
      </c>
      <c r="K26">
        <f>IF(FT!B26&lt;&gt;"",IF(FT!C26&lt;&gt;"",FT!C26,F26/$M$3*$M$4),"")</f>
        <v>9.71218</v>
      </c>
      <c r="P26">
        <f t="shared" si="10"/>
        <v>23</v>
      </c>
      <c r="Q26">
        <f t="shared" si="12"/>
        <v>0</v>
      </c>
      <c r="R26">
        <f t="shared" si="13"/>
        <v>0</v>
      </c>
      <c r="S26">
        <f t="array" ref="S26">MAX(IF(ft_nq=P26,row_n))</f>
        <v>0</v>
      </c>
      <c r="T26">
        <f t="shared" si="11"/>
        <v>1</v>
      </c>
      <c r="V26" s="300">
        <f>X23</f>
        <v>90</v>
      </c>
      <c r="W26" s="300">
        <f>X23</f>
        <v>90</v>
      </c>
      <c r="Y26" s="75">
        <f t="shared" si="3"/>
        <v>19.321871646148399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0.79705059627577457</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0.68747933755005974</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거의 변화가 없는 안정된 상태이다.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0.59102897103952901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0.34471400000000002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65.528599999999997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55.202666666666666</v>
      </c>
      <c r="W35" s="23">
        <f>IF(FH_info!G2*1&lt;&gt;0,(1-NORMSDIST((FH_info!G2*1-0.5308)/0.1538))*100,0)</f>
        <v>88.684558326644662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0.50354465607550092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1.65608</v>
      </c>
      <c r="W36" s="495">
        <f>IF(W34&gt;=60,30/40*(W34-60)+70,IF(W34&gt;=35,35/25*(W34-35)+35,IF(W34&gt;=0,W34,0)))</f>
        <v>74.146450000000002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1.1118644067796609E-2</v>
      </c>
      <c r="D39" s="50">
        <f>IF(hist!$D$2&gt;0,hist!B39/hist!$D$2,0)</f>
        <v>0.42606979427295139</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2.0474576271186439E-2</v>
      </c>
      <c r="D41" s="50">
        <f>IF(hist!$D$2&gt;0,hist!B41/hist!$D$2,0)</f>
        <v>0.35834842619989588</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28.342500000000001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3.2000000000000001E-2</v>
      </c>
      <c r="D44" s="50">
        <f>IF(hist!$D$2&gt;0,hist!B44/hist!$D$2,0)</f>
        <v>0.2987150970620655</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2.4271186440677966E-2</v>
      </c>
      <c r="D46" s="50">
        <f>IF(hist!$D$2&gt;0,hist!B46/hist!$D$2,0)</f>
        <v>0.25196083165532474</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2.6305084745762711E-2</v>
      </c>
      <c r="D49" s="50">
        <f>IF(hist!$D$2&gt;0,hist!B49/hist!$D$2,0)</f>
        <v>0.21060038889014046</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3.7966101694915256E-3</v>
      </c>
      <c r="D51" s="50">
        <f>IF(hist!$D$2&gt;0,hist!B51/hist!$D$2,0)</f>
        <v>0.1723668909883351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76.257411613629372</v>
      </c>
      <c r="W52" s="303">
        <f ca="1">100-N9</f>
        <v>41.567500000000003</v>
      </c>
      <c r="X52" t="str">
        <f ca="1">"(" &amp; ROUND(V52,1) &amp; " , " &amp; ROUND(100-W52,1) &amp; ")"</f>
        <v>(76.3 , 58.4)</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3.7966101694915256E-3</v>
      </c>
      <c r="D54" s="50">
        <f>IF(hist!$D$2&gt;0,hist!B54/hist!$D$2,0)</f>
        <v>0.1405016979895555</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1.6271186440677966E-2</v>
      </c>
      <c r="D57" s="50">
        <f>IF(hist!$D$2&gt;0,hist!B57/hist!$D$2,0)</f>
        <v>0.11341246772696405</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0.10508474576271186</v>
      </c>
      <c r="D59" s="50">
        <f>IF(hist!$D$2&gt;0,hist!B59/hist!$D$2,0)</f>
        <v>9.141661446419809E-2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0.35023728813559318</v>
      </c>
      <c r="D62" s="50">
        <f>IF(hist!$D$2&gt;0,hist!B62/hist!$D$2,0)</f>
        <v>7.4307229680051268E-2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0.75850847457627113</v>
      </c>
      <c r="D64" s="50">
        <f>IF(hist!$D$2&gt;0,hist!B64/hist!$D$2,0)</f>
        <v>6.0618935314041805E-2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0.87416949152542367</v>
      </c>
      <c r="D67" s="50">
        <f>IF(hist!$D$2&gt;0,hist!B67/hist!$D$2,0)</f>
        <v>5.0208806797195707E-2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0.95416949152542374</v>
      </c>
      <c r="D69" s="50">
        <f>IF(hist!$D$2&gt;0,hist!B69/hist!$D$2,0)</f>
        <v>4.2280664687167104E-2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0.88677966101694927</v>
      </c>
      <c r="D72" s="50">
        <f>IF(hist!$D$2&gt;0,hist!B72/hist!$D$2,0)</f>
        <v>3.5818365830082036E-2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0.73532203389830508</v>
      </c>
      <c r="D75" s="50">
        <f>IF(hist!$D$2&gt;0,hist!B75/hist!$D$2,0)</f>
        <v>3.0855344480403998E-2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0.72474576271186442</v>
      </c>
      <c r="D77" s="50">
        <f>IF(hist!$D$2&gt;0,hist!B77/hist!$D$2,0)</f>
        <v>2.6103596465577576E-2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0.80623728813559326</v>
      </c>
      <c r="D80" s="50">
        <f>IF(hist!$D$2&gt;0,hist!B80/hist!$D$2,0)</f>
        <v>2.2734827842714921E-2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0.78033898305084737</v>
      </c>
      <c r="D82" s="50">
        <f>IF(hist!$D$2&gt;0,hist!B82/hist!$D$2,0)</f>
        <v>1.9636937156026608E-2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0.93464406779661025</v>
      </c>
      <c r="D85" s="50">
        <f>IF(hist!$D$2&gt;0,hist!B85/hist!$D$2,0)</f>
        <v>1.6945119510988985E-2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0.91552542372881351</v>
      </c>
      <c r="D88" s="50">
        <f>IF(hist!$D$2&gt;0,hist!B88/hist!$D$2,0)</f>
        <v>1.4627395833308045E-2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v>
      </c>
      <c r="D90" s="50">
        <f>IF(hist!$D$2&gt;0,hist!B90/hist!$D$2,0)</f>
        <v>1.2846580577151465E-2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0.74413559322033906</v>
      </c>
      <c r="D93" s="50">
        <f>IF(hist!$D$2&gt;0,hist!B93/hist!$D$2,0)</f>
        <v>1.1108408569043434E-2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0.73667796610169489</v>
      </c>
      <c r="D95" s="50">
        <f>IF(hist!$D$2&gt;0,hist!B95/hist!$D$2,0)</f>
        <v>9.2345551839638548E-3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0.6271186440677966</v>
      </c>
      <c r="D98" s="50">
        <f>IF(hist!$D$2&gt;0,hist!B98/hist!$D$2,0)</f>
        <v>7.6713144399262511E-3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0.63715254237288144</v>
      </c>
      <c r="D100" s="50">
        <f>IF(hist!$D$2&gt;0,hist!B100/hist!$D$2,0)</f>
        <v>6.2369708949821341E-3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0.40922033898305082</v>
      </c>
      <c r="D103" s="50">
        <f>IF(hist!$D$2&gt;0,hist!B103/hist!$D$2,0)</f>
        <v>4.9480003577737075E-3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0.35552542372881352</v>
      </c>
      <c r="D106" s="50">
        <f>IF(hist!$D$2&gt;0,hist!B106/hist!$D$2,0)</f>
        <v>3.9289377577705021E-3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0.54223728813559324</v>
      </c>
      <c r="D108" s="50">
        <f>IF(hist!$D$2&gt;0,hist!B108/hist!$D$2,0)</f>
        <v>3.0411957188413337E-3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0.47538983050847461</v>
      </c>
      <c r="D111" s="50">
        <f>IF(hist!$D$2&gt;0,hist!B111/hist!$D$2,0)</f>
        <v>2.3884725459160185E-3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0.35823728813559325</v>
      </c>
      <c r="D113" s="50">
        <f>IF(hist!$D$2&gt;0,hist!B113/hist!$D$2,0)</f>
        <v>1.8142506009149065E-3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0.21179661016949153</v>
      </c>
      <c r="D116" s="50">
        <f>IF(hist!$D$2&gt;0,hist!B116/hist!$D$2,0)</f>
        <v>1.3834631194376893E-3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0.16081355932203389</v>
      </c>
      <c r="D118" s="50">
        <f>IF(hist!$D$2&gt;0,hist!B118/hist!$D$2,0)</f>
        <v>1.0195466909087374E-3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0.17464406779661018</v>
      </c>
      <c r="D121" s="50">
        <f>IF(hist!$D$2&gt;0,hist!B121/hist!$D$2,0)</f>
        <v>7.4818466382886367E-4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0.20447457627118645</v>
      </c>
      <c r="D124" s="50">
        <f>IF(hist!$D$2&gt;0,hist!B124/hist!$D$2,0)</f>
        <v>5.5580795557872526E-4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0.22427118644067795</v>
      </c>
      <c r="D126" s="50">
        <f>IF(hist!$D$2&gt;0,hist!B126/hist!$D$2,0)</f>
        <v>3.8475305306866615E-4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0.10549152542372882</v>
      </c>
      <c r="D129" s="50">
        <f>IF(hist!$D$2&gt;0,hist!B129/hist!$D$2,0)</f>
        <v>2.7959993140097512E-4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6.6983050847457634E-2</v>
      </c>
      <c r="D131" s="50">
        <f>IF(hist!$D$2&gt;0,hist!B131/hist!$D$2,0)</f>
        <v>2.2484314433417917E-4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4.1898305084745763E-2</v>
      </c>
      <c r="D134" s="50">
        <f>IF(hist!$D$2&gt;0,hist!B134/hist!$D$2,0)</f>
        <v>1.2162856687828305E-4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2.1966101694915256E-2</v>
      </c>
      <c r="D136" s="50">
        <f>IF(hist!$D$2&gt;0,hist!B136/hist!$D$2,0)</f>
        <v>7.9954954367243477E-5</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1.6E-2</v>
      </c>
      <c r="D139" s="50">
        <f>IF(hist!$D$2&gt;0,hist!B139/hist!$D$2,0)</f>
        <v>7.2201867814896179E-5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3.5373888970122316E-5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1.4779661016949153E-2</v>
      </c>
      <c r="D144" s="50">
        <f>IF(hist!$D$2&gt;0,hist!B144/hist!$D$2,0)</f>
        <v>1.792917165363283E-5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1.1389830508474575E-2</v>
      </c>
      <c r="D147" s="50">
        <f>IF(hist!$D$2&gt;0,hist!B147/hist!$D$2,0)</f>
        <v>1.3083537987367113E-5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3.3898305084745762E-3</v>
      </c>
      <c r="D149" s="50">
        <f>IF(hist!$D$2&gt;0,hist!B149/hist!$D$2,0)</f>
        <v>6.7841778780606084E-6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3.3898305084745762E-3</v>
      </c>
      <c r="D152" s="50">
        <f>IF(hist!$D$2&gt;0,hist!B152/hist!$D$2,0)</f>
        <v>3.876724991979028E-6</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3.3898305084745762E-3</v>
      </c>
      <c r="D154" s="50">
        <f>IF(hist!$D$2&gt;0,hist!B154/hist!$D$2,0)</f>
        <v>2.9074528860815808E-6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3.3898305084745762E-3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1.0169491525423728E-2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32.2744</v>
      </c>
      <c r="C5" s="49">
        <v>2.4349799999999999</v>
      </c>
      <c r="D5" s="49">
        <v>7.5446</v>
      </c>
      <c r="E5" s="49">
        <v>20</v>
      </c>
      <c r="F5" s="49">
        <v>27.8247</v>
      </c>
      <c r="G5" s="49">
        <v>50</v>
      </c>
      <c r="H5" s="49">
        <v>38.6006</v>
      </c>
    </row>
    <row r="6" spans="1:10">
      <c r="A6" t="s">
        <v>1111</v>
      </c>
      <c r="B6" s="49">
        <v>23.3432</v>
      </c>
      <c r="C6" s="49">
        <v>3.93926</v>
      </c>
      <c r="D6" s="49">
        <v>16.875399999999999</v>
      </c>
      <c r="E6" s="49">
        <v>20</v>
      </c>
      <c r="F6" s="49">
        <v>16.595500000000001</v>
      </c>
      <c r="G6" s="49">
        <v>40</v>
      </c>
      <c r="H6" s="49">
        <v>38.788499999999999</v>
      </c>
    </row>
    <row r="7" spans="1:10">
      <c r="A7" t="s">
        <v>1112</v>
      </c>
      <c r="B7" s="49">
        <v>15.2967</v>
      </c>
      <c r="C7" s="49">
        <v>19.523399999999999</v>
      </c>
      <c r="D7" s="49">
        <v>127.631</v>
      </c>
      <c r="E7" s="49">
        <v>15</v>
      </c>
      <c r="F7" s="49">
        <v>5.0831900000000001</v>
      </c>
      <c r="G7" s="49">
        <v>40</v>
      </c>
      <c r="H7" s="49">
        <v>55.04</v>
      </c>
    </row>
    <row r="8" spans="1:10">
      <c r="A8" t="s">
        <v>1113</v>
      </c>
      <c r="B8" s="49">
        <v>28.5825</v>
      </c>
      <c r="C8" s="49">
        <v>6.30985</v>
      </c>
      <c r="D8" s="49">
        <v>22.075900000000001</v>
      </c>
      <c r="E8" s="49">
        <v>20</v>
      </c>
      <c r="F8" s="49">
        <v>20.405899999999999</v>
      </c>
      <c r="G8" s="49">
        <v>50</v>
      </c>
      <c r="H8" s="49">
        <v>36.305999999999997</v>
      </c>
    </row>
    <row r="9" spans="1:10">
      <c r="A9" t="s">
        <v>1114</v>
      </c>
      <c r="B9" s="49">
        <v>75.693299999999994</v>
      </c>
      <c r="C9" s="49">
        <v>5.0560700000000001</v>
      </c>
      <c r="D9" s="49">
        <v>6.6796800000000003</v>
      </c>
      <c r="E9" s="49">
        <v>50</v>
      </c>
      <c r="F9" s="49">
        <v>66.764799999999994</v>
      </c>
      <c r="G9" s="49">
        <v>100</v>
      </c>
      <c r="H9" s="49">
        <v>85.375399999999999</v>
      </c>
    </row>
    <row r="10" spans="1:10">
      <c r="A10" t="s">
        <v>1115</v>
      </c>
      <c r="B10" s="49">
        <v>56.9602</v>
      </c>
      <c r="C10" s="49">
        <v>15.9177</v>
      </c>
      <c r="D10" s="49">
        <v>27.9453</v>
      </c>
      <c r="E10" s="49">
        <v>40</v>
      </c>
      <c r="F10" s="49">
        <v>35.736400000000003</v>
      </c>
      <c r="G10" s="49">
        <v>100</v>
      </c>
      <c r="H10" s="49">
        <v>84.489699999999999</v>
      </c>
    </row>
    <row r="11" spans="1:10">
      <c r="A11" t="s">
        <v>1116</v>
      </c>
      <c r="B11" s="49">
        <v>26.0854</v>
      </c>
      <c r="C11" s="49">
        <v>2.71706</v>
      </c>
      <c r="D11" s="49">
        <v>10.416</v>
      </c>
      <c r="E11" s="49">
        <v>10</v>
      </c>
      <c r="F11" s="49">
        <v>18.743500000000001</v>
      </c>
      <c r="G11" s="49">
        <v>50</v>
      </c>
      <c r="H11" s="49">
        <v>30.4498</v>
      </c>
    </row>
    <row r="12" spans="1:10">
      <c r="A12" t="s">
        <v>1117</v>
      </c>
      <c r="B12" s="49">
        <v>67.467299999999994</v>
      </c>
      <c r="C12" s="49">
        <v>9.1588100000000008</v>
      </c>
      <c r="D12" s="49">
        <v>13.575200000000001</v>
      </c>
      <c r="E12" s="49">
        <v>50</v>
      </c>
      <c r="F12" s="49">
        <v>52.044199999999996</v>
      </c>
      <c r="G12" s="49">
        <v>100</v>
      </c>
      <c r="H12" s="49">
        <v>84.218800000000002</v>
      </c>
    </row>
    <row r="13" spans="1:10">
      <c r="A13" t="s">
        <v>1118</v>
      </c>
      <c r="B13" s="49">
        <v>30.026199999999999</v>
      </c>
      <c r="C13" s="49">
        <v>4.2489400000000002</v>
      </c>
      <c r="D13" s="49">
        <v>14.1508</v>
      </c>
      <c r="E13" s="49">
        <v>10</v>
      </c>
      <c r="F13" s="49">
        <v>24.345300000000002</v>
      </c>
      <c r="G13" s="49">
        <v>25</v>
      </c>
      <c r="H13" s="49">
        <v>40.858800000000002</v>
      </c>
      <c r="J13" s="49"/>
    </row>
    <row r="14" spans="1:10">
      <c r="A14" t="s">
        <v>1119</v>
      </c>
      <c r="B14" s="49">
        <v>42.489400000000003</v>
      </c>
      <c r="C14" s="49">
        <v>15.521800000000001</v>
      </c>
      <c r="D14" s="49">
        <v>36.530999999999999</v>
      </c>
      <c r="E14" s="49">
        <v>10</v>
      </c>
      <c r="F14" s="49">
        <v>3.74742</v>
      </c>
      <c r="G14" s="49">
        <v>50</v>
      </c>
      <c r="H14" s="49">
        <v>56.765500000000003</v>
      </c>
    </row>
    <row r="15" spans="1:10">
      <c r="A15" t="s">
        <v>1120</v>
      </c>
      <c r="B15" s="49">
        <v>-5.0684199999999999E-2</v>
      </c>
      <c r="C15" s="49">
        <v>0</v>
      </c>
      <c r="D15" s="49">
        <v>0</v>
      </c>
      <c r="E15" s="49">
        <v>0</v>
      </c>
      <c r="F15" s="49">
        <v>0</v>
      </c>
      <c r="G15" s="49">
        <v>0</v>
      </c>
      <c r="H15" s="49">
        <v>0</v>
      </c>
    </row>
    <row r="16" spans="1:10">
      <c r="A16" t="s">
        <v>1121</v>
      </c>
      <c r="B16" s="49">
        <v>8.8538000000000006E-2</v>
      </c>
      <c r="C16" s="49">
        <v>0</v>
      </c>
      <c r="D16" s="49">
        <v>0</v>
      </c>
      <c r="E16" s="49">
        <v>0</v>
      </c>
      <c r="F16" s="49">
        <v>0</v>
      </c>
      <c r="G16" s="49">
        <v>0</v>
      </c>
      <c r="H16" s="49">
        <v>0</v>
      </c>
    </row>
    <row r="17" spans="1:8">
      <c r="A17" t="s">
        <v>1122</v>
      </c>
      <c r="B17" s="49">
        <v>28.342500000000001</v>
      </c>
      <c r="C17" s="49">
        <v>0</v>
      </c>
      <c r="D17" s="49">
        <v>0</v>
      </c>
      <c r="E17" s="49">
        <v>0</v>
      </c>
      <c r="F17" s="49">
        <v>0</v>
      </c>
      <c r="G17" s="49">
        <v>0</v>
      </c>
      <c r="H17" s="49">
        <v>0</v>
      </c>
    </row>
    <row r="18" spans="1:8">
      <c r="A18" t="s">
        <v>1123</v>
      </c>
      <c r="B18" s="49">
        <v>0.730406</v>
      </c>
      <c r="C18" s="49">
        <v>0</v>
      </c>
      <c r="D18" s="49">
        <v>0</v>
      </c>
      <c r="E18" s="49">
        <v>0</v>
      </c>
      <c r="F18" s="49">
        <v>0</v>
      </c>
      <c r="G18" s="49">
        <v>0</v>
      </c>
      <c r="H18" s="49">
        <v>0</v>
      </c>
    </row>
    <row r="19" spans="1:8">
      <c r="A19" t="s">
        <v>1124</v>
      </c>
      <c r="B19" s="49">
        <v>0.58290500000000001</v>
      </c>
      <c r="C19" s="49">
        <v>0</v>
      </c>
      <c r="D19" s="49">
        <v>0</v>
      </c>
      <c r="E19" s="49">
        <v>0</v>
      </c>
      <c r="F19" s="49">
        <v>0</v>
      </c>
      <c r="G19" s="49">
        <v>0</v>
      </c>
      <c r="H19" s="49">
        <v>0</v>
      </c>
    </row>
    <row r="20" spans="1:8">
      <c r="A20" t="s">
        <v>1125</v>
      </c>
      <c r="B20" s="49">
        <v>0.411547</v>
      </c>
      <c r="C20" s="49">
        <v>0.73693399999999998</v>
      </c>
      <c r="D20" s="49">
        <v>1.79064</v>
      </c>
      <c r="E20" s="49">
        <v>0</v>
      </c>
      <c r="F20" s="49">
        <v>2.40409E-2</v>
      </c>
      <c r="G20" s="49">
        <v>0</v>
      </c>
      <c r="H20" s="49">
        <v>6.4421499999999998</v>
      </c>
    </row>
    <row r="21" spans="1:8">
      <c r="A21" t="s">
        <v>1126</v>
      </c>
      <c r="B21" s="49">
        <v>2.2538399999999998</v>
      </c>
      <c r="C21" s="49">
        <v>4.0157600000000002</v>
      </c>
      <c r="D21" s="49">
        <v>1.7817400000000001</v>
      </c>
      <c r="E21" s="49">
        <v>0</v>
      </c>
      <c r="F21" s="49">
        <v>0.48111900000000002</v>
      </c>
      <c r="G21" s="49">
        <v>0</v>
      </c>
      <c r="H21" s="49">
        <v>24.101700000000001</v>
      </c>
    </row>
    <row r="22" spans="1:8">
      <c r="A22" t="s">
        <v>1127</v>
      </c>
      <c r="B22" s="49">
        <v>137.47399999999999</v>
      </c>
      <c r="C22" s="49">
        <v>38.982300000000002</v>
      </c>
      <c r="D22" s="49">
        <v>0.28356100000000001</v>
      </c>
      <c r="E22" s="49">
        <v>0</v>
      </c>
      <c r="F22" s="49">
        <v>95.115600000000001</v>
      </c>
      <c r="G22" s="49">
        <v>0</v>
      </c>
      <c r="H22" s="49">
        <v>246.96100000000001</v>
      </c>
    </row>
    <row r="23" spans="1:8">
      <c r="A23" t="s">
        <v>1128</v>
      </c>
      <c r="B23" s="49">
        <v>50.354100000000003</v>
      </c>
      <c r="C23" s="49">
        <v>5.1628299999999996</v>
      </c>
      <c r="D23" s="49">
        <v>0.102531</v>
      </c>
      <c r="E23" s="49">
        <v>0</v>
      </c>
      <c r="F23" s="49">
        <v>44.541699999999999</v>
      </c>
      <c r="G23" s="49">
        <v>0</v>
      </c>
      <c r="H23" s="49">
        <v>60.387700000000002</v>
      </c>
    </row>
    <row r="24" spans="1:8">
      <c r="A24" t="s">
        <v>1129</v>
      </c>
      <c r="B24" s="49">
        <v>0.46951300000000001</v>
      </c>
      <c r="C24" s="49">
        <v>0.78202400000000005</v>
      </c>
      <c r="D24" s="49">
        <v>1.66561</v>
      </c>
      <c r="E24" s="49">
        <v>0</v>
      </c>
      <c r="F24" s="49">
        <v>5.0865800000000003E-2</v>
      </c>
      <c r="G24" s="49">
        <v>0</v>
      </c>
      <c r="H24" s="49">
        <v>5.0336299999999996</v>
      </c>
    </row>
    <row r="25" spans="1:8">
      <c r="A25" t="s">
        <v>1130</v>
      </c>
      <c r="B25" s="49">
        <v>2.9606599999999998</v>
      </c>
      <c r="C25" s="49">
        <v>2.3088299999999999</v>
      </c>
      <c r="D25" s="49">
        <v>0.779837</v>
      </c>
      <c r="E25" s="49">
        <v>0</v>
      </c>
      <c r="F25" s="49">
        <v>1.75021</v>
      </c>
      <c r="G25" s="49">
        <v>0</v>
      </c>
      <c r="H25" s="49">
        <v>9.4936000000000007</v>
      </c>
    </row>
    <row r="26" spans="1:8">
      <c r="A26" t="s">
        <v>1131</v>
      </c>
      <c r="B26" s="49">
        <v>2.3926900000000001E-2</v>
      </c>
      <c r="C26" s="49">
        <v>4.7232000000000003E-2</v>
      </c>
      <c r="D26" s="49">
        <v>1.97401</v>
      </c>
      <c r="E26" s="49">
        <v>0</v>
      </c>
      <c r="F26" s="173">
        <v>2.7368000000000002E-3</v>
      </c>
      <c r="G26" s="49">
        <v>0</v>
      </c>
      <c r="H26" s="49">
        <v>0.65083299999999999</v>
      </c>
    </row>
    <row r="27" spans="1:8">
      <c r="A27" t="s">
        <v>1132</v>
      </c>
      <c r="B27" s="49">
        <v>-2.4589499999999999E-4</v>
      </c>
      <c r="C27" s="49">
        <v>5.5017299999999998E-2</v>
      </c>
      <c r="D27" s="49">
        <v>-223.74299999999999</v>
      </c>
      <c r="E27" s="49">
        <v>0</v>
      </c>
      <c r="F27" s="49">
        <v>-0.60445700000000002</v>
      </c>
      <c r="G27" s="49">
        <v>0</v>
      </c>
      <c r="H27" s="49">
        <v>0.60569600000000001</v>
      </c>
    </row>
    <row r="28" spans="1:8">
      <c r="A28" t="s">
        <v>1133</v>
      </c>
      <c r="B28" s="49">
        <v>9.3819399999999997E-2</v>
      </c>
      <c r="C28" s="49">
        <v>0.16403300000000001</v>
      </c>
      <c r="D28" s="49">
        <v>1.7483900000000001</v>
      </c>
      <c r="E28" s="49">
        <v>0</v>
      </c>
      <c r="F28" s="49">
        <v>2.3112000000000001E-2</v>
      </c>
      <c r="G28" s="49">
        <v>0</v>
      </c>
      <c r="H28" s="49">
        <v>0.91706299999999996</v>
      </c>
    </row>
    <row r="29" spans="1:8">
      <c r="A29" t="s">
        <v>1134</v>
      </c>
      <c r="B29" s="49">
        <v>79.837199999999996</v>
      </c>
      <c r="C29" s="49">
        <v>19.845500000000001</v>
      </c>
      <c r="D29" s="49">
        <v>0.24857499999999999</v>
      </c>
      <c r="E29" s="49">
        <v>0</v>
      </c>
      <c r="F29" s="49">
        <v>62.9437</v>
      </c>
      <c r="G29" s="49">
        <v>0</v>
      </c>
      <c r="H29" s="49">
        <v>140.107</v>
      </c>
    </row>
    <row r="30" spans="1:8">
      <c r="A30" t="s">
        <v>1135</v>
      </c>
      <c r="B30" s="49">
        <v>28.831800000000001</v>
      </c>
      <c r="C30" s="49">
        <v>3.0209800000000002</v>
      </c>
      <c r="D30" s="49">
        <v>0.10478</v>
      </c>
      <c r="E30" s="49">
        <v>0</v>
      </c>
      <c r="F30" s="49">
        <v>24.514900000000001</v>
      </c>
      <c r="G30" s="49">
        <v>0</v>
      </c>
      <c r="H30" s="49">
        <v>36.9955</v>
      </c>
    </row>
    <row r="31" spans="1:8">
      <c r="A31" t="s">
        <v>1136</v>
      </c>
      <c r="B31" s="49">
        <v>278.31099999999998</v>
      </c>
      <c r="C31" s="49">
        <v>18.339500000000001</v>
      </c>
      <c r="D31" s="49">
        <v>6.5895599999999999E-2</v>
      </c>
      <c r="E31" s="49">
        <v>0</v>
      </c>
      <c r="F31" s="49">
        <v>220.767</v>
      </c>
      <c r="G31" s="49">
        <v>0</v>
      </c>
      <c r="H31" s="49">
        <v>304.92099999999999</v>
      </c>
    </row>
    <row r="32" spans="1:8">
      <c r="A32" t="s">
        <v>1137</v>
      </c>
      <c r="B32" s="49">
        <v>0.15296699999999999</v>
      </c>
      <c r="C32" s="49">
        <v>0.19523399999999999</v>
      </c>
      <c r="D32" s="49">
        <v>1.2763100000000001</v>
      </c>
      <c r="E32" s="49">
        <v>0.15</v>
      </c>
      <c r="F32" s="49">
        <v>5.0831899999999999E-2</v>
      </c>
      <c r="G32" s="49">
        <v>0.4</v>
      </c>
      <c r="H32" s="49">
        <v>0.5504</v>
      </c>
    </row>
    <row r="33" spans="1:8">
      <c r="A33" t="s">
        <v>1138</v>
      </c>
      <c r="B33" s="49">
        <v>0.36783199999999999</v>
      </c>
      <c r="C33" s="49">
        <v>4.2872600000000002E-3</v>
      </c>
      <c r="D33" s="49">
        <v>1.1655499999999999E-2</v>
      </c>
      <c r="E33" s="49">
        <v>0</v>
      </c>
      <c r="F33" s="49">
        <v>0.35217700000000002</v>
      </c>
      <c r="G33" s="49">
        <v>0</v>
      </c>
      <c r="H33" s="49">
        <v>0.38777400000000001</v>
      </c>
    </row>
    <row r="34" spans="1:8">
      <c r="A34" t="s">
        <v>1139</v>
      </c>
      <c r="B34" s="49">
        <v>0.30026199999999997</v>
      </c>
      <c r="C34" s="49">
        <v>4.2489399999999997E-2</v>
      </c>
      <c r="D34" s="49">
        <v>0.14150799999999999</v>
      </c>
      <c r="E34" s="49">
        <v>0.1</v>
      </c>
      <c r="F34" s="49">
        <v>0.243453</v>
      </c>
      <c r="G34" s="49">
        <v>0.25</v>
      </c>
      <c r="H34" s="49">
        <v>0.40858800000000001</v>
      </c>
    </row>
    <row r="35" spans="1:8">
      <c r="A35" t="s">
        <v>1140</v>
      </c>
      <c r="B35" s="49">
        <v>0.122188</v>
      </c>
      <c r="C35" s="49">
        <v>2.5061400000000001E-2</v>
      </c>
      <c r="D35" s="49">
        <v>0.20510600000000001</v>
      </c>
      <c r="E35" s="49">
        <v>0</v>
      </c>
      <c r="F35" s="49">
        <v>6.2513600000000002E-2</v>
      </c>
      <c r="G35" s="49">
        <v>0</v>
      </c>
      <c r="H35" s="49">
        <v>0.15837399999999999</v>
      </c>
    </row>
    <row r="36" spans="1:8">
      <c r="A36" t="s">
        <v>1141</v>
      </c>
      <c r="B36" s="49">
        <v>0.25180900000000001</v>
      </c>
      <c r="C36" s="49">
        <v>0.13378999999999999</v>
      </c>
      <c r="D36" s="49">
        <v>0.53131499999999998</v>
      </c>
      <c r="E36" s="49">
        <v>0</v>
      </c>
      <c r="F36" s="49">
        <v>7.4760099999999996E-2</v>
      </c>
      <c r="G36" s="49">
        <v>0</v>
      </c>
      <c r="H36" s="49">
        <v>0.55747400000000003</v>
      </c>
    </row>
    <row r="37" spans="1:8">
      <c r="A37" t="s">
        <v>1142</v>
      </c>
      <c r="B37" s="49">
        <v>0.42489399999999999</v>
      </c>
      <c r="C37" s="49">
        <v>0.15521799999999999</v>
      </c>
      <c r="D37" s="49">
        <v>0.36531000000000002</v>
      </c>
      <c r="E37" s="49">
        <v>0.1</v>
      </c>
      <c r="F37" s="49">
        <v>3.7474199999999999E-2</v>
      </c>
      <c r="G37" s="49">
        <v>0.5</v>
      </c>
      <c r="H37" s="49">
        <v>0.56765600000000005</v>
      </c>
    </row>
    <row r="38" spans="1:8">
      <c r="A38" t="s">
        <v>1143</v>
      </c>
      <c r="B38" s="49">
        <v>-129.98699999999999</v>
      </c>
      <c r="C38" s="49">
        <v>201.786</v>
      </c>
      <c r="D38" s="49">
        <v>-1.5523499999999999</v>
      </c>
      <c r="E38" s="49">
        <v>0</v>
      </c>
      <c r="F38" s="49">
        <v>-611.745</v>
      </c>
      <c r="G38" s="49">
        <v>0</v>
      </c>
      <c r="H38" s="49">
        <v>123.795</v>
      </c>
    </row>
    <row r="39" spans="1:8">
      <c r="A39" t="s">
        <v>1144</v>
      </c>
      <c r="B39" s="49">
        <v>-20.11</v>
      </c>
      <c r="C39" s="49">
        <v>43.595599999999997</v>
      </c>
      <c r="D39" s="49">
        <v>-2.1678500000000001</v>
      </c>
      <c r="E39" s="49">
        <v>0</v>
      </c>
      <c r="F39" s="49">
        <v>-134.43700000000001</v>
      </c>
      <c r="G39" s="49">
        <v>0</v>
      </c>
      <c r="H39" s="49">
        <v>28.781600000000001</v>
      </c>
    </row>
    <row r="40" spans="1:8">
      <c r="A40" t="s">
        <v>1145</v>
      </c>
      <c r="B40" s="49">
        <v>-7.2392899999999996</v>
      </c>
      <c r="C40" s="49">
        <v>9.4579299999999993</v>
      </c>
      <c r="D40" s="49">
        <v>-1.30647</v>
      </c>
      <c r="E40" s="49">
        <v>0</v>
      </c>
      <c r="F40" s="49">
        <v>-33.206400000000002</v>
      </c>
      <c r="G40" s="49">
        <v>0</v>
      </c>
      <c r="H40" s="49">
        <v>5.7872700000000004</v>
      </c>
    </row>
    <row r="41" spans="1:8">
      <c r="A41" t="s">
        <v>1146</v>
      </c>
      <c r="B41" s="49">
        <v>-0.29967100000000002</v>
      </c>
      <c r="C41" s="49">
        <v>0.39352700000000002</v>
      </c>
      <c r="D41" s="49">
        <v>-1.3131999999999999</v>
      </c>
      <c r="E41" s="49">
        <v>0</v>
      </c>
      <c r="F41" s="49">
        <v>-0.99531400000000003</v>
      </c>
      <c r="G41" s="49">
        <v>0</v>
      </c>
      <c r="H41" s="49">
        <v>0.35297899999999999</v>
      </c>
    </row>
    <row r="42" spans="1:8">
      <c r="A42" t="s">
        <v>1147</v>
      </c>
      <c r="B42" s="49">
        <v>-4.4224199999999998E-2</v>
      </c>
      <c r="C42" s="49">
        <v>0.25920500000000002</v>
      </c>
      <c r="D42" s="49">
        <v>-5.8611599999999999</v>
      </c>
      <c r="E42" s="49">
        <v>0</v>
      </c>
      <c r="F42" s="49">
        <v>-0.435033</v>
      </c>
      <c r="G42" s="49">
        <v>0</v>
      </c>
      <c r="H42" s="49">
        <v>0.332401</v>
      </c>
    </row>
    <row r="43" spans="1:8">
      <c r="A43" t="s">
        <v>1148</v>
      </c>
      <c r="B43" s="49">
        <v>-0.25446800000000003</v>
      </c>
      <c r="C43" s="49">
        <v>0.20270099999999999</v>
      </c>
      <c r="D43" s="49">
        <v>-0.79656899999999997</v>
      </c>
      <c r="E43" s="49">
        <v>0</v>
      </c>
      <c r="F43" s="49">
        <v>-0.72836500000000004</v>
      </c>
      <c r="G43" s="49">
        <v>0</v>
      </c>
      <c r="H43" s="49">
        <v>-7.0989300000000005E-2</v>
      </c>
    </row>
    <row r="44" spans="1:8">
      <c r="A44" t="s">
        <v>1149</v>
      </c>
      <c r="B44" s="49">
        <v>7.9131600000000004</v>
      </c>
      <c r="C44" s="49">
        <v>51.2483</v>
      </c>
      <c r="D44" s="49">
        <v>6.4763299999999999</v>
      </c>
      <c r="E44" s="49">
        <v>0</v>
      </c>
      <c r="F44" s="49">
        <v>-54.397500000000001</v>
      </c>
      <c r="G44" s="49">
        <v>0</v>
      </c>
      <c r="H44" s="49">
        <v>117.90600000000001</v>
      </c>
    </row>
    <row r="45" spans="1:8">
      <c r="A45" t="s">
        <v>1150</v>
      </c>
      <c r="B45" s="49">
        <v>52.418700000000001</v>
      </c>
      <c r="C45" s="49">
        <v>10.037599999999999</v>
      </c>
      <c r="D45" s="49">
        <v>0.19148899999999999</v>
      </c>
      <c r="E45" s="49">
        <v>0</v>
      </c>
      <c r="F45" s="49">
        <v>23.6539</v>
      </c>
      <c r="G45" s="49">
        <v>0</v>
      </c>
      <c r="H45" s="49">
        <v>67.370999999999995</v>
      </c>
    </row>
    <row r="46" spans="1:8">
      <c r="A46" t="s">
        <v>1151</v>
      </c>
      <c r="B46" s="49">
        <v>21.003900000000002</v>
      </c>
      <c r="C46" s="49">
        <v>1.92763</v>
      </c>
      <c r="D46" s="49">
        <v>9.1774900000000006E-2</v>
      </c>
      <c r="E46" s="49">
        <v>0</v>
      </c>
      <c r="F46" s="49">
        <v>17.825600000000001</v>
      </c>
      <c r="G46" s="49">
        <v>0</v>
      </c>
      <c r="H46" s="49">
        <v>25.878599999999999</v>
      </c>
    </row>
    <row r="47" spans="1:8">
      <c r="A47" t="s">
        <v>1152</v>
      </c>
      <c r="B47" s="49">
        <v>1.67113</v>
      </c>
      <c r="C47" s="49">
        <v>1.85293</v>
      </c>
      <c r="D47" s="49">
        <v>1.1087899999999999</v>
      </c>
      <c r="E47" s="49">
        <v>0</v>
      </c>
      <c r="F47" s="49">
        <v>0.89949299999999999</v>
      </c>
      <c r="G47" s="49">
        <v>0</v>
      </c>
      <c r="H47" s="49">
        <v>9.1221800000000002</v>
      </c>
    </row>
    <row r="48" spans="1:8">
      <c r="A48" t="s">
        <v>1153</v>
      </c>
      <c r="B48" s="49">
        <v>1.2458800000000001</v>
      </c>
      <c r="C48" s="49">
        <v>0.190221</v>
      </c>
      <c r="D48" s="49">
        <v>0.15268000000000001</v>
      </c>
      <c r="E48" s="49">
        <v>0</v>
      </c>
      <c r="F48" s="49">
        <v>0.87276500000000001</v>
      </c>
      <c r="G48" s="49">
        <v>0</v>
      </c>
      <c r="H48" s="49">
        <v>1.7481899999999999</v>
      </c>
    </row>
    <row r="50" spans="1:4">
      <c r="A50" t="str">
        <f>lang!B7</f>
        <v>긍정감정</v>
      </c>
      <c r="B50" s="134">
        <f>SUM(B9:B12)</f>
        <v>226.2062</v>
      </c>
      <c r="C50" s="134"/>
      <c r="D50" s="134">
        <f t="shared" ref="D50" si="0">SUM(D9:D12)</f>
        <v>58.616180000000007</v>
      </c>
    </row>
    <row r="51" spans="1:4">
      <c r="A51" t="str">
        <f>lang!B8</f>
        <v>부정감정</v>
      </c>
      <c r="B51" s="134">
        <f>SUM(B5:B8)</f>
        <v>99.496799999999993</v>
      </c>
      <c r="C51" s="134"/>
      <c r="D51" s="134">
        <f t="shared" ref="D51" si="1">SUM(D5:D8)</f>
        <v>174.12689999999998</v>
      </c>
    </row>
    <row r="52" spans="1:4">
      <c r="A52" t="str">
        <f>lang!B9</f>
        <v>생리감정</v>
      </c>
      <c r="B52" s="134">
        <f>SUM(B13:B14)</f>
        <v>72.515600000000006</v>
      </c>
      <c r="C52" s="134"/>
      <c r="D52" s="134">
        <f t="shared" ref="D52" si="2">SUM(D13:D14)</f>
        <v>50.681799999999996</v>
      </c>
    </row>
    <row r="53" spans="1:4">
      <c r="B53" s="50">
        <f>SUM(B50:B52)</f>
        <v>398.21859999999998</v>
      </c>
      <c r="D53" s="50">
        <f>SUM(D50:D52)</f>
        <v>283.42487999999997</v>
      </c>
    </row>
    <row r="54" spans="1:4">
      <c r="A54" t="str">
        <f>lang!B7</f>
        <v>긍정감정</v>
      </c>
      <c r="B54" s="135">
        <f>IF(B$53&lt;&gt;0,B50/B$53,0)</f>
        <v>0.56804528969766854</v>
      </c>
      <c r="C54" s="135"/>
      <c r="D54" s="135">
        <f>IF(D$53&lt;&gt;0,D50/D$53,0)</f>
        <v>0.20681381253473588</v>
      </c>
    </row>
    <row r="55" spans="1:4">
      <c r="A55" t="str">
        <f>lang!B8</f>
        <v>부정감정</v>
      </c>
      <c r="B55" s="135">
        <f>IF(B$53&lt;&gt;0,B51/B$53,0)</f>
        <v>0.24985472803128733</v>
      </c>
      <c r="C55" s="135"/>
      <c r="D55" s="135">
        <f>IF(D$53&lt;&gt;0,D51/D$53,0)</f>
        <v>0.61436702381244723</v>
      </c>
    </row>
    <row r="56" spans="1:4">
      <c r="A56" t="str">
        <f>lang!B9</f>
        <v>생리감정</v>
      </c>
      <c r="B56" s="135">
        <f>IF(B$53&lt;&gt;0,B52/B$53,0)</f>
        <v>0.18209998227104413</v>
      </c>
      <c r="C56" s="135"/>
      <c r="D56" s="135">
        <f>IF(D$53&lt;&gt;0,D52/D$53,0)</f>
        <v>0.17881916365281694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73.75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0.82</v>
      </c>
      <c r="B39" s="49">
        <v>0.82</v>
      </c>
    </row>
    <row r="40" spans="1:2">
      <c r="A40" s="49">
        <v>0</v>
      </c>
      <c r="B40" s="49">
        <v>0</v>
      </c>
    </row>
    <row r="41" spans="1:2">
      <c r="A41" s="49">
        <v>1.51</v>
      </c>
      <c r="B41" s="49">
        <v>1.51</v>
      </c>
    </row>
    <row r="42" spans="1:2">
      <c r="A42" s="49">
        <v>0</v>
      </c>
      <c r="B42" s="49">
        <v>0</v>
      </c>
    </row>
    <row r="43" spans="1:2">
      <c r="A43" s="49">
        <v>0</v>
      </c>
      <c r="B43" s="49">
        <v>0</v>
      </c>
    </row>
    <row r="44" spans="1:2">
      <c r="A44" s="49">
        <v>2.36</v>
      </c>
      <c r="B44" s="49">
        <v>2.36</v>
      </c>
    </row>
    <row r="45" spans="1:2">
      <c r="A45" s="49">
        <v>0</v>
      </c>
      <c r="B45" s="49">
        <v>0</v>
      </c>
    </row>
    <row r="46" spans="1:2">
      <c r="A46" s="49">
        <v>1.79</v>
      </c>
      <c r="B46" s="49">
        <v>1.79</v>
      </c>
    </row>
    <row r="47" spans="1:2">
      <c r="A47" s="49">
        <v>0</v>
      </c>
      <c r="B47" s="49">
        <v>0</v>
      </c>
    </row>
    <row r="48" spans="1:2">
      <c r="A48" s="49">
        <v>0</v>
      </c>
      <c r="B48" s="49">
        <v>0</v>
      </c>
    </row>
    <row r="49" spans="1:2">
      <c r="A49" s="49">
        <v>1.94</v>
      </c>
      <c r="B49" s="49">
        <v>1.94</v>
      </c>
    </row>
    <row r="50" spans="1:2">
      <c r="A50" s="49">
        <v>0</v>
      </c>
      <c r="B50" s="49">
        <v>0</v>
      </c>
    </row>
    <row r="51" spans="1:2">
      <c r="A51" s="49">
        <v>0.28000000000000003</v>
      </c>
      <c r="B51" s="49">
        <v>0.28000000000000003</v>
      </c>
    </row>
    <row r="52" spans="1:2">
      <c r="A52" s="49">
        <v>0</v>
      </c>
      <c r="B52" s="49">
        <v>0</v>
      </c>
    </row>
    <row r="53" spans="1:2">
      <c r="A53" s="49">
        <v>0</v>
      </c>
      <c r="B53" s="49">
        <v>0</v>
      </c>
    </row>
    <row r="54" spans="1:2">
      <c r="A54" s="49">
        <v>0.28000000000000003</v>
      </c>
      <c r="B54" s="49">
        <v>0.28000000000000003</v>
      </c>
    </row>
    <row r="55" spans="1:2">
      <c r="A55" s="49">
        <v>0</v>
      </c>
      <c r="B55" s="49">
        <v>0</v>
      </c>
    </row>
    <row r="56" spans="1:2">
      <c r="A56" s="49">
        <v>0</v>
      </c>
      <c r="B56" s="49">
        <v>0</v>
      </c>
    </row>
    <row r="57" spans="1:2">
      <c r="A57" s="49">
        <v>1.2</v>
      </c>
      <c r="B57" s="49">
        <v>1.2</v>
      </c>
    </row>
    <row r="58" spans="1:2">
      <c r="A58" s="49">
        <v>0</v>
      </c>
      <c r="B58" s="49">
        <v>0</v>
      </c>
    </row>
    <row r="59" spans="1:2">
      <c r="A59" s="49">
        <v>7.75</v>
      </c>
      <c r="B59" s="49">
        <v>7.75</v>
      </c>
    </row>
    <row r="60" spans="1:2">
      <c r="A60" s="49">
        <v>0</v>
      </c>
      <c r="B60" s="49">
        <v>0</v>
      </c>
    </row>
    <row r="61" spans="1:2">
      <c r="A61" s="49">
        <v>0</v>
      </c>
      <c r="B61" s="49">
        <v>0</v>
      </c>
    </row>
    <row r="62" spans="1:2">
      <c r="A62" s="49">
        <v>25.83</v>
      </c>
      <c r="B62" s="49">
        <v>25.83</v>
      </c>
    </row>
    <row r="63" spans="1:2">
      <c r="A63" s="49">
        <v>0</v>
      </c>
      <c r="B63" s="49">
        <v>0</v>
      </c>
    </row>
    <row r="64" spans="1:2">
      <c r="A64" s="49">
        <v>55.94</v>
      </c>
      <c r="B64" s="49">
        <v>55.94</v>
      </c>
    </row>
    <row r="65" spans="1:2">
      <c r="A65" s="49">
        <v>0</v>
      </c>
      <c r="B65" s="49">
        <v>0</v>
      </c>
    </row>
    <row r="66" spans="1:2">
      <c r="A66" s="49">
        <v>0</v>
      </c>
      <c r="B66" s="49">
        <v>0</v>
      </c>
    </row>
    <row r="67" spans="1:2">
      <c r="A67" s="49">
        <v>64.47</v>
      </c>
      <c r="B67" s="49">
        <v>64.47</v>
      </c>
    </row>
    <row r="68" spans="1:2">
      <c r="A68" s="49">
        <v>0</v>
      </c>
      <c r="B68" s="49">
        <v>0</v>
      </c>
    </row>
    <row r="69" spans="1:2">
      <c r="A69" s="49">
        <v>70.37</v>
      </c>
      <c r="B69" s="49">
        <v>70.37</v>
      </c>
    </row>
    <row r="70" spans="1:2">
      <c r="A70" s="49">
        <v>0</v>
      </c>
      <c r="B70" s="49">
        <v>0</v>
      </c>
    </row>
    <row r="71" spans="1:2">
      <c r="A71" s="49">
        <v>0</v>
      </c>
      <c r="B71" s="49">
        <v>0</v>
      </c>
    </row>
    <row r="72" spans="1:2">
      <c r="A72" s="49">
        <v>65.400000000000006</v>
      </c>
      <c r="B72" s="49">
        <v>65.400000000000006</v>
      </c>
    </row>
    <row r="73" spans="1:2">
      <c r="A73" s="49">
        <v>0</v>
      </c>
      <c r="B73" s="49">
        <v>0</v>
      </c>
    </row>
    <row r="74" spans="1:2">
      <c r="A74" s="49">
        <v>0</v>
      </c>
      <c r="B74" s="49">
        <v>0</v>
      </c>
    </row>
    <row r="75" spans="1:2">
      <c r="A75" s="49">
        <v>54.23</v>
      </c>
      <c r="B75" s="49">
        <v>54.23</v>
      </c>
    </row>
    <row r="76" spans="1:2">
      <c r="A76" s="49">
        <v>0</v>
      </c>
      <c r="B76" s="49">
        <v>0</v>
      </c>
    </row>
    <row r="77" spans="1:2">
      <c r="A77" s="49">
        <v>53.45</v>
      </c>
      <c r="B77" s="49">
        <v>53.45</v>
      </c>
    </row>
    <row r="78" spans="1:2">
      <c r="A78" s="49">
        <v>0</v>
      </c>
      <c r="B78" s="49">
        <v>0</v>
      </c>
    </row>
    <row r="79" spans="1:2">
      <c r="A79" s="49">
        <v>0</v>
      </c>
      <c r="B79" s="49">
        <v>0</v>
      </c>
    </row>
    <row r="80" spans="1:2">
      <c r="A80" s="49">
        <v>59.46</v>
      </c>
      <c r="B80" s="49">
        <v>59.46</v>
      </c>
    </row>
    <row r="81" spans="1:2">
      <c r="A81" s="49">
        <v>0</v>
      </c>
      <c r="B81" s="49">
        <v>0</v>
      </c>
    </row>
    <row r="82" spans="1:2">
      <c r="A82" s="49">
        <v>57.55</v>
      </c>
      <c r="B82" s="49">
        <v>57.55</v>
      </c>
    </row>
    <row r="83" spans="1:2">
      <c r="A83" s="49">
        <v>0</v>
      </c>
      <c r="B83" s="49">
        <v>0</v>
      </c>
    </row>
    <row r="84" spans="1:2">
      <c r="A84" s="49">
        <v>0</v>
      </c>
      <c r="B84" s="49">
        <v>0</v>
      </c>
    </row>
    <row r="85" spans="1:2">
      <c r="A85" s="49">
        <v>68.930000000000007</v>
      </c>
      <c r="B85" s="49">
        <v>68.930000000000007</v>
      </c>
    </row>
    <row r="86" spans="1:2">
      <c r="A86" s="49">
        <v>0</v>
      </c>
      <c r="B86" s="49">
        <v>0</v>
      </c>
    </row>
    <row r="87" spans="1:2">
      <c r="A87" s="49">
        <v>0</v>
      </c>
      <c r="B87" s="49">
        <v>0</v>
      </c>
    </row>
    <row r="88" spans="1:2">
      <c r="A88" s="49">
        <v>67.52</v>
      </c>
      <c r="B88" s="49">
        <v>67.52</v>
      </c>
    </row>
    <row r="89" spans="1:2">
      <c r="A89" s="49">
        <v>0</v>
      </c>
      <c r="B89" s="49">
        <v>0</v>
      </c>
    </row>
    <row r="90" spans="1:2">
      <c r="A90" s="49">
        <v>73.75</v>
      </c>
      <c r="B90" s="49">
        <v>73.75</v>
      </c>
    </row>
    <row r="91" spans="1:2">
      <c r="A91" s="49">
        <v>0</v>
      </c>
      <c r="B91" s="49">
        <v>0</v>
      </c>
    </row>
    <row r="92" spans="1:2">
      <c r="A92" s="49">
        <v>0</v>
      </c>
      <c r="B92" s="49">
        <v>0</v>
      </c>
    </row>
    <row r="93" spans="1:2">
      <c r="A93" s="49">
        <v>54.88</v>
      </c>
      <c r="B93" s="49">
        <v>54.88</v>
      </c>
    </row>
    <row r="94" spans="1:2">
      <c r="A94" s="49">
        <v>0</v>
      </c>
      <c r="B94" s="49">
        <v>0</v>
      </c>
    </row>
    <row r="95" spans="1:2">
      <c r="A95" s="49">
        <v>54.33</v>
      </c>
      <c r="B95" s="49">
        <v>54.33</v>
      </c>
    </row>
    <row r="96" spans="1:2">
      <c r="A96" s="49">
        <v>0</v>
      </c>
      <c r="B96" s="49">
        <v>0</v>
      </c>
    </row>
    <row r="97" spans="1:2">
      <c r="A97" s="49">
        <v>0</v>
      </c>
      <c r="B97" s="49">
        <v>0</v>
      </c>
    </row>
    <row r="98" spans="1:2">
      <c r="A98" s="49">
        <v>46.25</v>
      </c>
      <c r="B98" s="49">
        <v>46.25</v>
      </c>
    </row>
    <row r="99" spans="1:2">
      <c r="A99" s="49">
        <v>0</v>
      </c>
      <c r="B99" s="49">
        <v>0</v>
      </c>
    </row>
    <row r="100" spans="1:2">
      <c r="A100" s="49">
        <v>46.99</v>
      </c>
      <c r="B100" s="49">
        <v>46.99</v>
      </c>
    </row>
    <row r="101" spans="1:2">
      <c r="A101" s="49">
        <v>0</v>
      </c>
      <c r="B101" s="49">
        <v>0</v>
      </c>
    </row>
    <row r="102" spans="1:2">
      <c r="A102" s="49">
        <v>0</v>
      </c>
      <c r="B102" s="49">
        <v>0</v>
      </c>
    </row>
    <row r="103" spans="1:2">
      <c r="A103" s="49">
        <v>30.18</v>
      </c>
      <c r="B103" s="49">
        <v>30.18</v>
      </c>
    </row>
    <row r="104" spans="1:2">
      <c r="A104" s="49">
        <v>0</v>
      </c>
      <c r="B104" s="49">
        <v>0</v>
      </c>
    </row>
    <row r="105" spans="1:2">
      <c r="A105" s="49">
        <v>0</v>
      </c>
      <c r="B105" s="49">
        <v>0</v>
      </c>
    </row>
    <row r="106" spans="1:2">
      <c r="A106" s="49">
        <v>26.22</v>
      </c>
      <c r="B106" s="49">
        <v>26.22</v>
      </c>
    </row>
    <row r="107" spans="1:2">
      <c r="A107" s="49">
        <v>0</v>
      </c>
      <c r="B107" s="49">
        <v>0</v>
      </c>
    </row>
    <row r="108" spans="1:2">
      <c r="A108" s="49">
        <v>39.99</v>
      </c>
      <c r="B108" s="49">
        <v>39.99</v>
      </c>
    </row>
    <row r="109" spans="1:2">
      <c r="A109" s="49">
        <v>0</v>
      </c>
      <c r="B109" s="49">
        <v>0</v>
      </c>
    </row>
    <row r="110" spans="1:2">
      <c r="A110" s="49">
        <v>0</v>
      </c>
      <c r="B110" s="49">
        <v>0</v>
      </c>
    </row>
    <row r="111" spans="1:2">
      <c r="A111" s="49">
        <v>35.06</v>
      </c>
      <c r="B111" s="49">
        <v>35.06</v>
      </c>
    </row>
    <row r="112" spans="1:2">
      <c r="A112" s="49">
        <v>0</v>
      </c>
      <c r="B112" s="49">
        <v>0</v>
      </c>
    </row>
    <row r="113" spans="1:2">
      <c r="A113" s="49">
        <v>26.42</v>
      </c>
      <c r="B113" s="49">
        <v>26.42</v>
      </c>
    </row>
    <row r="114" spans="1:2">
      <c r="A114" s="49">
        <v>0</v>
      </c>
      <c r="B114" s="49">
        <v>0</v>
      </c>
    </row>
    <row r="115" spans="1:2">
      <c r="A115" s="49">
        <v>0</v>
      </c>
      <c r="B115" s="49">
        <v>0</v>
      </c>
    </row>
    <row r="116" spans="1:2">
      <c r="A116" s="49">
        <v>15.62</v>
      </c>
      <c r="B116" s="49">
        <v>15.62</v>
      </c>
    </row>
    <row r="117" spans="1:2">
      <c r="A117" s="49">
        <v>0</v>
      </c>
      <c r="B117" s="49">
        <v>0</v>
      </c>
    </row>
    <row r="118" spans="1:2">
      <c r="A118" s="49">
        <v>11.86</v>
      </c>
      <c r="B118" s="49">
        <v>11.86</v>
      </c>
    </row>
    <row r="119" spans="1:2">
      <c r="A119" s="49">
        <v>0</v>
      </c>
      <c r="B119" s="49">
        <v>0</v>
      </c>
    </row>
    <row r="120" spans="1:2">
      <c r="A120" s="49">
        <v>0</v>
      </c>
      <c r="B120" s="49">
        <v>0</v>
      </c>
    </row>
    <row r="121" spans="1:2">
      <c r="A121" s="49">
        <v>12.88</v>
      </c>
      <c r="B121" s="49">
        <v>12.88</v>
      </c>
    </row>
    <row r="122" spans="1:2">
      <c r="A122" s="49">
        <v>0</v>
      </c>
      <c r="B122" s="49">
        <v>0</v>
      </c>
    </row>
    <row r="123" spans="1:2">
      <c r="A123" s="49">
        <v>0</v>
      </c>
      <c r="B123" s="49">
        <v>0</v>
      </c>
    </row>
    <row r="124" spans="1:2">
      <c r="A124" s="49">
        <v>15.08</v>
      </c>
      <c r="B124" s="49">
        <v>15.08</v>
      </c>
    </row>
    <row r="125" spans="1:2">
      <c r="A125" s="49">
        <v>0</v>
      </c>
      <c r="B125" s="49">
        <v>0</v>
      </c>
    </row>
    <row r="126" spans="1:2">
      <c r="A126" s="49">
        <v>16.54</v>
      </c>
      <c r="B126" s="49">
        <v>16.54</v>
      </c>
    </row>
    <row r="127" spans="1:2">
      <c r="A127" s="49">
        <v>0</v>
      </c>
      <c r="B127" s="49">
        <v>0</v>
      </c>
    </row>
    <row r="128" spans="1:2">
      <c r="A128" s="49">
        <v>0</v>
      </c>
      <c r="B128" s="49">
        <v>0</v>
      </c>
    </row>
    <row r="129" spans="1:2">
      <c r="A129" s="49">
        <v>7.78</v>
      </c>
      <c r="B129" s="49">
        <v>7.78</v>
      </c>
    </row>
    <row r="130" spans="1:2">
      <c r="A130" s="49">
        <v>0</v>
      </c>
      <c r="B130" s="49">
        <v>0</v>
      </c>
    </row>
    <row r="131" spans="1:2">
      <c r="A131" s="49">
        <v>4.9400000000000004</v>
      </c>
      <c r="B131" s="49">
        <v>4.9400000000000004</v>
      </c>
    </row>
    <row r="132" spans="1:2">
      <c r="A132" s="49">
        <v>0</v>
      </c>
      <c r="B132" s="49">
        <v>0</v>
      </c>
    </row>
    <row r="133" spans="1:2">
      <c r="A133" s="49">
        <v>0</v>
      </c>
      <c r="B133" s="49">
        <v>0</v>
      </c>
    </row>
    <row r="134" spans="1:2">
      <c r="A134" s="49">
        <v>3.09</v>
      </c>
      <c r="B134" s="49">
        <v>3.09</v>
      </c>
    </row>
    <row r="135" spans="1:2">
      <c r="A135" s="49">
        <v>0</v>
      </c>
      <c r="B135" s="49">
        <v>0</v>
      </c>
    </row>
    <row r="136" spans="1:2">
      <c r="A136" s="49">
        <v>1.62</v>
      </c>
      <c r="B136" s="49">
        <v>1.62</v>
      </c>
    </row>
    <row r="137" spans="1:2">
      <c r="A137" s="49">
        <v>0</v>
      </c>
      <c r="B137" s="49">
        <v>0</v>
      </c>
    </row>
    <row r="138" spans="1:2">
      <c r="A138" s="49">
        <v>0</v>
      </c>
      <c r="B138" s="49">
        <v>0</v>
      </c>
    </row>
    <row r="139" spans="1:2">
      <c r="A139" s="49">
        <v>1.18</v>
      </c>
      <c r="B139" s="49">
        <v>1.18</v>
      </c>
    </row>
    <row r="140" spans="1:2">
      <c r="A140" s="49">
        <v>0</v>
      </c>
      <c r="B140" s="49">
        <v>0</v>
      </c>
    </row>
    <row r="141" spans="1:2">
      <c r="A141" s="49">
        <v>0</v>
      </c>
      <c r="B141" s="49">
        <v>0</v>
      </c>
    </row>
    <row r="142" spans="1:2">
      <c r="A142" s="49">
        <v>0</v>
      </c>
      <c r="B142" s="49">
        <v>0</v>
      </c>
    </row>
    <row r="143" spans="1:2">
      <c r="A143" s="49">
        <v>0</v>
      </c>
      <c r="B143" s="49">
        <v>0</v>
      </c>
    </row>
    <row r="144" spans="1:2">
      <c r="A144" s="49">
        <v>1.0900000000000001</v>
      </c>
      <c r="B144" s="49">
        <v>1.0900000000000001</v>
      </c>
    </row>
    <row r="145" spans="1:2">
      <c r="A145" s="49">
        <v>0</v>
      </c>
      <c r="B145" s="49">
        <v>0</v>
      </c>
    </row>
    <row r="146" spans="1:2">
      <c r="A146" s="49">
        <v>0</v>
      </c>
      <c r="B146" s="49">
        <v>0</v>
      </c>
    </row>
    <row r="147" spans="1:2">
      <c r="A147" s="49">
        <v>0.84</v>
      </c>
      <c r="B147" s="49">
        <v>0.84</v>
      </c>
    </row>
    <row r="148" spans="1:2">
      <c r="A148" s="49">
        <v>0</v>
      </c>
      <c r="B148" s="49">
        <v>0</v>
      </c>
    </row>
    <row r="149" spans="1:2">
      <c r="A149" s="49">
        <v>0.25</v>
      </c>
      <c r="B149" s="49">
        <v>0.25</v>
      </c>
    </row>
    <row r="150" spans="1:2">
      <c r="A150" s="49">
        <v>0</v>
      </c>
      <c r="B150" s="49">
        <v>0</v>
      </c>
    </row>
    <row r="151" spans="1:2">
      <c r="A151" s="49">
        <v>0</v>
      </c>
      <c r="B151" s="49">
        <v>0</v>
      </c>
    </row>
    <row r="152" spans="1:2">
      <c r="A152" s="49">
        <v>0.25</v>
      </c>
      <c r="B152" s="49">
        <v>0.25</v>
      </c>
    </row>
    <row r="153" spans="1:2">
      <c r="A153" s="49">
        <v>0</v>
      </c>
      <c r="B153" s="49">
        <v>0</v>
      </c>
    </row>
    <row r="154" spans="1:2">
      <c r="A154" s="49">
        <v>0.25</v>
      </c>
      <c r="B154" s="49">
        <v>0.25</v>
      </c>
    </row>
    <row r="155" spans="1:2">
      <c r="A155" s="49">
        <v>0</v>
      </c>
      <c r="B155" s="49">
        <v>0</v>
      </c>
    </row>
    <row r="156" spans="1:2">
      <c r="A156" s="49">
        <v>0</v>
      </c>
      <c r="B156" s="49">
        <v>0</v>
      </c>
    </row>
    <row r="157" spans="1:2">
      <c r="A157" s="49">
        <v>0.25</v>
      </c>
      <c r="B157" s="49">
        <v>0.25</v>
      </c>
    </row>
    <row r="158" spans="1:2">
      <c r="A158" s="49">
        <v>0</v>
      </c>
      <c r="B158" s="49">
        <v>0</v>
      </c>
    </row>
    <row r="159" spans="1:2">
      <c r="A159" s="49">
        <v>0</v>
      </c>
      <c r="B159" s="49">
        <v>0</v>
      </c>
    </row>
    <row r="160" spans="1:2">
      <c r="A160" s="49">
        <v>0.75</v>
      </c>
      <c r="B160" s="49">
        <v>0.75</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0.338121</v>
      </c>
      <c r="B2" s="49">
        <v>0.54879100000000003</v>
      </c>
      <c r="C2">
        <v>0</v>
      </c>
      <c r="D2">
        <v>0</v>
      </c>
      <c r="E2" t="s">
        <v>1161</v>
      </c>
      <c r="F2" s="49">
        <f>IF(A2&lt;&gt;"",1,"")</f>
        <v>1</v>
      </c>
      <c r="G2">
        <f>IF($H8&gt;0,LOOKUP(COUNT(A2:A1000)*$H8,F2:F1000,A2:A1000),LOOKUP(1,F2:F1000,A2:A1000))</f>
        <v>0.337447</v>
      </c>
      <c r="H2">
        <f>IF($H8&gt;0,LOOKUP(COUNT(B2:B1000)*$H8,F2:F1000,B2:B1000),LOOKUP(1,F2:F1000,B2:B1000))</f>
        <v>0.54757299999999998</v>
      </c>
      <c r="J2" s="49">
        <f>IF(A2&lt;&gt;"",A2*10,"")</f>
        <v>3.3812100000000003</v>
      </c>
      <c r="K2" s="49">
        <f>IF(B2&lt;&gt;"",B2*100,"")</f>
        <v>54.879100000000001</v>
      </c>
      <c r="L2" s="49">
        <f>IF(F2&lt;&gt;"",IF(K2&lt;&gt;0,K2/J2,0),"")</f>
        <v>16.230609752130153</v>
      </c>
    </row>
    <row r="3" spans="1:12">
      <c r="A3" s="49">
        <v>0.337447</v>
      </c>
      <c r="B3" s="49">
        <v>0.54757299999999998</v>
      </c>
      <c r="C3">
        <v>0.36979499999999998</v>
      </c>
      <c r="D3">
        <v>0</v>
      </c>
      <c r="E3" t="s">
        <v>2560</v>
      </c>
      <c r="F3" s="49">
        <f>IF(A3&lt;&gt;"",F2+1,"")</f>
        <v>2</v>
      </c>
      <c r="G3">
        <f>IF($H9&gt;0,LOOKUP(COUNT(A2:A1000)*$H9,F2:F1000,A2:A1000),LOOKUP(1,F2:F1000,A2:A1000))</f>
        <v>0.33582499999999998</v>
      </c>
      <c r="H3">
        <f>IF($H9&gt;0,LOOKUP(COUNT(B2:B1000)*$H9,F2:F1000,B2:B1000),LOOKUP(1,F2:F1000,B2:B1000))</f>
        <v>0.64105599999999996</v>
      </c>
      <c r="J3" s="49">
        <f t="shared" ref="J3:J66" si="0">IF(A3&lt;&gt;"",A3*10,"")</f>
        <v>3.3744700000000001</v>
      </c>
      <c r="K3" s="49">
        <f t="shared" ref="K3:K66" si="1">IF(B3&lt;&gt;"",B3*100,"")</f>
        <v>54.757300000000001</v>
      </c>
      <c r="L3" s="49">
        <f t="shared" ref="L3:L66" si="2">IF(F3&lt;&gt;"",IF(K3&lt;&gt;0,K3/J3,0),"")</f>
        <v>16.22693341472883</v>
      </c>
    </row>
    <row r="4" spans="1:12">
      <c r="A4" s="49">
        <v>0.331617</v>
      </c>
      <c r="B4" s="49">
        <v>0.53421700000000005</v>
      </c>
      <c r="C4">
        <v>0.77649699999999999</v>
      </c>
      <c r="D4">
        <v>0</v>
      </c>
      <c r="E4" t="s">
        <v>2561</v>
      </c>
      <c r="F4" s="49">
        <f t="shared" ref="F4:F67" si="3">IF(A4&lt;&gt;"",F3+1,"")</f>
        <v>3</v>
      </c>
      <c r="G4" s="71" t="s">
        <v>209</v>
      </c>
      <c r="H4" s="23">
        <f>IF(ISERROR(G3-G2)=FALSE,(G3-G2)*10,0)</f>
        <v>-1.6220000000000123E-2</v>
      </c>
      <c r="J4" s="49">
        <f t="shared" si="0"/>
        <v>3.3161700000000001</v>
      </c>
      <c r="K4" s="49">
        <f t="shared" si="1"/>
        <v>53.421700000000008</v>
      </c>
      <c r="L4" s="49">
        <f t="shared" si="2"/>
        <v>16.109457597167818</v>
      </c>
    </row>
    <row r="5" spans="1:12">
      <c r="A5" s="49">
        <v>0.32530799999999999</v>
      </c>
      <c r="B5" s="49">
        <v>0.52524000000000004</v>
      </c>
      <c r="C5">
        <v>1.18746</v>
      </c>
      <c r="D5">
        <v>0</v>
      </c>
      <c r="E5" t="s">
        <v>2562</v>
      </c>
      <c r="F5" s="49">
        <f t="shared" si="3"/>
        <v>4</v>
      </c>
      <c r="G5" s="71" t="s">
        <v>210</v>
      </c>
      <c r="H5" s="23">
        <f>IF(ISERROR(H3-H2)=FALSE,H3-H2,0)</f>
        <v>9.3482999999999983E-2</v>
      </c>
      <c r="J5" s="49">
        <f t="shared" si="0"/>
        <v>3.2530799999999997</v>
      </c>
      <c r="K5" s="49">
        <f t="shared" si="1"/>
        <v>52.524000000000001</v>
      </c>
      <c r="L5" s="49">
        <f t="shared" si="2"/>
        <v>16.145929396141504</v>
      </c>
    </row>
    <row r="6" spans="1:12">
      <c r="A6" s="49">
        <v>0.31807999999999997</v>
      </c>
      <c r="B6" s="49">
        <v>0.52288100000000004</v>
      </c>
      <c r="C6">
        <v>1.5813200000000001</v>
      </c>
      <c r="D6">
        <v>0</v>
      </c>
      <c r="E6" t="s">
        <v>2563</v>
      </c>
      <c r="F6" s="49">
        <f t="shared" si="3"/>
        <v>5</v>
      </c>
      <c r="G6" s="71" t="s">
        <v>211</v>
      </c>
      <c r="H6" s="23">
        <f>IF(H4&lt;&gt;0,H5/H4,0)</f>
        <v>-5.7634401972872551</v>
      </c>
      <c r="J6" s="49">
        <f t="shared" si="0"/>
        <v>3.1807999999999996</v>
      </c>
      <c r="K6" s="49">
        <f t="shared" si="1"/>
        <v>52.288100000000007</v>
      </c>
      <c r="L6" s="49">
        <f t="shared" si="2"/>
        <v>16.43866322937626</v>
      </c>
    </row>
    <row r="7" spans="1:12">
      <c r="A7" s="49">
        <v>0.31387700000000002</v>
      </c>
      <c r="B7" s="49">
        <v>0.52030200000000004</v>
      </c>
      <c r="C7">
        <v>2.0061599999999999</v>
      </c>
      <c r="D7">
        <v>0</v>
      </c>
      <c r="E7" t="s">
        <v>2564</v>
      </c>
      <c r="F7" s="49">
        <f t="shared" si="3"/>
        <v>6</v>
      </c>
      <c r="G7" s="71" t="s">
        <v>212</v>
      </c>
      <c r="H7" s="23">
        <f>DEGREES(ATAN(H6))</f>
        <v>-80.156749339206044</v>
      </c>
      <c r="J7" s="49">
        <f t="shared" si="0"/>
        <v>3.1387700000000001</v>
      </c>
      <c r="K7" s="49">
        <f t="shared" si="1"/>
        <v>52.030200000000008</v>
      </c>
      <c r="L7" s="49">
        <f t="shared" si="2"/>
        <v>16.57662077820293</v>
      </c>
    </row>
    <row r="8" spans="1:12">
      <c r="A8" s="49">
        <v>0.31979000000000002</v>
      </c>
      <c r="B8" s="49">
        <v>0.51774100000000001</v>
      </c>
      <c r="C8">
        <v>2.4031699999999998</v>
      </c>
      <c r="D8">
        <v>0</v>
      </c>
      <c r="E8" t="s">
        <v>2565</v>
      </c>
      <c r="F8" s="49">
        <f t="shared" si="3"/>
        <v>7</v>
      </c>
      <c r="G8" s="71" t="s">
        <v>213</v>
      </c>
      <c r="H8" s="72">
        <v>0.1</v>
      </c>
      <c r="J8" s="49">
        <f t="shared" si="0"/>
        <v>3.1979000000000002</v>
      </c>
      <c r="K8" s="49">
        <f t="shared" si="1"/>
        <v>51.774100000000004</v>
      </c>
      <c r="L8" s="49">
        <f t="shared" si="2"/>
        <v>16.190030957816067</v>
      </c>
    </row>
    <row r="9" spans="1:12">
      <c r="A9" s="49">
        <v>0.32476300000000002</v>
      </c>
      <c r="B9" s="49">
        <v>0.524864</v>
      </c>
      <c r="C9">
        <v>2.80762</v>
      </c>
      <c r="D9">
        <v>0</v>
      </c>
      <c r="E9" t="s">
        <v>2566</v>
      </c>
      <c r="F9" s="49">
        <f t="shared" si="3"/>
        <v>8</v>
      </c>
      <c r="G9" s="71" t="s">
        <v>214</v>
      </c>
      <c r="H9" s="72">
        <v>0.9</v>
      </c>
      <c r="J9" s="49">
        <f t="shared" si="0"/>
        <v>3.24763</v>
      </c>
      <c r="K9" s="49">
        <f t="shared" si="1"/>
        <v>52.486400000000003</v>
      </c>
      <c r="L9" s="49">
        <f t="shared" si="2"/>
        <v>16.161446962862151</v>
      </c>
    </row>
    <row r="10" spans="1:12">
      <c r="A10" s="49">
        <v>0.32341500000000001</v>
      </c>
      <c r="B10" s="49">
        <v>0.53762900000000002</v>
      </c>
      <c r="C10">
        <v>3.21706</v>
      </c>
      <c r="D10">
        <v>0</v>
      </c>
      <c r="E10" t="s">
        <v>2567</v>
      </c>
      <c r="F10" s="49">
        <f t="shared" si="3"/>
        <v>9</v>
      </c>
      <c r="G10" t="s">
        <v>215</v>
      </c>
      <c r="J10" s="49">
        <f t="shared" si="0"/>
        <v>3.2341500000000001</v>
      </c>
      <c r="K10" s="49">
        <f t="shared" si="1"/>
        <v>53.762900000000002</v>
      </c>
      <c r="L10" s="49">
        <f t="shared" si="2"/>
        <v>16.623502311271896</v>
      </c>
    </row>
    <row r="11" spans="1:12">
      <c r="A11" s="49">
        <v>0.32908100000000001</v>
      </c>
      <c r="B11" s="49">
        <v>0.54560299999999995</v>
      </c>
      <c r="C11">
        <v>3.6143200000000002</v>
      </c>
      <c r="D11">
        <v>0</v>
      </c>
      <c r="E11" t="s">
        <v>2568</v>
      </c>
      <c r="F11" s="49">
        <f t="shared" si="3"/>
        <v>10</v>
      </c>
      <c r="G11" s="71" t="s">
        <v>216</v>
      </c>
      <c r="H11" s="73">
        <f>MIN(B2:B1000)</f>
        <v>0.51774100000000001</v>
      </c>
      <c r="J11" s="49">
        <f t="shared" si="0"/>
        <v>3.29081</v>
      </c>
      <c r="K11" s="49">
        <f t="shared" si="1"/>
        <v>54.560299999999998</v>
      </c>
      <c r="L11" s="49">
        <f t="shared" si="2"/>
        <v>16.579595904959568</v>
      </c>
    </row>
    <row r="12" spans="1:12">
      <c r="A12" s="49">
        <v>0.33698299999999998</v>
      </c>
      <c r="B12" s="49">
        <v>0.55928599999999995</v>
      </c>
      <c r="C12">
        <v>4.0239200000000004</v>
      </c>
      <c r="D12">
        <v>0</v>
      </c>
      <c r="E12" t="s">
        <v>2569</v>
      </c>
      <c r="F12" s="49">
        <f t="shared" si="3"/>
        <v>11</v>
      </c>
      <c r="G12" s="71" t="s">
        <v>218</v>
      </c>
      <c r="H12" s="73">
        <f>MAX(B2:B1000)</f>
        <v>0.64992399999999995</v>
      </c>
      <c r="J12" s="49">
        <f t="shared" si="0"/>
        <v>3.3698299999999999</v>
      </c>
      <c r="K12" s="49">
        <f t="shared" si="1"/>
        <v>55.928599999999996</v>
      </c>
      <c r="L12" s="49">
        <f t="shared" si="2"/>
        <v>16.596860969247707</v>
      </c>
    </row>
    <row r="13" spans="1:12">
      <c r="A13" s="49">
        <v>0.34328999999999998</v>
      </c>
      <c r="B13" s="49">
        <v>0.57459899999999997</v>
      </c>
      <c r="C13">
        <v>4.4388399999999999</v>
      </c>
      <c r="D13">
        <v>0</v>
      </c>
      <c r="E13" t="s">
        <v>2570</v>
      </c>
      <c r="F13" s="49">
        <f t="shared" si="3"/>
        <v>12</v>
      </c>
      <c r="G13" s="71" t="s">
        <v>220</v>
      </c>
      <c r="H13">
        <f>MATCH($H$11,B2:B1000,0)</f>
        <v>7</v>
      </c>
      <c r="J13" s="49">
        <f t="shared" si="0"/>
        <v>3.4329000000000001</v>
      </c>
      <c r="K13" s="49">
        <f t="shared" si="1"/>
        <v>57.459899999999998</v>
      </c>
      <c r="L13" s="49">
        <f t="shared" si="2"/>
        <v>16.738005767718256</v>
      </c>
    </row>
    <row r="14" spans="1:12">
      <c r="A14" s="49">
        <v>0.34791699999999998</v>
      </c>
      <c r="B14" s="49">
        <v>0.58676099999999998</v>
      </c>
      <c r="C14">
        <v>4.8465199999999999</v>
      </c>
      <c r="D14">
        <v>0</v>
      </c>
      <c r="E14" t="s">
        <v>2571</v>
      </c>
      <c r="F14" s="49">
        <f t="shared" si="3"/>
        <v>13</v>
      </c>
      <c r="G14" s="71" t="s">
        <v>221</v>
      </c>
      <c r="H14">
        <f>MATCH($H$12,B2:B1000,0)</f>
        <v>25</v>
      </c>
      <c r="J14" s="49">
        <f t="shared" si="0"/>
        <v>3.4791699999999999</v>
      </c>
      <c r="K14" s="49">
        <f t="shared" si="1"/>
        <v>58.676099999999998</v>
      </c>
      <c r="L14" s="49">
        <f t="shared" si="2"/>
        <v>16.864970668291576</v>
      </c>
    </row>
    <row r="15" spans="1:12">
      <c r="A15" s="49">
        <v>0.347026</v>
      </c>
      <c r="B15" s="49">
        <v>0.59994700000000001</v>
      </c>
      <c r="C15">
        <v>5.2465599999999997</v>
      </c>
      <c r="D15">
        <v>0</v>
      </c>
      <c r="E15" t="s">
        <v>2572</v>
      </c>
      <c r="F15" s="49">
        <f t="shared" si="3"/>
        <v>14</v>
      </c>
      <c r="G15">
        <f>LOOKUP($H13,F2:F1000,A2:A1000)</f>
        <v>0.31979000000000002</v>
      </c>
      <c r="H15">
        <f>LOOKUP($H13,F2:F1000,B2:B1000)</f>
        <v>0.51774100000000001</v>
      </c>
      <c r="J15" s="49">
        <f t="shared" si="0"/>
        <v>3.4702600000000001</v>
      </c>
      <c r="K15" s="49">
        <f t="shared" si="1"/>
        <v>59.994700000000002</v>
      </c>
      <c r="L15" s="49">
        <f t="shared" si="2"/>
        <v>17.288243532184907</v>
      </c>
    </row>
    <row r="16" spans="1:12">
      <c r="A16" s="49">
        <v>0.339422</v>
      </c>
      <c r="B16" s="49">
        <v>0.61120399999999997</v>
      </c>
      <c r="C16">
        <v>5.6409500000000001</v>
      </c>
      <c r="D16">
        <v>0</v>
      </c>
      <c r="E16" t="s">
        <v>2573</v>
      </c>
      <c r="F16" s="49">
        <f t="shared" si="3"/>
        <v>15</v>
      </c>
      <c r="G16">
        <f>LOOKUP($H14,F2:F1000,A2:A1000)</f>
        <v>0.33636700000000003</v>
      </c>
      <c r="H16">
        <f>LOOKUP($H14,F2:F1000,B2:B1000)</f>
        <v>0.64992399999999995</v>
      </c>
      <c r="J16" s="49">
        <f t="shared" si="0"/>
        <v>3.3942199999999998</v>
      </c>
      <c r="K16" s="49">
        <f t="shared" si="1"/>
        <v>61.120399999999997</v>
      </c>
      <c r="L16" s="49">
        <f t="shared" si="2"/>
        <v>18.007200476103495</v>
      </c>
    </row>
    <row r="17" spans="1:12">
      <c r="A17" s="49">
        <v>0.337144</v>
      </c>
      <c r="B17" s="49">
        <v>0.61523899999999998</v>
      </c>
      <c r="C17">
        <v>6.0636099999999997</v>
      </c>
      <c r="D17">
        <v>0</v>
      </c>
      <c r="E17" t="s">
        <v>2574</v>
      </c>
      <c r="F17" s="49">
        <f t="shared" si="3"/>
        <v>16</v>
      </c>
      <c r="J17" s="49">
        <f t="shared" si="0"/>
        <v>3.3714399999999998</v>
      </c>
      <c r="K17" s="49">
        <f t="shared" si="1"/>
        <v>61.523899999999998</v>
      </c>
      <c r="L17" s="49">
        <f t="shared" si="2"/>
        <v>18.248552547279502</v>
      </c>
    </row>
    <row r="18" spans="1:12">
      <c r="A18" s="49">
        <v>0.33701900000000001</v>
      </c>
      <c r="B18" s="49">
        <v>0.62117299999999998</v>
      </c>
      <c r="C18">
        <v>6.4830399999999999</v>
      </c>
      <c r="D18">
        <v>0</v>
      </c>
      <c r="E18" t="s">
        <v>2575</v>
      </c>
      <c r="F18" s="49">
        <f t="shared" si="3"/>
        <v>17</v>
      </c>
      <c r="J18" s="49">
        <f t="shared" si="0"/>
        <v>3.37019</v>
      </c>
      <c r="K18" s="49">
        <f t="shared" si="1"/>
        <v>62.1173</v>
      </c>
      <c r="L18" s="49">
        <f t="shared" si="2"/>
        <v>18.431394075704929</v>
      </c>
    </row>
    <row r="19" spans="1:12">
      <c r="A19" s="49">
        <v>0.33646700000000002</v>
      </c>
      <c r="B19" s="49">
        <v>0.62778699999999998</v>
      </c>
      <c r="C19">
        <v>6.8734900000000003</v>
      </c>
      <c r="D19">
        <v>0</v>
      </c>
      <c r="E19" t="s">
        <v>2576</v>
      </c>
      <c r="F19" s="49">
        <f t="shared" si="3"/>
        <v>18</v>
      </c>
      <c r="J19" s="49">
        <f t="shared" si="0"/>
        <v>3.3646700000000003</v>
      </c>
      <c r="K19" s="49">
        <f t="shared" si="1"/>
        <v>62.778700000000001</v>
      </c>
      <c r="L19" s="49">
        <f t="shared" si="2"/>
        <v>18.658204222107962</v>
      </c>
    </row>
    <row r="20" spans="1:12">
      <c r="A20" s="49">
        <v>0.33777400000000002</v>
      </c>
      <c r="B20" s="49">
        <v>0.63073100000000004</v>
      </c>
      <c r="C20">
        <v>7.2843299999999997</v>
      </c>
      <c r="D20">
        <v>0</v>
      </c>
      <c r="E20" t="s">
        <v>2577</v>
      </c>
      <c r="F20" s="49">
        <f t="shared" si="3"/>
        <v>19</v>
      </c>
      <c r="J20" s="49">
        <f t="shared" si="0"/>
        <v>3.3777400000000002</v>
      </c>
      <c r="K20" s="49">
        <f t="shared" si="1"/>
        <v>63.073100000000004</v>
      </c>
      <c r="L20" s="49">
        <f t="shared" si="2"/>
        <v>18.673166081462753</v>
      </c>
    </row>
    <row r="21" spans="1:12">
      <c r="A21" s="49">
        <v>0.33674199999999999</v>
      </c>
      <c r="B21" s="49">
        <v>0.63536300000000001</v>
      </c>
      <c r="C21">
        <v>7.6909400000000003</v>
      </c>
      <c r="D21">
        <v>0</v>
      </c>
      <c r="E21" t="s">
        <v>2578</v>
      </c>
      <c r="F21" s="49">
        <f t="shared" si="3"/>
        <v>20</v>
      </c>
      <c r="J21" s="49">
        <f t="shared" si="0"/>
        <v>3.3674200000000001</v>
      </c>
      <c r="K21" s="49">
        <f t="shared" si="1"/>
        <v>63.536300000000004</v>
      </c>
      <c r="L21" s="49">
        <f t="shared" si="2"/>
        <v>18.867946380314901</v>
      </c>
    </row>
    <row r="22" spans="1:12">
      <c r="A22" s="49">
        <v>0.33624700000000002</v>
      </c>
      <c r="B22" s="49">
        <v>0.63851199999999997</v>
      </c>
      <c r="C22">
        <v>8.0962399999999999</v>
      </c>
      <c r="D22">
        <v>0</v>
      </c>
      <c r="E22" t="s">
        <v>2579</v>
      </c>
      <c r="F22" s="49">
        <f t="shared" si="3"/>
        <v>21</v>
      </c>
      <c r="J22" s="49">
        <f t="shared" si="0"/>
        <v>3.3624700000000001</v>
      </c>
      <c r="K22" s="49">
        <f t="shared" si="1"/>
        <v>63.851199999999999</v>
      </c>
      <c r="L22" s="49">
        <f t="shared" si="2"/>
        <v>18.989373882889662</v>
      </c>
    </row>
    <row r="23" spans="1:12">
      <c r="A23" s="49">
        <v>0.33582499999999998</v>
      </c>
      <c r="B23" s="49">
        <v>0.64105599999999996</v>
      </c>
      <c r="C23">
        <v>8.4953099999999999</v>
      </c>
      <c r="D23">
        <v>0</v>
      </c>
      <c r="E23" t="s">
        <v>2580</v>
      </c>
      <c r="F23" s="49">
        <f t="shared" si="3"/>
        <v>22</v>
      </c>
      <c r="J23" s="49">
        <f t="shared" si="0"/>
        <v>3.35825</v>
      </c>
      <c r="K23" s="49">
        <f t="shared" si="1"/>
        <v>64.105599999999995</v>
      </c>
      <c r="L23" s="49">
        <f t="shared" si="2"/>
        <v>19.088989801235762</v>
      </c>
    </row>
    <row r="24" spans="1:12">
      <c r="A24" s="49">
        <v>0.335864</v>
      </c>
      <c r="B24" s="49">
        <v>0.64446000000000003</v>
      </c>
      <c r="C24">
        <v>8.9029900000000008</v>
      </c>
      <c r="D24">
        <v>0</v>
      </c>
      <c r="E24" t="s">
        <v>2581</v>
      </c>
      <c r="F24" s="49">
        <f t="shared" si="3"/>
        <v>23</v>
      </c>
      <c r="G24" t="s">
        <v>245</v>
      </c>
      <c r="H24">
        <f>COUNT(A2:A2000)</f>
        <v>25</v>
      </c>
      <c r="J24" s="49">
        <f t="shared" si="0"/>
        <v>3.3586399999999998</v>
      </c>
      <c r="K24" s="49">
        <f t="shared" si="1"/>
        <v>64.445999999999998</v>
      </c>
      <c r="L24" s="49">
        <f t="shared" si="2"/>
        <v>19.188123764380823</v>
      </c>
    </row>
    <row r="25" spans="1:12">
      <c r="A25" s="49">
        <v>0.33630599999999999</v>
      </c>
      <c r="B25" s="49">
        <v>0.64724199999999998</v>
      </c>
      <c r="C25">
        <v>9.3099699999999999</v>
      </c>
      <c r="D25">
        <v>0</v>
      </c>
      <c r="E25" t="s">
        <v>2582</v>
      </c>
      <c r="F25" s="49">
        <f t="shared" si="3"/>
        <v>24</v>
      </c>
      <c r="J25" s="49">
        <f t="shared" si="0"/>
        <v>3.3630599999999999</v>
      </c>
      <c r="K25" s="49">
        <f t="shared" si="1"/>
        <v>64.724199999999996</v>
      </c>
      <c r="L25" s="49">
        <f t="shared" si="2"/>
        <v>19.245627494008431</v>
      </c>
    </row>
    <row r="26" spans="1:12">
      <c r="A26" s="49">
        <v>0.33636700000000003</v>
      </c>
      <c r="B26" s="49">
        <v>0.64992399999999995</v>
      </c>
      <c r="C26">
        <v>9.71218</v>
      </c>
      <c r="D26">
        <v>0</v>
      </c>
      <c r="E26" t="s">
        <v>2583</v>
      </c>
      <c r="F26" s="49">
        <f t="shared" si="3"/>
        <v>25</v>
      </c>
      <c r="J26" s="49">
        <f t="shared" si="0"/>
        <v>3.3636700000000004</v>
      </c>
      <c r="K26" s="49">
        <f t="shared" si="1"/>
        <v>64.992399999999989</v>
      </c>
      <c r="L26" s="49">
        <f t="shared" si="2"/>
        <v>19.321871646148399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45853.64471064815</v>
      </c>
      <c r="B2" t="s">
        <v>2584</v>
      </c>
      <c r="C2" s="49"/>
      <c r="D2" s="49"/>
      <c r="E2" s="49">
        <v>4.9234099999999996</v>
      </c>
      <c r="F2" s="49">
        <v>1.65608</v>
      </c>
      <c r="G2" s="49">
        <v>0.34471400000000002</v>
      </c>
      <c r="H2" s="49">
        <v>0</v>
      </c>
      <c r="I2" s="49">
        <v>73.75</v>
      </c>
      <c r="J2" s="49">
        <v>88</v>
      </c>
      <c r="K2" s="49">
        <v>88</v>
      </c>
      <c r="L2" s="49">
        <v>100</v>
      </c>
      <c r="M2" s="521" t="s">
        <v>1549</v>
      </c>
      <c r="O2" s="565" t="str">
        <f>IF(FH_info!B2="","",TRIM(MID(SUBSTITUTE(FH_info!B2,"^",REPT(" ",LEN(FH_info!B2))),LEN(FH_info!B2)*2-LEN(FH_info!B2)+1,LEN(FH_info!B2))))</f>
        <v>JjoU</v>
      </c>
      <c r="P2" s="565" t="str">
        <f>IF(FH_info!O2="","",TRIM(MID(SUBSTITUTE(FH_info!O2," ",REPT(" ",LEN(FH_info!O2))),LEN(FH_info!O2)*1-LEN(FH_info!O2)+1,LEN(FH_info!O2))))</f>
        <v>JjoU</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73.75</v>
      </c>
      <c r="D2">
        <f>MAX(B2:B257)</f>
        <v>2751.5493160000001</v>
      </c>
      <c r="G2" t="s">
        <v>1590</v>
      </c>
      <c r="H2">
        <v>4.9234140000000002</v>
      </c>
      <c r="I2">
        <v>73.75</v>
      </c>
      <c r="J2">
        <v>0</v>
      </c>
      <c r="K2">
        <v>88</v>
      </c>
      <c r="L2">
        <v>88</v>
      </c>
      <c r="M2">
        <v>1.6560760000000001</v>
      </c>
      <c r="N2">
        <v>0.34471400000000002</v>
      </c>
      <c r="O2">
        <v>0.118827</v>
      </c>
    </row>
    <row r="3" spans="1:15">
      <c r="A3">
        <v>0</v>
      </c>
      <c r="B3">
        <v>0</v>
      </c>
      <c r="G3" t="s">
        <v>1591</v>
      </c>
      <c r="H3">
        <v>4.9234140000000002</v>
      </c>
      <c r="I3">
        <v>2751.5493160000001</v>
      </c>
      <c r="J3">
        <v>0</v>
      </c>
      <c r="K3">
        <v>21</v>
      </c>
      <c r="L3">
        <v>21</v>
      </c>
      <c r="M3">
        <v>0.56348900000000002</v>
      </c>
      <c r="N3">
        <v>0.28498899999999999</v>
      </c>
      <c r="O3">
        <v>8.1219E-2</v>
      </c>
    </row>
    <row r="4" spans="1:15">
      <c r="A4">
        <v>0</v>
      </c>
      <c r="B4">
        <v>0</v>
      </c>
    </row>
    <row r="5" spans="1:15">
      <c r="A5">
        <v>0</v>
      </c>
      <c r="B5">
        <v>3.245333</v>
      </c>
    </row>
    <row r="6" spans="1:15">
      <c r="A6">
        <v>0</v>
      </c>
      <c r="B6">
        <v>0</v>
      </c>
    </row>
    <row r="7" spans="1:15">
      <c r="A7">
        <v>0</v>
      </c>
      <c r="B7">
        <v>0</v>
      </c>
    </row>
    <row r="8" spans="1:15">
      <c r="A8">
        <v>0</v>
      </c>
      <c r="B8">
        <v>85.350662</v>
      </c>
    </row>
    <row r="9" spans="1:15">
      <c r="A9">
        <v>0</v>
      </c>
      <c r="B9">
        <v>0</v>
      </c>
    </row>
    <row r="10" spans="1:15">
      <c r="A10">
        <v>0</v>
      </c>
      <c r="B10">
        <v>263.61599699999999</v>
      </c>
    </row>
    <row r="11" spans="1:15">
      <c r="A11">
        <v>0</v>
      </c>
      <c r="B11">
        <v>0</v>
      </c>
    </row>
    <row r="12" spans="1:15">
      <c r="A12">
        <v>0</v>
      </c>
      <c r="B12">
        <v>0</v>
      </c>
    </row>
    <row r="13" spans="1:15">
      <c r="A13">
        <v>0</v>
      </c>
      <c r="B13">
        <v>772.64398200000005</v>
      </c>
    </row>
    <row r="14" spans="1:15">
      <c r="A14">
        <v>0</v>
      </c>
      <c r="B14">
        <v>0</v>
      </c>
    </row>
    <row r="15" spans="1:15">
      <c r="A15">
        <v>0</v>
      </c>
      <c r="B15">
        <v>1581.8186040000001</v>
      </c>
    </row>
    <row r="16" spans="1:15">
      <c r="A16">
        <v>0</v>
      </c>
      <c r="B16">
        <v>0</v>
      </c>
    </row>
    <row r="17" spans="1:2">
      <c r="A17">
        <v>0</v>
      </c>
      <c r="B17">
        <v>0</v>
      </c>
    </row>
    <row r="18" spans="1:2">
      <c r="A18">
        <v>0</v>
      </c>
      <c r="B18">
        <v>2319.8547359999998</v>
      </c>
    </row>
    <row r="19" spans="1:2">
      <c r="A19">
        <v>0</v>
      </c>
      <c r="B19">
        <v>0</v>
      </c>
    </row>
    <row r="20" spans="1:2">
      <c r="A20">
        <v>0</v>
      </c>
      <c r="B20">
        <v>0</v>
      </c>
    </row>
    <row r="21" spans="1:2">
      <c r="A21">
        <v>0</v>
      </c>
      <c r="B21">
        <v>2704.6064449999999</v>
      </c>
    </row>
    <row r="22" spans="1:2">
      <c r="A22">
        <v>0</v>
      </c>
      <c r="B22">
        <v>0</v>
      </c>
    </row>
    <row r="23" spans="1:2">
      <c r="A23">
        <v>0</v>
      </c>
      <c r="B23">
        <v>2751.5493160000001</v>
      </c>
    </row>
    <row r="24" spans="1:2">
      <c r="A24">
        <v>0</v>
      </c>
      <c r="B24">
        <v>0</v>
      </c>
    </row>
    <row r="25" spans="1:2">
      <c r="A25">
        <v>0</v>
      </c>
      <c r="B25">
        <v>0</v>
      </c>
    </row>
    <row r="26" spans="1:2">
      <c r="A26">
        <v>0</v>
      </c>
      <c r="B26">
        <v>2526</v>
      </c>
    </row>
    <row r="27" spans="1:2">
      <c r="A27">
        <v>0</v>
      </c>
      <c r="B27">
        <v>0</v>
      </c>
    </row>
    <row r="28" spans="1:2">
      <c r="A28">
        <v>0</v>
      </c>
      <c r="B28">
        <v>2193.1240229999999</v>
      </c>
    </row>
    <row r="29" spans="1:2">
      <c r="A29">
        <v>0</v>
      </c>
      <c r="B29">
        <v>0</v>
      </c>
    </row>
    <row r="30" spans="1:2">
      <c r="A30">
        <v>0</v>
      </c>
      <c r="B30">
        <v>0</v>
      </c>
    </row>
    <row r="31" spans="1:2">
      <c r="A31">
        <v>0</v>
      </c>
      <c r="B31">
        <v>1891.6333010000001</v>
      </c>
    </row>
    <row r="32" spans="1:2">
      <c r="A32">
        <v>0</v>
      </c>
      <c r="B32">
        <v>0</v>
      </c>
    </row>
    <row r="33" spans="1:2">
      <c r="A33">
        <v>0</v>
      </c>
      <c r="B33">
        <v>1626.245361</v>
      </c>
    </row>
    <row r="34" spans="1:2">
      <c r="A34">
        <v>0</v>
      </c>
      <c r="B34">
        <v>0</v>
      </c>
    </row>
    <row r="35" spans="1:2">
      <c r="A35">
        <v>0</v>
      </c>
      <c r="B35">
        <v>0</v>
      </c>
    </row>
    <row r="36" spans="1:2">
      <c r="A36">
        <v>0</v>
      </c>
      <c r="B36">
        <v>1385.5279539999999</v>
      </c>
    </row>
    <row r="37" spans="1:2">
      <c r="A37">
        <v>0</v>
      </c>
      <c r="B37">
        <v>0</v>
      </c>
    </row>
    <row r="38" spans="1:2">
      <c r="A38">
        <v>0</v>
      </c>
      <c r="B38">
        <v>0</v>
      </c>
    </row>
    <row r="39" spans="1:2">
      <c r="A39">
        <v>0.82</v>
      </c>
      <c r="B39">
        <v>1172.3520510000001</v>
      </c>
    </row>
    <row r="40" spans="1:2">
      <c r="A40">
        <v>0</v>
      </c>
      <c r="B40">
        <v>0</v>
      </c>
    </row>
    <row r="41" spans="1:2">
      <c r="A41">
        <v>1.51</v>
      </c>
      <c r="B41">
        <v>986.01336700000002</v>
      </c>
    </row>
    <row r="42" spans="1:2">
      <c r="A42">
        <v>0</v>
      </c>
      <c r="B42">
        <v>0</v>
      </c>
    </row>
    <row r="43" spans="1:2">
      <c r="A43">
        <v>0</v>
      </c>
      <c r="B43">
        <v>0</v>
      </c>
    </row>
    <row r="44" spans="1:2">
      <c r="A44">
        <v>2.36</v>
      </c>
      <c r="B44">
        <v>821.92932099999996</v>
      </c>
    </row>
    <row r="45" spans="1:2">
      <c r="A45">
        <v>0</v>
      </c>
      <c r="B45">
        <v>0</v>
      </c>
    </row>
    <row r="46" spans="1:2">
      <c r="A46">
        <v>1.79</v>
      </c>
      <c r="B46">
        <v>693.28265399999998</v>
      </c>
    </row>
    <row r="47" spans="1:2">
      <c r="A47">
        <v>0</v>
      </c>
      <c r="B47">
        <v>0</v>
      </c>
    </row>
    <row r="48" spans="1:2">
      <c r="A48">
        <v>0</v>
      </c>
      <c r="B48">
        <v>0</v>
      </c>
    </row>
    <row r="49" spans="1:2">
      <c r="A49">
        <v>1.94</v>
      </c>
      <c r="B49">
        <v>579.47735599999999</v>
      </c>
    </row>
    <row r="50" spans="1:2">
      <c r="A50">
        <v>0</v>
      </c>
      <c r="B50">
        <v>0</v>
      </c>
    </row>
    <row r="51" spans="1:2">
      <c r="A51">
        <v>0.28000000000000003</v>
      </c>
      <c r="B51">
        <v>474.27600100000001</v>
      </c>
    </row>
    <row r="52" spans="1:2">
      <c r="A52">
        <v>0</v>
      </c>
      <c r="B52">
        <v>0</v>
      </c>
    </row>
    <row r="53" spans="1:2">
      <c r="A53">
        <v>0</v>
      </c>
      <c r="B53">
        <v>0</v>
      </c>
    </row>
    <row r="54" spans="1:2">
      <c r="A54">
        <v>0.28000000000000003</v>
      </c>
      <c r="B54">
        <v>386.597351</v>
      </c>
    </row>
    <row r="55" spans="1:2">
      <c r="A55">
        <v>0</v>
      </c>
      <c r="B55">
        <v>0</v>
      </c>
    </row>
    <row r="56" spans="1:2">
      <c r="A56">
        <v>0</v>
      </c>
      <c r="B56">
        <v>0</v>
      </c>
    </row>
    <row r="57" spans="1:2">
      <c r="A57">
        <v>1.2</v>
      </c>
      <c r="B57">
        <v>312.05999800000001</v>
      </c>
    </row>
    <row r="58" spans="1:2">
      <c r="A58">
        <v>0</v>
      </c>
      <c r="B58">
        <v>0</v>
      </c>
    </row>
    <row r="59" spans="1:2">
      <c r="A59">
        <v>7.75</v>
      </c>
      <c r="B59">
        <v>251.53732299999999</v>
      </c>
    </row>
    <row r="60" spans="1:2">
      <c r="A60">
        <v>0</v>
      </c>
      <c r="B60">
        <v>0</v>
      </c>
    </row>
    <row r="61" spans="1:2">
      <c r="A61">
        <v>0</v>
      </c>
      <c r="B61">
        <v>0</v>
      </c>
    </row>
    <row r="62" spans="1:2">
      <c r="A62">
        <v>25.83</v>
      </c>
      <c r="B62">
        <v>204.46000699999999</v>
      </c>
    </row>
    <row r="63" spans="1:2">
      <c r="A63">
        <v>0</v>
      </c>
      <c r="B63">
        <v>0</v>
      </c>
    </row>
    <row r="64" spans="1:2">
      <c r="A64">
        <v>55.939999</v>
      </c>
      <c r="B64">
        <v>166.79598999999999</v>
      </c>
    </row>
    <row r="65" spans="1:2">
      <c r="A65">
        <v>0</v>
      </c>
      <c r="B65">
        <v>0</v>
      </c>
    </row>
    <row r="66" spans="1:2">
      <c r="A66">
        <v>0</v>
      </c>
      <c r="B66">
        <v>0</v>
      </c>
    </row>
    <row r="67" spans="1:2">
      <c r="A67">
        <v>64.470000999999996</v>
      </c>
      <c r="B67">
        <v>138.152008</v>
      </c>
    </row>
    <row r="68" spans="1:2">
      <c r="A68">
        <v>0</v>
      </c>
      <c r="B68">
        <v>0</v>
      </c>
    </row>
    <row r="69" spans="1:2">
      <c r="A69">
        <v>70.370002999999997</v>
      </c>
      <c r="B69">
        <v>116.337334</v>
      </c>
    </row>
    <row r="70" spans="1:2">
      <c r="A70">
        <v>0</v>
      </c>
      <c r="B70">
        <v>0</v>
      </c>
    </row>
    <row r="71" spans="1:2">
      <c r="A71">
        <v>0</v>
      </c>
      <c r="B71">
        <v>0</v>
      </c>
    </row>
    <row r="72" spans="1:2">
      <c r="A72">
        <v>65.400002000000001</v>
      </c>
      <c r="B72">
        <v>98.555999999999997</v>
      </c>
    </row>
    <row r="73" spans="1:2">
      <c r="A73">
        <v>0</v>
      </c>
      <c r="B73">
        <v>0</v>
      </c>
    </row>
    <row r="74" spans="1:2">
      <c r="A74">
        <v>0</v>
      </c>
      <c r="B74">
        <v>0</v>
      </c>
    </row>
    <row r="75" spans="1:2">
      <c r="A75">
        <v>54.23</v>
      </c>
      <c r="B75">
        <v>84.900002000000001</v>
      </c>
    </row>
    <row r="76" spans="1:2">
      <c r="A76">
        <v>0</v>
      </c>
      <c r="B76">
        <v>0</v>
      </c>
    </row>
    <row r="77" spans="1:2">
      <c r="A77">
        <v>53.450001</v>
      </c>
      <c r="B77">
        <v>71.825333000000001</v>
      </c>
    </row>
    <row r="78" spans="1:2">
      <c r="A78">
        <v>0</v>
      </c>
      <c r="B78">
        <v>0</v>
      </c>
    </row>
    <row r="79" spans="1:2">
      <c r="A79">
        <v>0</v>
      </c>
      <c r="B79">
        <v>0</v>
      </c>
    </row>
    <row r="80" spans="1:2">
      <c r="A80">
        <v>59.459999000000003</v>
      </c>
      <c r="B80">
        <v>62.555999999999997</v>
      </c>
    </row>
    <row r="81" spans="1:2">
      <c r="A81">
        <v>0</v>
      </c>
      <c r="B81">
        <v>0</v>
      </c>
    </row>
    <row r="82" spans="1:2">
      <c r="A82">
        <v>57.549999</v>
      </c>
      <c r="B82">
        <v>54.032001000000001</v>
      </c>
    </row>
    <row r="83" spans="1:2">
      <c r="A83">
        <v>0</v>
      </c>
      <c r="B83">
        <v>0</v>
      </c>
    </row>
    <row r="84" spans="1:2">
      <c r="A84">
        <v>0</v>
      </c>
      <c r="B84">
        <v>0</v>
      </c>
    </row>
    <row r="85" spans="1:2">
      <c r="A85">
        <v>68.930000000000007</v>
      </c>
      <c r="B85">
        <v>46.625332</v>
      </c>
    </row>
    <row r="86" spans="1:2">
      <c r="A86">
        <v>0</v>
      </c>
      <c r="B86">
        <v>0</v>
      </c>
    </row>
    <row r="87" spans="1:2">
      <c r="A87">
        <v>0</v>
      </c>
      <c r="B87">
        <v>0</v>
      </c>
    </row>
    <row r="88" spans="1:2">
      <c r="A88">
        <v>67.519997000000004</v>
      </c>
      <c r="B88">
        <v>40.248001000000002</v>
      </c>
    </row>
    <row r="89" spans="1:2">
      <c r="A89">
        <v>0</v>
      </c>
      <c r="B89">
        <v>0</v>
      </c>
    </row>
    <row r="90" spans="1:2">
      <c r="A90">
        <v>73.75</v>
      </c>
      <c r="B90">
        <v>35.347999999999999</v>
      </c>
    </row>
    <row r="91" spans="1:2">
      <c r="A91">
        <v>0</v>
      </c>
      <c r="B91">
        <v>0</v>
      </c>
    </row>
    <row r="92" spans="1:2">
      <c r="A92">
        <v>0</v>
      </c>
      <c r="B92">
        <v>0</v>
      </c>
    </row>
    <row r="93" spans="1:2">
      <c r="A93">
        <v>54.880001</v>
      </c>
      <c r="B93">
        <v>30.565334</v>
      </c>
    </row>
    <row r="94" spans="1:2">
      <c r="A94">
        <v>0</v>
      </c>
      <c r="B94">
        <v>0</v>
      </c>
    </row>
    <row r="95" spans="1:2">
      <c r="A95">
        <v>54.330002</v>
      </c>
      <c r="B95">
        <v>25.409334000000001</v>
      </c>
    </row>
    <row r="96" spans="1:2">
      <c r="A96">
        <v>0</v>
      </c>
      <c r="B96">
        <v>0</v>
      </c>
    </row>
    <row r="97" spans="1:2">
      <c r="A97">
        <v>0</v>
      </c>
      <c r="B97">
        <v>0</v>
      </c>
    </row>
    <row r="98" spans="1:2">
      <c r="A98">
        <v>46.25</v>
      </c>
      <c r="B98">
        <v>21.108000000000001</v>
      </c>
    </row>
    <row r="99" spans="1:2">
      <c r="A99">
        <v>0</v>
      </c>
      <c r="B99">
        <v>0</v>
      </c>
    </row>
    <row r="100" spans="1:2">
      <c r="A100">
        <v>46.990001999999997</v>
      </c>
      <c r="B100">
        <v>17.161332999999999</v>
      </c>
    </row>
    <row r="101" spans="1:2">
      <c r="A101">
        <v>0</v>
      </c>
      <c r="B101">
        <v>0</v>
      </c>
    </row>
    <row r="102" spans="1:2">
      <c r="A102">
        <v>0</v>
      </c>
      <c r="B102">
        <v>0</v>
      </c>
    </row>
    <row r="103" spans="1:2">
      <c r="A103">
        <v>30.18</v>
      </c>
      <c r="B103">
        <v>13.614667000000001</v>
      </c>
    </row>
    <row r="104" spans="1:2">
      <c r="A104">
        <v>0</v>
      </c>
      <c r="B104">
        <v>0</v>
      </c>
    </row>
    <row r="105" spans="1:2">
      <c r="A105">
        <v>0</v>
      </c>
      <c r="B105">
        <v>0</v>
      </c>
    </row>
    <row r="106" spans="1:2">
      <c r="A106">
        <v>26.219999000000001</v>
      </c>
      <c r="B106">
        <v>10.810665999999999</v>
      </c>
    </row>
    <row r="107" spans="1:2">
      <c r="A107">
        <v>0</v>
      </c>
      <c r="B107">
        <v>0</v>
      </c>
    </row>
    <row r="108" spans="1:2">
      <c r="A108">
        <v>39.990001999999997</v>
      </c>
      <c r="B108">
        <v>8.3680000000000003</v>
      </c>
    </row>
    <row r="109" spans="1:2">
      <c r="A109">
        <v>0</v>
      </c>
      <c r="B109">
        <v>0</v>
      </c>
    </row>
    <row r="110" spans="1:2">
      <c r="A110">
        <v>0</v>
      </c>
      <c r="B110">
        <v>0</v>
      </c>
    </row>
    <row r="111" spans="1:2">
      <c r="A111">
        <v>35.060001</v>
      </c>
      <c r="B111">
        <v>6.5720000000000001</v>
      </c>
    </row>
    <row r="112" spans="1:2">
      <c r="A112">
        <v>0</v>
      </c>
      <c r="B112">
        <v>0</v>
      </c>
    </row>
    <row r="113" spans="1:2">
      <c r="A113">
        <v>26.42</v>
      </c>
      <c r="B113">
        <v>4.992</v>
      </c>
    </row>
    <row r="114" spans="1:2">
      <c r="A114">
        <v>0</v>
      </c>
      <c r="B114">
        <v>0</v>
      </c>
    </row>
    <row r="115" spans="1:2">
      <c r="A115">
        <v>0</v>
      </c>
      <c r="B115">
        <v>0</v>
      </c>
    </row>
    <row r="116" spans="1:2">
      <c r="A116">
        <v>15.62</v>
      </c>
      <c r="B116">
        <v>3.806667</v>
      </c>
    </row>
    <row r="117" spans="1:2">
      <c r="A117">
        <v>0</v>
      </c>
      <c r="B117">
        <v>0</v>
      </c>
    </row>
    <row r="118" spans="1:2">
      <c r="A118">
        <v>11.86</v>
      </c>
      <c r="B118">
        <v>2.8053330000000001</v>
      </c>
    </row>
    <row r="119" spans="1:2">
      <c r="A119">
        <v>0</v>
      </c>
      <c r="B119">
        <v>0</v>
      </c>
    </row>
    <row r="120" spans="1:2">
      <c r="A120">
        <v>0</v>
      </c>
      <c r="B120">
        <v>0</v>
      </c>
    </row>
    <row r="121" spans="1:2">
      <c r="A121">
        <v>12.88</v>
      </c>
      <c r="B121">
        <v>2.0586669999999998</v>
      </c>
    </row>
    <row r="122" spans="1:2">
      <c r="A122">
        <v>0</v>
      </c>
      <c r="B122">
        <v>0</v>
      </c>
    </row>
    <row r="123" spans="1:2">
      <c r="A123">
        <v>0</v>
      </c>
      <c r="B123">
        <v>0</v>
      </c>
    </row>
    <row r="124" spans="1:2">
      <c r="A124">
        <v>15.08</v>
      </c>
      <c r="B124">
        <v>1.5293330000000001</v>
      </c>
    </row>
    <row r="125" spans="1:2">
      <c r="A125">
        <v>0</v>
      </c>
      <c r="B125">
        <v>0</v>
      </c>
    </row>
    <row r="126" spans="1:2">
      <c r="A126">
        <v>16.540001</v>
      </c>
      <c r="B126">
        <v>1.058667</v>
      </c>
    </row>
    <row r="127" spans="1:2">
      <c r="A127">
        <v>0</v>
      </c>
      <c r="B127">
        <v>0</v>
      </c>
    </row>
    <row r="128" spans="1:2">
      <c r="A128">
        <v>0</v>
      </c>
      <c r="B128">
        <v>0</v>
      </c>
    </row>
    <row r="129" spans="1:2">
      <c r="A129">
        <v>7.78</v>
      </c>
      <c r="B129">
        <v>0.76933300000000004</v>
      </c>
    </row>
    <row r="130" spans="1:2">
      <c r="A130">
        <v>0</v>
      </c>
      <c r="B130">
        <v>0</v>
      </c>
    </row>
    <row r="131" spans="1:2">
      <c r="A131">
        <v>4.9400000000000004</v>
      </c>
      <c r="B131">
        <v>0.61866699999999997</v>
      </c>
    </row>
    <row r="132" spans="1:2">
      <c r="A132">
        <v>0</v>
      </c>
      <c r="B132">
        <v>0</v>
      </c>
    </row>
    <row r="133" spans="1:2">
      <c r="A133">
        <v>0</v>
      </c>
      <c r="B133">
        <v>0</v>
      </c>
    </row>
    <row r="134" spans="1:2">
      <c r="A134">
        <v>3.09</v>
      </c>
      <c r="B134">
        <v>0.33466699999999999</v>
      </c>
    </row>
    <row r="135" spans="1:2">
      <c r="A135">
        <v>0</v>
      </c>
      <c r="B135">
        <v>0</v>
      </c>
    </row>
    <row r="136" spans="1:2">
      <c r="A136">
        <v>1.62</v>
      </c>
      <c r="B136">
        <v>0.22</v>
      </c>
    </row>
    <row r="137" spans="1:2">
      <c r="A137">
        <v>0</v>
      </c>
      <c r="B137">
        <v>0</v>
      </c>
    </row>
    <row r="138" spans="1:2">
      <c r="A138">
        <v>0</v>
      </c>
      <c r="B138">
        <v>0</v>
      </c>
    </row>
    <row r="139" spans="1:2">
      <c r="A139">
        <v>1.18</v>
      </c>
      <c r="B139">
        <v>0.19866700000000001</v>
      </c>
    </row>
    <row r="140" spans="1:2">
      <c r="A140">
        <v>0</v>
      </c>
      <c r="B140">
        <v>0</v>
      </c>
    </row>
    <row r="141" spans="1:2">
      <c r="A141">
        <v>0</v>
      </c>
      <c r="B141">
        <v>0</v>
      </c>
    </row>
    <row r="142" spans="1:2">
      <c r="A142">
        <v>0</v>
      </c>
      <c r="B142">
        <v>9.7333000000000003E-2</v>
      </c>
    </row>
    <row r="143" spans="1:2">
      <c r="A143">
        <v>0</v>
      </c>
      <c r="B143">
        <v>0</v>
      </c>
    </row>
    <row r="144" spans="1:2">
      <c r="A144">
        <v>1.0900000000000001</v>
      </c>
      <c r="B144">
        <v>4.9333000000000002E-2</v>
      </c>
    </row>
    <row r="145" spans="1:2">
      <c r="A145">
        <v>0</v>
      </c>
      <c r="B145">
        <v>0</v>
      </c>
    </row>
    <row r="146" spans="1:2">
      <c r="A146">
        <v>0</v>
      </c>
      <c r="B146">
        <v>0</v>
      </c>
    </row>
    <row r="147" spans="1:2">
      <c r="A147">
        <v>0.84</v>
      </c>
      <c r="B147">
        <v>3.5999999999999997E-2</v>
      </c>
    </row>
    <row r="148" spans="1:2">
      <c r="A148">
        <v>0</v>
      </c>
      <c r="B148">
        <v>0</v>
      </c>
    </row>
    <row r="149" spans="1:2">
      <c r="A149">
        <v>0.25</v>
      </c>
      <c r="B149">
        <v>1.8667E-2</v>
      </c>
    </row>
    <row r="150" spans="1:2">
      <c r="A150">
        <v>0</v>
      </c>
      <c r="B150">
        <v>0</v>
      </c>
    </row>
    <row r="151" spans="1:2">
      <c r="A151">
        <v>0</v>
      </c>
      <c r="B151">
        <v>0</v>
      </c>
    </row>
    <row r="152" spans="1:2">
      <c r="A152">
        <v>0.25</v>
      </c>
      <c r="B152">
        <v>1.0666999999999999E-2</v>
      </c>
    </row>
    <row r="153" spans="1:2">
      <c r="A153">
        <v>0</v>
      </c>
      <c r="B153">
        <v>0</v>
      </c>
    </row>
    <row r="154" spans="1:2">
      <c r="A154">
        <v>0.25</v>
      </c>
      <c r="B154">
        <v>8.0000000000000002E-3</v>
      </c>
    </row>
    <row r="155" spans="1:2">
      <c r="A155">
        <v>0</v>
      </c>
      <c r="B155">
        <v>0</v>
      </c>
    </row>
    <row r="156" spans="1:2">
      <c r="A156">
        <v>0</v>
      </c>
      <c r="B156">
        <v>0</v>
      </c>
    </row>
    <row r="157" spans="1:2">
      <c r="A157">
        <v>0.25</v>
      </c>
      <c r="B157">
        <v>0</v>
      </c>
    </row>
    <row r="158" spans="1:2">
      <c r="A158">
        <v>0</v>
      </c>
      <c r="B158">
        <v>0</v>
      </c>
    </row>
    <row r="159" spans="1:2">
      <c r="A159">
        <v>0</v>
      </c>
      <c r="B159">
        <v>0</v>
      </c>
    </row>
    <row r="160" spans="1:2">
      <c r="A160">
        <v>0.75</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-1.07522871809476
-1.08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-1.0752287180947551</v>
      </c>
      <c r="I4" s="322">
        <f>IF(Measurement!AQ7&lt;&gt;"",NORMSDIST((H6-$B$2)/$B$3)*100,"")</f>
        <v>39.956735811985247</v>
      </c>
      <c r="J4" t="str">
        <f>Measurement!AR7</f>
        <v>보통</v>
      </c>
    </row>
    <row r="5" spans="1:11">
      <c r="B5" s="171">
        <v>-10</v>
      </c>
      <c r="C5" s="171">
        <f>NORMSDIST(($B5-$B$2)/$B$3)*100</f>
        <v>7.1097265868555281E-5</v>
      </c>
      <c r="G5" t="s">
        <v>1539</v>
      </c>
      <c r="H5" s="320">
        <f>IF(Measurement!AQ7&lt;-7,-7,Measurement!AQ7)</f>
        <v>-1.0752287180947551</v>
      </c>
      <c r="I5" s="321">
        <f>IF(Measurement!AQ7&lt;&gt;"",0,"")</f>
        <v>0</v>
      </c>
    </row>
    <row r="6" spans="1:11">
      <c r="B6" s="171">
        <f>B5+0.1</f>
        <v>-9.9</v>
      </c>
      <c r="C6" s="171">
        <f t="shared" ref="C6:C57" si="0">NORMSDIST(($B6-$B$2)/$B$3)*100</f>
        <v>9.1781224195367343E-5</v>
      </c>
      <c r="H6" s="320">
        <f>IF(Measurement!AQ7&lt;-7,-7,Measurement!AQ7)</f>
        <v>-1.0752287180947551</v>
      </c>
      <c r="I6" s="321">
        <f>IF(Measurement!AQ7&lt;&gt;"",NORMSDIST((H6-$B$2)/$B$3)*100,"")</f>
        <v>39.956735811985247</v>
      </c>
    </row>
    <row r="7" spans="1:11">
      <c r="B7" s="171">
        <f t="shared" ref="B7:B70" si="1">B6+0.1</f>
        <v>-9.8000000000000007</v>
      </c>
      <c r="C7" s="171">
        <f t="shared" si="0"/>
        <v>1.1818368021892541E-4</v>
      </c>
      <c r="D7" s="171"/>
      <c r="H7" s="320">
        <f>IF(Measurement!AQ7&lt;&gt;"",-7,"")</f>
        <v>-7</v>
      </c>
      <c r="I7" s="321">
        <f>IF(Measurement!AQ7&lt;&gt;"",NORMSDIST((H6-$B$2)/$B$3)*100,"")</f>
        <v>39.956735811985247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74.15</v>
      </c>
      <c r="V4" t="s">
        <v>1218</v>
      </c>
    </row>
    <row r="5" spans="1:29">
      <c r="B5" s="171">
        <v>0</v>
      </c>
      <c r="C5" s="171">
        <f>NORMSDIST(($B5-$B$2)/$B$3)*100</f>
        <v>1.2153167836658598</v>
      </c>
      <c r="H5">
        <f>info!W36</f>
        <v>74.146450000000002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74.146450000000002</v>
      </c>
      <c r="I6" s="171">
        <f>NORMSDIST((H6-$B$2)/$B$3)*100</f>
        <v>86.163134248791266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86.163134248791266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1.65608</v>
      </c>
    </row>
    <row r="3" spans="1:11" ht="18">
      <c r="A3" s="71" t="s">
        <v>1065</v>
      </c>
      <c r="B3" s="557">
        <v>0.71290976993199895</v>
      </c>
      <c r="C3" s="523"/>
      <c r="H3" s="561" t="s">
        <v>2223</v>
      </c>
      <c r="I3" s="562">
        <f>IF(I2=0,0,NORMSDIST((I2-$B$2)/$B$3)*100)</f>
        <v>36.612010212680424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1.65608</v>
      </c>
      <c r="I6" s="560">
        <v>0</v>
      </c>
    </row>
    <row r="7" spans="1:11">
      <c r="B7" s="23">
        <f>B5+0.05</f>
        <v>0</v>
      </c>
      <c r="C7" s="23">
        <f t="shared" ref="C7:E58" si="0">NORMSDIST(($B7-$B$2)/$B$3)*100</f>
        <v>0.38478836223957635</v>
      </c>
      <c r="H7" s="205">
        <f>IF(info!V36&gt;I1,I1,info!V36)</f>
        <v>1.65608</v>
      </c>
      <c r="I7" s="560">
        <f>NORMSDIST((H7-$B$2)/$B$3)*100</f>
        <v>36.612010212680424</v>
      </c>
    </row>
    <row r="8" spans="1:11">
      <c r="B8" s="23">
        <f t="shared" ref="B8:B71" si="1">B7+0.05</f>
        <v>0.05</v>
      </c>
      <c r="C8" s="23">
        <f t="shared" si="0"/>
        <v>0.47295624138584591</v>
      </c>
      <c r="D8" s="171"/>
      <c r="H8" s="205">
        <v>0</v>
      </c>
      <c r="I8" s="560">
        <f>NORMSDIST((H7-$B$2)/$B$3)*100</f>
        <v>36.612010212680424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1.65608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1.65608</v>
      </c>
      <c r="I6" s="171">
        <f>NORMSDIST((H6-$B$2)/$B$3)*100</f>
        <v>5.4005360837182881E-2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5.4005360837182881E-2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45853.64471064815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JjoU</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45853.64471064815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JjoU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2025-07-15T06:28:33Z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