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MXPI^1^1^\"/>
    </mc:Choice>
  </mc:AlternateContent>
  <xr:revisionPtr revIDLastSave="0" documentId="13_ncr:1_{54E1B5CE-A0DB-48F0-B31D-8D9E079DAE7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39" s="1"/>
  <c r="Q8" i="41" l="1"/>
  <c r="L7" i="46"/>
  <c r="L8" i="36"/>
  <c r="H8" i="33"/>
  <c r="L7" i="42"/>
  <c r="Q8" i="44"/>
  <c r="L8" i="33"/>
  <c r="L8" i="39"/>
  <c r="L8" i="43"/>
  <c r="L7" i="33"/>
  <c r="L7" i="39"/>
  <c r="L7" i="43"/>
  <c r="Q8" i="45"/>
  <c r="Q2" i="14"/>
  <c r="H8" i="49"/>
  <c r="H8" i="30"/>
  <c r="Q8" i="33"/>
  <c r="L7" i="37"/>
  <c r="H8" i="38"/>
  <c r="Q8" i="39"/>
  <c r="L7" i="41"/>
  <c r="H8" i="42"/>
  <c r="Q8" i="43"/>
  <c r="L7" i="45"/>
  <c r="H8" i="46"/>
  <c r="Q8" i="37"/>
  <c r="L8" i="40"/>
  <c r="L8" i="44"/>
  <c r="L7" i="30"/>
  <c r="Q8" i="36"/>
  <c r="L7" i="38"/>
  <c r="Q8" i="40"/>
  <c r="H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7" i="1" l="1"/>
  <c r="I32" i="48" s="1"/>
  <c r="L8" i="1"/>
  <c r="I33" i="48" s="1"/>
  <c r="L16" i="1"/>
  <c r="I41" i="48" s="1"/>
  <c r="L15" i="1"/>
  <c r="I40" i="48" s="1"/>
  <c r="L10" i="1"/>
  <c r="I35" i="48" s="1"/>
  <c r="L9" i="1"/>
  <c r="I34" i="48" s="1"/>
  <c r="L14" i="1"/>
  <c r="I39" i="48" s="1"/>
  <c r="L11" i="1"/>
  <c r="I36"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BY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CA7" i="1"/>
  <c r="CA6" i="1" s="1"/>
  <c r="CD7" i="1"/>
  <c r="CB7" i="1"/>
  <c r="CC7" i="1"/>
  <c r="BY6" i="1" s="1"/>
  <c r="AS7" i="1"/>
  <c r="A71" i="32"/>
  <c r="A67" i="32"/>
  <c r="B53" i="24"/>
  <c r="D53" i="24" s="1"/>
  <c r="H4" i="21"/>
  <c r="H6" i="21"/>
  <c r="I6" i="21" s="1"/>
  <c r="H5" i="21"/>
  <c r="A9" i="17"/>
  <c r="C8" i="17"/>
  <c r="B8" i="17" s="1"/>
  <c r="V21" i="11"/>
  <c r="V52" i="11"/>
  <c r="X52" i="11" s="1"/>
  <c r="B46" i="25"/>
  <c r="G46" i="25" s="1"/>
  <c r="BW6" i="1"/>
  <c r="CD6" i="1"/>
  <c r="BV6" i="1"/>
  <c r="H7" i="21"/>
  <c r="I5" i="21"/>
  <c r="B27" i="21"/>
  <c r="C26" i="21"/>
  <c r="B83" i="23"/>
  <c r="E82" i="23"/>
  <c r="C28" i="23"/>
  <c r="H20" i="18"/>
  <c r="F15" i="13"/>
  <c r="L14" i="13"/>
  <c r="M17" i="1"/>
  <c r="A50" i="6"/>
  <c r="A54" i="6"/>
  <c r="K24" i="1"/>
  <c r="I24" i="1"/>
  <c r="F9" i="11"/>
  <c r="A10" i="11"/>
  <c r="B9" i="11"/>
  <c r="E9" i="11" s="1"/>
  <c r="CB6" i="1" l="1"/>
  <c r="BZ6" i="1"/>
  <c r="BX6" i="1"/>
  <c r="CC6" i="1"/>
  <c r="CE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4"/>
  <c r="O7" i="36"/>
  <c r="O7" i="45"/>
  <c r="O7" i="41"/>
  <c r="O7" i="37"/>
  <c r="O7" i="33"/>
  <c r="O7" i="40"/>
  <c r="O7" i="46"/>
  <c r="O7" i="42"/>
  <c r="O7" i="38"/>
  <c r="O7" i="30"/>
  <c r="O7" i="43"/>
  <c r="O7" i="39"/>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0" i="1" l="1"/>
  <c r="Y7" i="1"/>
  <c r="Y13" i="1"/>
  <c r="C212" i="17"/>
  <c r="B212" i="17" s="1"/>
  <c r="A213" i="17"/>
  <c r="F210" i="11"/>
  <c r="B210" i="11"/>
  <c r="E210" i="11" s="1"/>
  <c r="A211" i="11"/>
  <c r="Y9" i="1" l="1"/>
  <c r="Y11" i="1"/>
  <c r="Y14" i="1"/>
  <c r="Y16" i="1"/>
  <c r="Y8" i="1"/>
  <c r="L38" i="48"/>
  <c r="L38" i="18"/>
  <c r="L32" i="48"/>
  <c r="L32" i="18"/>
  <c r="L35" i="48"/>
  <c r="L35" i="18"/>
  <c r="C213" i="17"/>
  <c r="B213" i="17" s="1"/>
  <c r="Y12" i="1" s="1"/>
  <c r="A214" i="17"/>
  <c r="F211" i="11"/>
  <c r="A212" i="11"/>
  <c r="B211" i="11"/>
  <c r="E211" i="11" s="1"/>
  <c r="L33" i="48" l="1"/>
  <c r="L33" i="18"/>
  <c r="L41" i="48"/>
  <c r="L41" i="18"/>
  <c r="L39" i="48"/>
  <c r="L39" i="18"/>
  <c r="L36" i="48"/>
  <c r="L36" i="18"/>
  <c r="L37" i="48"/>
  <c r="L37" i="18"/>
  <c r="L34" i="48"/>
  <c r="L34"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CK9" i="1" s="1"/>
  <c r="F255" i="11"/>
  <c r="A256" i="11"/>
  <c r="B255" i="11"/>
  <c r="E255" i="11" s="1"/>
  <c r="K13" i="18" l="1"/>
  <c r="CG9" i="1"/>
  <c r="CJ9" i="1"/>
  <c r="CJ14" i="1" s="1"/>
  <c r="D13" i="18" s="1"/>
  <c r="C258" i="17"/>
  <c r="B258" i="17" s="1"/>
  <c r="A259" i="17"/>
  <c r="CU9" i="1"/>
  <c r="CS9" i="1"/>
  <c r="CT9" i="1"/>
  <c r="CH9" i="1" s="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A262" i="17"/>
  <c r="F259" i="11"/>
  <c r="K17" i="18" l="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CK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H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K16" i="1" s="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K19" i="1" l="1"/>
  <c r="CK12" i="1"/>
  <c r="C313" i="17"/>
  <c r="B313" i="17" s="1"/>
  <c r="CQ12" i="1" s="1"/>
  <c r="A314" i="17"/>
  <c r="F311" i="11"/>
  <c r="C314" i="17" l="1"/>
  <c r="B314" i="17" s="1"/>
  <c r="CR12" i="1" s="1"/>
  <c r="A315" i="17"/>
  <c r="F312" i="11"/>
  <c r="C315" i="17" l="1"/>
  <c r="B315" i="17" s="1"/>
  <c r="CS12" i="1" s="1"/>
  <c r="A316" i="17"/>
  <c r="F313" i="11"/>
  <c r="C316" i="17" l="1"/>
  <c r="B316" i="17" s="1"/>
  <c r="CT12" i="1" s="1"/>
  <c r="CH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CB40"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AX23" i="11" s="1"/>
  <c r="F621" i="11"/>
  <c r="AR26" i="11" l="1"/>
  <c r="X21" i="11" s="1"/>
  <c r="AS26" i="11"/>
  <c r="A626" i="17"/>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<sst xmlns="http://schemas.openxmlformats.org/spreadsheetml/2006/main" count="7311" uniqueCount="2585">
  <si>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</si>
  <si>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</si>
  <si>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</si>
  <si>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</si>
  <si>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</si>
  <si>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</si>
  <si>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</si>
  <si>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</si>
  <si>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</si>
  <si>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</si>
  <si>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</si>
  <si>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</si>
  <si>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</si>
  <si>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</si>
  <si>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</si>
  <si>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</si>
  <si>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</si>
  <si>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</si>
  <si>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</si>
  <si>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</si>
  <si>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</si>
  <si>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</si>
  <si>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</si>
  <si>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</si>
  <si>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</si>
  <si>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</si>
  <si>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</si>
  <si>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</si>
  <si>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</si>
  <si>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</si>
  <si>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</si>
  <si>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</si>
  <si>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</si>
  <si>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</si>
  <si>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</si>
  <si>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</si>
  <si>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</si>
  <si>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</si>
  <si>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</si>
  <si>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</si>
  <si>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</si>
  <si>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</si>
  <si>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</si>
  <si>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</si>
  <si>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</si>
  <si>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</si>
  <si>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</si>
  <si>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</si>
  <si>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</si>
  <si>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</si>
  <si>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</si>
  <si>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</si>
  <si>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</si>
  <si>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</si>
  <si>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</si>
  <si>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</si>
  <si>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</si>
  <si>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</si>
  <si>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</si>
  <si>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</si>
  <si>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</si>
  <si>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</si>
  <si>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</si>
  <si>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</si>
  <si>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</si>
  <si>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</si>
  <si>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</si>
  <si>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</si>
  <si>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</si>
  <si>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</si>
  <si>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</si>
  <si>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</si>
  <si>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</si>
  <si>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</si>
  <si>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</si>
  <si>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</si>
  <si>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</si>
  <si>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</si>
  <si>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</si>
  <si>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</si>
  <si>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</si>
  <si>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</si>
  <si>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</si>
  <si>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</si>
  <si>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</si>
  <si>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</si>
  <si>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</si>
  <si>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</si>
  <si>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</si>
  <si>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</si>
  <si>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</si>
  <si>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</si>
  <si>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</si>
  <si>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</si>
  <si>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</si>
  <si>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</si>
  <si>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</si>
  <si>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</si>
  <si>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</si>
  <si>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</si>
  <si>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</si>
  <si>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</si>
  <si>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</si>
  <si>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</si>
  <si>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</si>
  <si>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</si>
  <si>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</si>
  <si>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</si>
  <si>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</si>
  <si>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</si>
  <si>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</si>
  <si>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</si>
  <si>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</si>
  <si>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</si>
  <si>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</si>
  <si>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</si>
  <si>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</si>
  <si>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</si>
  <si>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</si>
  <si>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</si>
  <si>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</si>
  <si>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</si>
  <si>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</si>
  <si>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</si>
  <si>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</si>
  <si>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</si>
  <si>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</si>
  <si>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</si>
  <si>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</si>
  <si>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</si>
  <si>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</si>
  <si>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</si>
  <si>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</si>
  <si>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</si>
  <si>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</si>
  <si>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</si>
  <si>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</si>
  <si>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</si>
  <si>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</si>
  <si>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</si>
  <si>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</si>
  <si>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</si>
  <si>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</si>
  <si>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</si>
  <si>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</si>
  <si>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</si>
  <si>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</si>
  <si>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</si>
  <si>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</si>
  <si>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</si>
  <si>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</si>
  <si>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</si>
  <si>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</si>
  <si>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</si>
  <si>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</si>
  <si>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</si>
  <si>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</si>
  <si>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</si>
  <si>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</si>
  <si>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</si>
  <si>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</si>
  <si>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</si>
  <si>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</si>
  <si>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</si>
  <si>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</si>
  <si>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</si>
  <si>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</si>
  <si>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</si>
  <si>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</si>
  <si>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</si>
  <si>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</si>
  <si>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</si>
  <si>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</si>
  <si>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</si>
  <si>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</si>
  <si>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</si>
  <si>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</si>
  <si>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</si>
  <si>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</si>
  <si>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</si>
  <si>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</si>
  <si>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</si>
  <si>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</si>
  <si>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</si>
  <si>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</si>
  <si>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</si>
  <si>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</si>
  <si>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</si>
  <si>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</si>
  <si>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</si>
  <si>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</si>
  <si>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</si>
  <si>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</si>
  <si>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</si>
  <si>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</si>
  <si>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</si>
  <si>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</si>
  <si>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</si>
  <si>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</si>
  <si>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</si>
  <si>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</si>
  <si>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</si>
  <si>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</si>
  <si>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</si>
  <si>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</si>
  <si>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</si>
  <si>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</si>
  <si>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</si>
  <si>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</si>
  <si>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</si>
  <si>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</si>
  <si>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</si>
  <si>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</si>
  <si>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</si>
  <si>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</si>
  <si>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</si>
  <si>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</si>
  <si>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</si>
  <si>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</si>
  <si>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</si>
  <si>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</si>
  <si>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</si>
  <si>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</si>
  <si>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</si>
  <si>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</si>
  <si>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</si>
  <si>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</si>
  <si>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</si>
  <si>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</si>
  <si>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</si>
  <si>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</si>
  <si>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</si>
  <si>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</si>
  <si>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</si>
  <si>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</si>
  <si>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</si>
  <si>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</si>
  <si>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</si>
  <si>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</si>
  <si>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</si>
  <si>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</si>
  <si>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</si>
  <si>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</si>
  <si>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</si>
  <si>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</si>
  <si>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</si>
  <si>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</si>
  <si>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</si>
  <si>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</si>
  <si>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</si>
  <si>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</si>
  <si>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</si>
  <si>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</si>
  <si>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</si>
  <si>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</si>
  <si>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</si>
  <si>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</si>
  <si>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</si>
  <si>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</si>
  <si>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</si>
  <si>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</si>
  <si>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</si>
  <si>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</si>
  <si>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</si>
  <si>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</si>
  <si>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</si>
  <si>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</si>
  <si>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</si>
  <si>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</si>
  <si>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</si>
  <si>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</si>
  <si>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</si>
  <si>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</si>
  <si>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</si>
  <si>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</si>
  <si>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</si>
  <si>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</si>
  <si>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</si>
  <si>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</si>
  <si>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</si>
  <si>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</si>
  <si>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</si>
  <si>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</si>
  <si>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</si>
  <si>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</si>
  <si>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</si>
  <si>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</si>
  <si>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</si>
  <si>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</si>
  <si>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</si>
  <si>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</si>
  <si>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</si>
  <si>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</si>
  <si>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</si>
  <si>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</si>
  <si>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</si>
  <si>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</si>
  <si>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</si>
  <si>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</si>
  <si>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</si>
  <si>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</si>
  <si>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</si>
  <si>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</si>
  <si>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</si>
  <si>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</si>
  <si>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</si>
  <si>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</si>
  <si>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</si>
  <si>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</si>
  <si>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</si>
  <si>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</si>
  <si>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</si>
  <si>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</si>
  <si>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</si>
  <si>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</si>
  <si>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</si>
  <si>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</si>
  <si>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</si>
  <si>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</si>
  <si>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</si>
  <si>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</si>
  <si>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</si>
  <si>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</si>
  <si>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</si>
  <si>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</si>
  <si>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</si>
  <si>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</si>
  <si>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</si>
  <si>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</si>
  <si>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</si>
  <si>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</si>
  <si>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</si>
  <si>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</si>
  <si>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</si>
  <si>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</si>
  <si>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</si>
  <si>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</si>
  <si>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</si>
  <si>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</si>
  <si>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</si>
  <si>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</si>
  <si>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</si>
  <si>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</si>
  <si>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</si>
  <si>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</si>
  <si>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</si>
  <si>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</si>
  <si>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</si>
  <si>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</si>
  <si>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</si>
  <si>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</si>
  <si>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</si>
  <si>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</si>
  <si>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</si>
  <si>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</si>
  <si>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</si>
  <si>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</si>
  <si>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</si>
  <si>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</si>
  <si>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</si>
  <si>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</si>
  <si>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</si>
  <si>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</si>
  <si>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</si>
  <si>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</si>
  <si>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</si>
  <si>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</si>
  <si>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</si>
  <si>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</si>
  <si>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</si>
  <si>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</si>
  <si>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</si>
  <si>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</si>
  <si>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</si>
  <si>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</si>
  <si>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</si>
  <si>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</si>
  <si>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</si>
  <si>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</si>
  <si>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</si>
  <si>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</si>
  <si>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</si>
  <si>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</si>
  <si>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</si>
  <si>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</si>
  <si>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</si>
  <si>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</si>
  <si>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</si>
  <si>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</si>
  <si>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</si>
  <si>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</si>
  <si>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</si>
  <si>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</si>
  <si>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</si>
  <si>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</si>
  <si>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</si>
  <si>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</si>
  <si>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</si>
  <si>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</si>
  <si>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</si>
  <si>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</si>
  <si>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</si>
  <si>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</si>
  <si>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</si>
  <si>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</si>
  <si>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</si>
  <si>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</si>
  <si>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</si>
  <si>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</si>
  <si>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</si>
  <si>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</si>
  <si>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</si>
  <si>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</si>
  <si>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</si>
  <si>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</si>
  <si>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</si>
  <si>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</si>
  <si>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</si>
  <si>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</si>
  <si>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</si>
  <si>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</si>
  <si>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</si>
  <si>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</si>
  <si>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</si>
  <si>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</si>
  <si>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</si>
  <si>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</si>
  <si>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</si>
  <si>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</si>
  <si>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</si>
  <si>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</si>
  <si>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</si>
  <si>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</si>
  <si>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</si>
  <si>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</si>
  <si>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</si>
  <si>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</si>
  <si>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</si>
  <si>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</si>
  <si>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</si>
  <si>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</si>
  <si>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</si>
  <si>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</si>
  <si>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</si>
  <si>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</si>
  <si>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</si>
  <si>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</si>
  <si>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</si>
  <si>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</si>
  <si>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</si>
  <si>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</si>
  <si>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</si>
  <si>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</si>
  <si>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</si>
  <si>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</si>
  <si>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</si>
  <si>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</si>
  <si>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</si>
  <si>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</si>
  <si>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</si>
  <si>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</si>
  <si>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</si>
  <si>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</si>
  <si>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</si>
  <si>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</si>
  <si>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</si>
  <si>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</si>
  <si>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</si>
  <si>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</si>
  <si>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</si>
  <si>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</si>
  <si>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</si>
  <si>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</si>
  <si>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</si>
  <si>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</si>
  <si>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</si>
  <si>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</si>
  <si>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</si>
  <si>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</si>
  <si>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</si>
  <si>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</si>
  <si>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</si>
  <si>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</si>
  <si>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</si>
  <si>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</si>
  <si>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</si>
  <si>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</si>
  <si>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</si>
  <si>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</si>
  <si>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</si>
  <si>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</si>
  <si>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</si>
  <si>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</si>
  <si>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</si>
  <si>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</si>
  <si>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</si>
  <si>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</si>
  <si>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</si>
  <si>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</si>
  <si>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</si>
  <si>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</si>
  <si>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</si>
  <si>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</si>
  <si>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</si>
  <si>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</si>
  <si>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</si>
  <si>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</si>
  <si>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</si>
  <si>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</si>
  <si>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</si>
  <si>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</si>
  <si>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</si>
  <si>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</si>
  <si>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</si>
  <si>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</si>
  <si>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</si>
  <si>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</si>
  <si>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</si>
  <si>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</si>
  <si>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</si>
  <si>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</si>
  <si>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</si>
  <si>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</si>
  <si>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</si>
  <si>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</si>
  <si>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</si>
  <si>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</si>
  <si>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</si>
  <si>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</si>
  <si>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</si>
  <si>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</si>
  <si>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</si>
  <si>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</si>
  <si>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</si>
  <si>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</si>
  <si>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</si>
  <si>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</si>
  <si>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</si>
  <si>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</si>
  <si>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</si>
  <si>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</si>
  <si>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</si>
  <si>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</si>
  <si>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</si>
  <si>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</si>
  <si>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</si>
  <si>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</si>
  <si>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</si>
  <si>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</si>
  <si>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</si>
  <si>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</si>
  <si>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</si>
  <si>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</si>
  <si>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</si>
  <si>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</si>
  <si>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</si>
  <si>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</si>
  <si>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</si>
  <si>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</si>
  <si>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</si>
  <si>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</si>
  <si>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</si>
  <si>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</si>
  <si>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</si>
  <si>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</si>
  <si>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</si>
  <si>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</si>
  <si>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</si>
  <si>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</si>
  <si>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</si>
  <si>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</si>
  <si>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</si>
  <si>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</si>
  <si>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</si>
  <si>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</si>
  <si>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</si>
  <si>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</si>
  <si>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</si>
  <si>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</si>
  <si>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</si>
  <si>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</si>
  <si>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</si>
  <si>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</si>
  <si>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</si>
  <si>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</si>
  <si>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</si>
  <si>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</si>
  <si>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</si>
  <si>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</si>
  <si>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</si>
  <si>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</si>
  <si>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</si>
  <si>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</si>
  <si>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</si>
  <si>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</si>
  <si>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</si>
  <si>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</si>
  <si>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</si>
  <si>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</si>
  <si>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</si>
  <si>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</si>
  <si>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</si>
  <si>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</si>
  <si>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</si>
  <si>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</si>
  <si>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</si>
  <si>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</si>
  <si>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</si>
  <si>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</si>
  <si>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</si>
  <si>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</si>
  <si>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</si>
  <si>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</si>
  <si>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</si>
  <si>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</si>
  <si>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</si>
  <si>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</si>
  <si>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</si>
  <si>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</si>
  <si>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</si>
  <si>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</si>
  <si>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</si>
  <si>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</si>
  <si>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</si>
  <si>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</si>
  <si>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</si>
  <si>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</si>
  <si>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</si>
  <si>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</si>
  <si>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</si>
  <si>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</si>
  <si>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</si>
  <si>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</si>
  <si>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</si>
  <si>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</si>
  <si>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</si>
  <si>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</si>
  <si>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</si>
  <si>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</si>
  <si>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</si>
  <si>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</si>
  <si>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</si>
  <si>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</si>
  <si>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</si>
  <si>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</si>
  <si>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</si>
  <si>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</si>
  <si>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</si>
  <si>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</si>
  <si>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</si>
  <si>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</si>
  <si>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</si>
  <si>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</si>
  <si>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</si>
  <si>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</si>
  <si>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</si>
  <si>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</si>
  <si>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</si>
  <si>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</si>
  <si>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</si>
  <si>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</si>
  <si>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</si>
  <si>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</si>
  <si>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</si>
  <si>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</si>
  <si>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</si>
  <si>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</si>
  <si>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</si>
  <si>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</si>
  <si>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</si>
  <si>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</si>
  <si>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</si>
  <si>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</si>
  <si>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</si>
  <si>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</si>
  <si>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</si>
  <si>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</si>
  <si>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</si>
  <si>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</si>
  <si>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</si>
  <si>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</si>
  <si>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</si>
  <si>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</si>
  <si>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</si>
  <si>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</si>
  <si>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</si>
  <si>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</si>
  <si>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</si>
  <si>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</si>
  <si>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</si>
  <si>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</si>
  <si>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</si>
  <si>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</si>
  <si>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</si>
  <si>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</si>
  <si>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</si>
  <si>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</si>
  <si>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</si>
  <si>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</si>
  <si>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</si>
  <si>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</si>
  <si>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</si>
  <si>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</si>
  <si>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</si>
  <si>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</si>
  <si>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</si>
  <si>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</si>
  <si>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</si>
  <si>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</si>
  <si>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</si>
  <si>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</si>
  <si>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</si>
  <si>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</si>
  <si>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</si>
  <si>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</si>
  <si>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</si>
  <si>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</si>
  <si>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</si>
  <si>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</si>
  <si>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</si>
  <si>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</si>
  <si>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</si>
  <si>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</si>
  <si>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</si>
  <si>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</si>
  <si>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</si>
  <si>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</si>
  <si>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</si>
  <si>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</si>
  <si>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</si>
  <si>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</si>
  <si>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</si>
  <si>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</si>
  <si>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</si>
  <si>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</si>
  <si>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</si>
  <si>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</si>
  <si>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</si>
  <si>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</si>
  <si>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</si>
  <si>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</si>
  <si>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</si>
  <si>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</si>
  <si>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</si>
  <si>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</si>
  <si>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</si>
  <si>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</si>
  <si>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</si>
  <si>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</si>
  <si>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</si>
  <si>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</si>
  <si>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</si>
  <si>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</si>
  <si>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</si>
  <si>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</si>
  <si>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</si>
  <si>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</si>
  <si>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</si>
  <si>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</si>
  <si>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</si>
  <si>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</si>
  <si>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</si>
  <si>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</si>
  <si>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</si>
  <si>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</si>
  <si>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</si>
  <si>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</si>
  <si>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</si>
  <si>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</si>
  <si>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</si>
  <si>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</si>
  <si>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</si>
  <si>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</si>
  <si>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</si>
  <si>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</si>
  <si>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</si>
  <si>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</si>
  <si>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</si>
  <si>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</si>
  <si>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</si>
  <si>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</si>
  <si>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</si>
  <si>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</si>
  <si>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</si>
  <si>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</si>
  <si>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</si>
  <si>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</si>
  <si>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</si>
  <si>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</si>
  <si>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</si>
  <si>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</si>
  <si>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</si>
  <si>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</si>
  <si>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</si>
  <si>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</si>
  <si>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</si>
  <si>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</si>
  <si>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</si>
  <si>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</si>
  <si>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</si>
  <si>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</si>
  <si>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</si>
  <si>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</si>
  <si>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</si>
  <si>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</si>
  <si>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</si>
  <si>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</si>
  <si>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</si>
  <si>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</si>
  <si>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</si>
  <si>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</si>
  <si>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</si>
  <si>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</si>
  <si>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</si>
  <si>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</si>
  <si>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</si>
  <si>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</si>
  <si>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</si>
  <si>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</si>
  <si>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</si>
  <si>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</si>
  <si>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</si>
  <si>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</si>
  <si>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</si>
  <si>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</si>
  <si>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</si>
  <si>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</si>
  <si>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</si>
  <si>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</si>
  <si>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</si>
  <si>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</si>
  <si>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</si>
  <si>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</si>
  <si>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</si>
  <si>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</si>
  <si>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</si>
  <si>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</si>
  <si>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</si>
  <si>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</si>
  <si>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</si>
  <si>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</si>
  <si>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</si>
  <si>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</si>
  <si>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</si>
  <si>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</si>
  <si>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</si>
  <si>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</si>
  <si>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</si>
  <si>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</si>
  <si>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</si>
  <si>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</si>
  <si>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</si>
  <si>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</si>
  <si>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</si>
  <si>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</si>
  <si>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</si>
  <si>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</si>
  <si>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</si>
  <si>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</si>
  <si>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</si>
  <si>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</si>
  <si>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</si>
  <si>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</si>
  <si>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</si>
  <si>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</si>
  <si>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</si>
  <si>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</si>
  <si>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</si>
  <si>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</si>
  <si>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</si>
  <si>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</si>
  <si>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</si>
  <si>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</si>
  <si>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</si>
  <si>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</si>
  <si>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</si>
  <si>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</si>
  <si>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</si>
  <si>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</si>
  <si>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</si>
  <si>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</si>
  <si>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</si>
  <si>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</si>
  <si>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</si>
  <si>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</si>
  <si>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</si>
  <si>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</si>
  <si>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</si>
  <si>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</si>
  <si>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</si>
  <si>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</si>
  <si>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</si>
  <si>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</si>
  <si>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</si>
  <si>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</si>
  <si>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</si>
  <si>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</si>
  <si>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</si>
  <si>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</si>
  <si>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</si>
  <si>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</si>
  <si>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</si>
  <si>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</si>
  <si>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</si>
  <si>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</si>
  <si>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</si>
  <si>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</si>
  <si>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</si>
  <si>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</si>
  <si>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</si>
  <si>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</si>
  <si>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</si>
  <si>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</si>
  <si>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</si>
  <si>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</si>
  <si>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</si>
  <si>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</si>
  <si>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</si>
  <si>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</si>
  <si>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</si>
  <si>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</si>
  <si>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</si>
  <si>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</si>
  <si>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</si>
  <si>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</si>
  <si>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</si>
  <si>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</si>
  <si>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</si>
  <si>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</si>
  <si>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</si>
  <si>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</si>
  <si>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</si>
  <si>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</si>
  <si>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</si>
  <si>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</si>
  <si>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</si>
  <si>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</si>
  <si>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</si>
  <si>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</si>
  <si>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</si>
  <si>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</si>
  <si>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</si>
  <si>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</si>
  <si>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</si>
  <si>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</si>
  <si>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</si>
  <si>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</si>
  <si>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</si>
  <si>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</si>
  <si>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</si>
  <si>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</si>
  <si>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</si>
  <si>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</si>
  <si>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</si>
  <si>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</si>
  <si>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</si>
  <si>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</si>
  <si>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</si>
  <si>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</si>
  <si>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</si>
  <si>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</si>
  <si>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</si>
  <si>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</si>
  <si>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</si>
  <si>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</si>
  <si>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</si>
  <si>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</si>
  <si>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</si>
  <si>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</si>
  <si>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</si>
  <si>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</si>
  <si>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</si>
  <si>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</si>
  <si>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</si>
  <si>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</si>
  <si>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</si>
  <si>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</si>
  <si>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</si>
  <si>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</si>
  <si>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</si>
  <si>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</si>
  <si>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</si>
  <si>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</si>
  <si>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</si>
  <si>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</si>
  <si>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</si>
  <si>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</si>
  <si>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</si>
  <si>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</si>
  <si>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</si>
  <si>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</si>
  <si>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</si>
  <si>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</si>
  <si>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</si>
  <si>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</si>
  <si>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</si>
  <si>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</si>
  <si>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</si>
  <si>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</si>
  <si>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</si>
  <si>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</si>
  <si>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</si>
  <si>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</si>
  <si>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</si>
  <si>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</si>
  <si>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</si>
  <si>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</si>
  <si>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</si>
  <si>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</si>
  <si>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</si>
  <si>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</si>
  <si>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</si>
  <si>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</si>
  <si>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</si>
  <si>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</si>
  <si>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</si>
  <si>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</si>
  <si>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</si>
  <si>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</si>
  <si>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</si>
  <si>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</si>
  <si>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</si>
  <si>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</si>
  <si>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</si>
  <si>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</si>
  <si>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</si>
  <si>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</si>
  <si>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</si>
  <si>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</si>
  <si>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</si>
  <si>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</si>
  <si>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</si>
  <si>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</si>
  <si>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</si>
  <si>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</si>
  <si>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</si>
  <si>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</si>
  <si>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</si>
  <si>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</si>
  <si>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</si>
  <si>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</si>
  <si>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</si>
  <si>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</si>
  <si>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</si>
  <si>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</si>
  <si>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</si>
  <si>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</si>
  <si>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</si>
  <si>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</si>
  <si>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</si>
  <si>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</si>
  <si>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</si>
  <si>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</si>
  <si>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</si>
  <si>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</si>
  <si>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</si>
  <si>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</si>
  <si>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</si>
  <si>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</si>
  <si>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</si>
  <si>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</si>
  <si>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</si>
  <si>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</si>
  <si>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</si>
  <si>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</si>
  <si>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</si>
  <si>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</si>
  <si>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</si>
  <si>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</si>
  <si>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</si>
  <si>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</si>
  <si>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</si>
  <si>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</si>
  <si>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</si>
  <si>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</si>
  <si>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</si>
  <si>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</si>
  <si>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</si>
  <si>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</si>
  <si>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</si>
  <si>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</si>
  <si>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</si>
  <si>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</si>
  <si>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</si>
  <si>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</si>
  <si>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</si>
  <si>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</si>
  <si>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</si>
  <si>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</si>
  <si>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</si>
  <si>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</si>
  <si>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</si>
  <si>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</si>
  <si>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</si>
  <si>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</si>
  <si>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</si>
  <si>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</si>
  <si>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</si>
  <si>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</si>
  <si>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</si>
  <si>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</si>
  <si>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</si>
  <si>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</si>
  <si>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</si>
  <si>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</si>
  <si>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</si>
  <si>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</si>
  <si>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</si>
  <si>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</si>
  <si>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</si>
  <si>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</si>
  <si>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</si>
  <si>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</si>
  <si>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</si>
  <si>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</si>
  <si>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</si>
  <si>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</si>
  <si>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</si>
  <si>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</si>
  <si>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</si>
  <si>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</si>
  <si>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</si>
  <si>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</si>
  <si>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</si>
  <si>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</si>
  <si>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</si>
  <si>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</si>
  <si>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</si>
  <si>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</si>
  <si>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</si>
  <si>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</si>
  <si>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</si>
  <si>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</si>
  <si>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</si>
  <si>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</si>
  <si>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</si>
  <si>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</si>
  <si>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</si>
  <si>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</si>
  <si>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</si>
  <si>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</si>
  <si>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</si>
  <si>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</si>
  <si>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</si>
  <si>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</si>
  <si>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</si>
  <si>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</si>
  <si>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</si>
  <si>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</si>
  <si>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</si>
  <si>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</si>
  <si>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</si>
  <si>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</si>
  <si>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</si>
  <si>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</si>
  <si>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</si>
  <si>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</si>
  <si>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</si>
  <si>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</si>
  <si>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</si>
  <si>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</si>
  <si>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</si>
  <si>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</si>
  <si>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</si>
  <si>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</si>
  <si>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</si>
  <si>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</si>
  <si>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</si>
  <si>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</si>
  <si>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</si>
  <si>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</si>
  <si>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</si>
  <si>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</si>
  <si>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</si>
  <si>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</si>
  <si>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</si>
  <si>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</si>
  <si>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</si>
  <si>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</si>
  <si>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</si>
  <si>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</si>
  <si>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</si>
  <si>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</si>
  <si>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</si>
  <si>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</si>
  <si>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</si>
  <si>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</si>
  <si>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</si>
  <si>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</si>
  <si>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</si>
  <si>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</si>
  <si>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</si>
  <si>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</si>
  <si>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</si>
  <si>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</si>
  <si>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</si>
  <si>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</si>
  <si>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</si>
  <si>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</si>
  <si>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</si>
  <si>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</si>
  <si>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</si>
  <si>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</si>
  <si>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</si>
  <si>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</si>
  <si>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</si>
  <si>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</si>
  <si>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</si>
  <si>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</si>
  <si>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</si>
  <si>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</si>
  <si>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</si>
  <si>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</si>
  <si>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</si>
  <si>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</si>
  <si>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</si>
  <si>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</si>
  <si>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</si>
  <si>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</si>
  <si>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</si>
  <si>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</si>
  <si>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</si>
  <si>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</si>
  <si>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</si>
  <si>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</si>
  <si>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</si>
  <si>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</si>
  <si>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</si>
  <si>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</si>
  <si>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</si>
  <si>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</si>
  <si>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</si>
  <si>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</si>
  <si>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</si>
  <si>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</si>
  <si>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</si>
  <si>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</si>
  <si>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</si>
  <si>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</si>
  <si>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</si>
  <si>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</si>
  <si>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</si>
  <si>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</si>
  <si>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</si>
  <si>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</si>
  <si>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</si>
  <si>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</si>
  <si>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</si>
  <si>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</si>
  <si>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</si>
  <si>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</si>
  <si>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</si>
  <si>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</si>
  <si>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</si>
  <si>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</si>
  <si>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</si>
  <si>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</si>
  <si>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</si>
  <si>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</si>
  <si>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</si>
  <si>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</si>
  <si>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</si>
  <si>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</si>
  <si>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</si>
  <si>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</si>
  <si>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</si>
  <si>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</si>
  <si>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</si>
  <si>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</si>
  <si>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</si>
  <si>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</si>
  <si>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</si>
  <si>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</si>
  <si>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</si>
  <si>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</si>
  <si>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</si>
  <si>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</si>
  <si>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</si>
  <si>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</si>
  <si>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</si>
  <si>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</si>
  <si>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</si>
  <si>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</si>
  <si>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</si>
  <si>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</si>
  <si>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</si>
  <si>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</si>
  <si>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</si>
  <si>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</si>
  <si>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</si>
  <si>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</si>
  <si>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</si>
  <si>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</si>
  <si>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</si>
  <si>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</si>
  <si>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</si>
  <si>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</si>
  <si>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</si>
  <si>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</si>
  <si>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</si>
  <si>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</si>
  <si>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</si>
  <si>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</si>
  <si>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</si>
  <si>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</si>
  <si>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</si>
  <si>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</si>
  <si>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</si>
  <si>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</si>
  <si>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</si>
  <si>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</si>
  <si>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</si>
  <si>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</si>
  <si>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</si>
  <si>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</si>
  <si>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</si>
  <si>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</si>
  <si>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</si>
  <si>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</si>
  <si>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</si>
  <si>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</si>
  <si>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</si>
  <si>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</si>
  <si>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</si>
  <si>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</si>
  <si>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</si>
  <si>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</si>
  <si>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</si>
  <si>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</si>
  <si>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</si>
  <si>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</si>
  <si>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</si>
  <si>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</si>
  <si>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</si>
  <si>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</si>
  <si>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</si>
  <si>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</si>
  <si>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</si>
  <si>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</si>
  <si>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</si>
  <si>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</si>
  <si>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</si>
  <si>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</si>
  <si>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</si>
  <si>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</si>
  <si>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</si>
  <si>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</si>
  <si>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</si>
  <si>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</si>
  <si>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</si>
  <si>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</si>
  <si>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</si>
  <si>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</si>
  <si>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</si>
  <si>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</si>
  <si>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</si>
  <si>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</si>
  <si>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</si>
  <si>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</si>
  <si>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</si>
  <si>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</si>
  <si>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</si>
  <si>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</si>
  <si>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</si>
  <si>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</si>
  <si>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</si>
  <si>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</si>
  <si>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</si>
  <si>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</si>
  <si>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</si>
  <si>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</si>
  <si>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</si>
  <si>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</si>
  <si>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</si>
  <si>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</si>
  <si>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</si>
  <si>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</si>
  <si>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</si>
  <si>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</si>
  <si>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</si>
  <si>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</si>
  <si>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</si>
  <si>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</si>
  <si>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</si>
  <si>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</si>
  <si>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</si>
  <si>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</si>
  <si>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</si>
  <si>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</si>
  <si>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</si>
  <si>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</si>
  <si>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</si>
  <si>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</si>
  <si>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</si>
  <si>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</si>
  <si>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</si>
  <si>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</si>
  <si>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</si>
  <si>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</si>
  <si>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</si>
  <si>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</si>
  <si>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</si>
  <si>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</si>
  <si>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</si>
  <si>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</si>
  <si>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</si>
  <si>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</si>
  <si>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</si>
  <si>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</si>
  <si>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</si>
  <si>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</si>
  <si>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</si>
  <si>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</si>
  <si>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</si>
  <si>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</si>
  <si>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</si>
  <si>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</si>
  <si>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</si>
  <si>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</si>
  <si>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</si>
  <si>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</si>
  <si>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</si>
  <si>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</si>
  <si>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</si>
  <si>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</si>
  <si>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</si>
  <si>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</si>
  <si>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</si>
  <si>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</si>
  <si>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</si>
  <si>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</si>
  <si>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</si>
  <si>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</si>
  <si>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</si>
  <si>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</si>
  <si>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</si>
  <si>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</si>
  <si>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</si>
  <si>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</si>
  <si>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</si>
  <si>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</si>
  <si>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</si>
  <si>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</si>
  <si>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</si>
  <si>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</si>
  <si>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</si>
  <si>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</si>
  <si>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</si>
  <si>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</si>
  <si>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</si>
  <si>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</si>
  <si>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</si>
  <si>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</si>
  <si>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</si>
  <si>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</si>
  <si>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</si>
  <si>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</si>
  <si>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</si>
  <si>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</si>
  <si>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</si>
  <si>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</si>
  <si>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</si>
  <si>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</si>
  <si>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</si>
  <si>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</si>
  <si>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</si>
  <si>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</si>
  <si>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</si>
  <si>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</si>
  <si>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</si>
  <si>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</si>
  <si>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</si>
  <si>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</si>
  <si>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</si>
  <si>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</si>
  <si>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</si>
  <si>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</si>
  <si>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</si>
  <si>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</si>
  <si>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</si>
  <si>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</si>
  <si>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</si>
  <si>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</si>
  <si>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</si>
  <si>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</si>
  <si>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</si>
  <si>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</si>
  <si>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</si>
  <si>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</si>
  <si>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</si>
  <si>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</si>
  <si>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</si>
  <si>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</si>
  <si>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</si>
  <si>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</si>
  <si>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</si>
  <si>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</si>
  <si>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</si>
  <si>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</si>
  <si>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</si>
  <si>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</si>
  <si>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</si>
  <si>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</si>
  <si>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</si>
  <si>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</si>
  <si>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</si>
  <si>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</si>
  <si>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</si>
  <si>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</si>
  <si>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</si>
  <si>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</si>
  <si>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</si>
  <si>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</si>
  <si>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</si>
  <si>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</si>
  <si>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</si>
  <si>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</si>
  <si>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</si>
  <si>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</si>
  <si>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</si>
  <si>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</si>
  <si>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</si>
  <si>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</si>
  <si>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</si>
  <si>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</si>
  <si>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</si>
  <si>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</si>
  <si>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</si>
  <si>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</si>
  <si>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</si>
  <si>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</si>
  <si>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</si>
  <si>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</si>
  <si>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</si>
  <si>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</si>
  <si>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</si>
  <si>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</si>
  <si>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</si>
  <si>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</si>
  <si>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</si>
  <si>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</si>
  <si>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</si>
  <si>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</si>
  <si>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</si>
  <si>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</si>
  <si>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</si>
  <si>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</si>
  <si>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</si>
  <si>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</si>
  <si>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</si>
  <si>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</si>
  <si>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</si>
  <si>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</si>
  <si>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</si>
  <si>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</si>
  <si>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</si>
  <si>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</si>
  <si>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</si>
  <si>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</si>
  <si>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</si>
  <si>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</si>
  <si>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</si>
  <si>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</si>
  <si>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</si>
  <si>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</si>
  <si>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</si>
  <si>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</si>
  <si>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</si>
  <si>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</si>
  <si>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</si>
  <si>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</si>
  <si>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</si>
  <si>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</si>
  <si>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</si>
  <si>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</si>
  <si>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</si>
  <si>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</si>
  <si>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</si>
  <si>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</si>
  <si>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</si>
  <si>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</si>
  <si>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</si>
  <si>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</si>
  <si>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</si>
  <si>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</si>
  <si>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</si>
  <si>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</si>
  <si>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</si>
  <si>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</si>
  <si>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</si>
  <si>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</si>
  <si>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</si>
  <si>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</si>
  <si>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</si>
  <si>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</si>
  <si>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</si>
  <si>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</si>
  <si>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</si>
  <si>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</si>
  <si>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</si>
  <si>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</si>
  <si>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</si>
  <si>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</si>
  <si>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</si>
  <si>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</si>
  <si>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</si>
  <si>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</si>
  <si>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</si>
  <si>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</si>
  <si>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</si>
  <si>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</si>
  <si>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</si>
  <si>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</si>
  <si>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</si>
  <si>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</si>
  <si>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</si>
  <si>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</si>
  <si>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</si>
  <si>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</si>
  <si>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</si>
  <si>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</si>
  <si>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</si>
  <si>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</si>
  <si>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</si>
  <si>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</si>
  <si>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</si>
  <si>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</si>
  <si>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</si>
  <si>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</si>
  <si>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</si>
  <si>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</si>
  <si>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</si>
  <si>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</si>
  <si>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</si>
  <si>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</si>
  <si>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</si>
  <si>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</si>
  <si>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</si>
  <si>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</si>
  <si>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</si>
  <si>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</si>
  <si>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</si>
  <si>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</si>
  <si>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</si>
  <si>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</si>
  <si>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</si>
  <si>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</si>
  <si>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</si>
  <si>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</si>
  <si>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</si>
  <si>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</si>
  <si>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</si>
  <si>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</si>
  <si>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</si>
  <si>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</si>
  <si>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</si>
  <si>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</si>
  <si>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</si>
  <si>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</si>
  <si>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</si>
  <si>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</si>
  <si>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</si>
  <si>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</si>
  <si>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</si>
  <si>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</si>
  <si>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</si>
  <si>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</si>
  <si>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</si>
  <si>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</si>
  <si>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</si>
  <si>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</si>
  <si>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</si>
  <si>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</si>
  <si>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</si>
  <si>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</si>
  <si>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</si>
  <si>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</si>
  <si>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</si>
  <si>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</si>
  <si>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</si>
  <si>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</si>
  <si>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</si>
  <si>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</si>
  <si>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</si>
  <si>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</si>
  <si>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</si>
  <si>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</si>
  <si>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</si>
  <si>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</si>
  <si>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</si>
  <si>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</si>
  <si>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</si>
  <si>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</si>
  <si>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</si>
  <si>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</si>
  <si>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</si>
  <si>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</si>
  <si>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</si>
  <si>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</si>
  <si>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</si>
  <si>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</si>
  <si>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</si>
  <si>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</si>
  <si>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</si>
  <si>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</si>
  <si>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</si>
  <si>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</si>
  <si>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</si>
  <si>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</si>
  <si>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</si>
  <si>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</si>
  <si>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</si>
  <si>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</si>
  <si>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</si>
  <si>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</si>
  <si>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</si>
  <si>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</si>
  <si>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</si>
  <si>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</si>
  <si>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</si>
  <si>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</si>
  <si>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</si>
  <si>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</si>
  <si>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</si>
  <si>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</si>
  <si>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</si>
  <si>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</si>
  <si>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</si>
  <si>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</si>
  <si>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</si>
  <si>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</si>
  <si>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</si>
  <si>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</si>
  <si>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</si>
  <si>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</si>
  <si>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</si>
  <si>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</si>
  <si>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</si>
  <si>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</si>
  <si>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</si>
  <si>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</si>
  <si>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</si>
  <si>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</si>
  <si>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</si>
  <si>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</si>
  <si>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</si>
  <si>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</si>
  <si>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</si>
  <si>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</si>
  <si>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</si>
  <si>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</si>
  <si>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</si>
  <si>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</si>
  <si>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</si>
  <si>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</si>
  <si>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</si>
  <si>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</si>
  <si>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</si>
  <si>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</si>
  <si>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</si>
  <si>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</si>
  <si>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</si>
  <si>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</si>
  <si>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</si>
  <si>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</si>
  <si>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</si>
  <si>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</si>
  <si>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</si>
  <si>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</si>
  <si>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</si>
  <si>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</si>
  <si>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</si>
  <si>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</si>
  <si>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</si>
  <si>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</si>
  <si>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</si>
  <si>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</si>
  <si>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</si>
  <si>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</si>
  <si>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</si>
  <si>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</si>
  <si>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</si>
  <si>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</si>
  <si>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</si>
  <si>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</si>
  <si>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</si>
  <si>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</si>
  <si>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</si>
  <si>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</si>
  <si>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</si>
  <si>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</si>
  <si>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</si>
  <si>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</si>
  <si>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</si>
  <si>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</si>
  <si>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</si>
  <si>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</si>
  <si>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</si>
  <si>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</si>
  <si>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</si>
  <si>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</si>
  <si>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</si>
  <si>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</si>
  <si>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</si>
  <si>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</si>
  <si>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</si>
  <si>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</si>
  <si>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</si>
  <si>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</si>
  <si>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</si>
  <si>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</si>
  <si>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</si>
  <si>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</si>
  <si>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</si>
  <si>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</si>
  <si>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</si>
  <si>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</si>
  <si>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</si>
  <si>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</si>
  <si>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</si>
  <si>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</si>
  <si>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</si>
  <si>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</si>
  <si>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</si>
  <si>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</si>
  <si>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</si>
  <si>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</si>
  <si>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</si>
  <si>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</si>
  <si>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</si>
  <si>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</si>
  <si>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</si>
  <si>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</si>
  <si>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</si>
  <si>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</si>
  <si>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</si>
  <si>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</si>
  <si>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</si>
  <si>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</si>
  <si>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</si>
  <si>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</si>
  <si>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</si>
  <si>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</si>
  <si>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</si>
  <si>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</si>
  <si>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</si>
  <si>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</si>
  <si>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</si>
  <si>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</si>
  <si>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</si>
  <si>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</si>
  <si>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</si>
  <si>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</si>
  <si>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</si>
  <si>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</si>
  <si>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</si>
  <si>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</si>
  <si>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</si>
  <si>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</si>
  <si>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</si>
  <si>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</si>
  <si>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</si>
  <si>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</si>
  <si>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</si>
  <si>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</si>
  <si>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</si>
  <si>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</si>
  <si>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</si>
  <si>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</si>
  <si>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</si>
  <si>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</si>
  <si>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</si>
  <si>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</si>
  <si>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</si>
  <si>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</si>
  <si>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</si>
  <si>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</si>
  <si>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</si>
  <si>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</si>
  <si>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</si>
  <si>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</si>
  <si>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</si>
  <si>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</si>
  <si>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</si>
  <si>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</si>
  <si>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</si>
  <si>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</si>
  <si>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</si>
  <si>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</si>
  <si>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</si>
  <si>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</si>
  <si>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</si>
  <si>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</si>
  <si>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</si>
  <si>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</si>
  <si>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</si>
  <si>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</si>
  <si>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</si>
  <si>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</si>
  <si>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</si>
  <si>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</si>
  <si>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</si>
  <si>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</si>
  <si>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</si>
  <si>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</si>
  <si>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</si>
  <si>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</si>
  <si>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</si>
  <si>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</si>
  <si>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</si>
  <si>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</si>
  <si>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</si>
  <si>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</si>
  <si>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</si>
  <si>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</si>
  <si>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</si>
  <si>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</si>
  <si>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</si>
  <si>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</si>
  <si>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</si>
  <si>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</si>
  <si>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</si>
  <si>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</si>
  <si>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</si>
  <si>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</si>
  <si>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</si>
  <si>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</si>
  <si>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</si>
  <si>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</si>
  <si>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</si>
  <si>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</si>
  <si>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</si>
  <si>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</si>
  <si>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</si>
  <si>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</si>
  <si>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</si>
  <si>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</si>
  <si>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</si>
  <si>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</si>
  <si>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</si>
  <si>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</si>
  <si>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</si>
  <si>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</si>
  <si>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</si>
  <si>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</si>
  <si>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</si>
  <si>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</si>
  <si>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</si>
  <si>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</si>
  <si>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</si>
  <si>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</si>
  <si>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</si>
  <si>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</si>
  <si>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</si>
  <si>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</si>
  <si>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</si>
  <si>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</si>
  <si>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</si>
  <si>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</si>
  <si>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</si>
  <si>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</si>
  <si>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</si>
  <si>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</si>
  <si>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</si>
  <si>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</si>
  <si>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</si>
  <si>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</si>
  <si>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</si>
  <si>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</si>
  <si>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</si>
  <si>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</si>
  <si>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</si>
  <si>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</si>
  <si>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</si>
  <si>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</si>
  <si>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</si>
  <si>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</si>
  <si>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</si>
  <si>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</si>
  <si>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</si>
  <si>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</si>
  <si>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</si>
  <si>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</si>
  <si>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</si>
  <si>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</si>
  <si>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</si>
  <si>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</si>
  <si>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</si>
  <si>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</si>
  <si>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</si>
  <si>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</si>
  <si>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</si>
  <si>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</si>
  <si>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</si>
  <si>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</si>
  <si>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</si>
  <si>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</si>
  <si>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</si>
  <si>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</si>
  <si>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</si>
  <si>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</si>
  <si>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</si>
  <si>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</si>
  <si>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</si>
  <si>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</si>
  <si>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</si>
  <si>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</si>
  <si>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</si>
  <si>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</si>
  <si>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</si>
  <si>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</si>
  <si>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</si>
  <si>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</si>
  <si>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</si>
  <si>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</si>
  <si>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</si>
  <si>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</si>
  <si>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</si>
  <si>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</si>
  <si>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</si>
  <si>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</si>
  <si>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</si>
  <si>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</si>
  <si>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</si>
  <si>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</si>
  <si>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</si>
  <si>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</si>
  <si>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</si>
  <si>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</si>
  <si>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</si>
  <si>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</si>
  <si>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</si>
  <si>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</si>
  <si>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</si>
  <si>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</si>
  <si>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</si>
  <si>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</si>
  <si>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</si>
  <si>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</si>
  <si>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</si>
  <si>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</si>
  <si>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</si>
  <si>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</si>
  <si>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</si>
  <si>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</si>
  <si>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</si>
  <si>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</si>
  <si>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</si>
  <si>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</si>
  <si>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</si>
  <si>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</si>
  <si>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</si>
  <si>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</si>
  <si>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</si>
  <si>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</si>
  <si>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</si>
  <si>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</si>
  <si>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</si>
  <si>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</si>
  <si>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</si>
  <si>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</si>
  <si>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</si>
  <si>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</si>
  <si>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</si>
  <si>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</si>
  <si>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</si>
  <si>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</si>
  <si>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</si>
  <si>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</si>
  <si>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</si>
  <si>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</si>
  <si>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</si>
  <si>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</si>
  <si>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</si>
  <si>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</si>
  <si>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</si>
  <si>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</si>
  <si>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</si>
  <si>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</si>
  <si>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</si>
  <si>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</si>
  <si>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</si>
  <si>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</si>
  <si>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</si>
  <si>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</si>
  <si>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</si>
  <si>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</si>
  <si>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</si>
  <si>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</si>
  <si>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</si>
  <si>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</si>
  <si>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</si>
  <si>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</si>
  <si>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</si>
  <si>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</si>
  <si>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</si>
  <si>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</si>
  <si>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</si>
  <si>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</si>
  <si>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</si>
  <si>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</si>
  <si>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</si>
  <si>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</si>
  <si>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</si>
  <si>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</si>
  <si>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</si>
  <si>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</si>
  <si>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</si>
  <si>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</si>
  <si>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</si>
  <si>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</si>
  <si>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</si>
  <si>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</si>
  <si>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</si>
  <si>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</si>
  <si>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</si>
  <si>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</si>
  <si>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</si>
  <si>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</si>
  <si>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</si>
  <si>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</si>
  <si>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</si>
  <si>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</si>
  <si>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</si>
  <si>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</si>
  <si>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</si>
  <si>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</si>
  <si>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</si>
  <si>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</si>
  <si>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</si>
  <si>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</si>
  <si>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</si>
  <si>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</si>
  <si>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</si>
  <si>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</si>
  <si>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</si>
  <si>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</si>
  <si>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</si>
  <si>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</si>
  <si>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</si>
  <si>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</si>
  <si>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</si>
  <si>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</si>
  <si>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</si>
  <si>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</si>
  <si>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</si>
  <si>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</si>
  <si>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</si>
  <si>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</si>
  <si>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</si>
  <si>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</si>
  <si>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</si>
  <si>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</si>
  <si>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</si>
  <si>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</si>
  <si>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</si>
  <si>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</si>
  <si>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</si>
  <si>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</si>
  <si>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</si>
  <si>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</si>
  <si>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</si>
  <si>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</si>
  <si>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</si>
  <si>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</si>
  <si>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</si>
  <si>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</si>
  <si>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</si>
  <si>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</si>
  <si>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</si>
  <si>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</si>
  <si>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</si>
  <si>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</si>
  <si>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</si>
  <si>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</si>
  <si>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</si>
  <si>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</si>
  <si>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</si>
  <si>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</si>
  <si>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</si>
  <si>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</si>
  <si>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</si>
  <si>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</si>
  <si>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</si>
  <si>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</si>
  <si>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</si>
  <si>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</si>
  <si>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</si>
  <si>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</si>
  <si>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</si>
  <si>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</si>
  <si>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</si>
  <si>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</si>
  <si>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</si>
  <si>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</si>
  <si>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</si>
  <si>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</si>
  <si>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</si>
  <si>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</si>
  <si>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</si>
  <si>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</si>
  <si>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</si>
  <si>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</si>
  <si>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</si>
  <si>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</si>
  <si>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</si>
  <si>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</si>
  <si>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</si>
  <si>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</si>
  <si>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</si>
  <si>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</si>
  <si>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</si>
  <si>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</si>
  <si>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</si>
  <si>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</si>
  <si>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</si>
  <si>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</si>
  <si>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</si>
  <si>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</si>
  <si>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</si>
  <si>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</si>
  <si>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</si>
  <si>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</si>
  <si>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</si>
  <si>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</si>
  <si>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</si>
  <si>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</si>
  <si>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</si>
  <si>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</si>
  <si>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</si>
  <si>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</si>
  <si>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</si>
  <si>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</si>
  <si>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</si>
  <si>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</si>
  <si>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</si>
  <si>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</si>
  <si>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</si>
  <si>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</si>
  <si>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</si>
  <si>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</si>
  <si>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</si>
  <si>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</si>
  <si>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</si>
  <si>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</si>
  <si>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</si>
  <si>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</si>
  <si>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</si>
  <si>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</si>
  <si>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</si>
  <si>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</si>
  <si>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</si>
  <si>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</si>
  <si>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</si>
  <si>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</si>
  <si>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</si>
  <si>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</si>
  <si>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</si>
  <si>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</si>
  <si>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</si>
  <si>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</si>
  <si>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</si>
  <si>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</si>
  <si>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</si>
  <si>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</si>
  <si>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</si>
  <si>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</si>
  <si>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</si>
  <si>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</si>
  <si>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</si>
  <si>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</si>
  <si>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</si>
  <si>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</si>
  <si>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</si>
  <si>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</si>
  <si>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</si>
  <si>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</si>
  <si>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</si>
  <si>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</si>
  <si>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</si>
  <si>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</si>
  <si>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</si>
  <si>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</si>
  <si>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</si>
  <si>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</si>
  <si>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</si>
  <si>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</si>
  <si>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</si>
  <si>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</si>
  <si>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</si>
  <si>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</si>
  <si>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</si>
  <si>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</si>
  <si>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</si>
  <si>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</si>
  <si>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</si>
  <si>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</si>
  <si>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</si>
  <si>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</si>
  <si>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</si>
  <si>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</si>
  <si>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</si>
  <si>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</si>
  <si>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</si>
  <si>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</si>
  <si>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</si>
  <si>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</si>
  <si>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</si>
  <si>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</si>
  <si>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</si>
  <si>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</si>
  <si>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</si>
  <si>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</si>
  <si>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</si>
  <si>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</si>
  <si>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</si>
  <si>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</si>
  <si>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</si>
  <si>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</si>
  <si>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</si>
  <si>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</si>
  <si>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</si>
  <si>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</si>
  <si>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</si>
  <si>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</si>
  <si>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</si>
  <si>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</si>
  <si>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</si>
  <si>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</si>
  <si>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</si>
  <si>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</si>
  <si>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</si>
  <si>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</si>
  <si>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</si>
  <si>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</si>
  <si>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</si>
  <si>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</si>
  <si>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</si>
  <si>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</si>
  <si>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</si>
  <si>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</si>
  <si>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</si>
  <si>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</si>
  <si>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</si>
  <si>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</si>
  <si>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</si>
  <si>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</si>
  <si>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</si>
  <si>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</si>
  <si>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</si>
  <si>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</si>
  <si>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</si>
  <si>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</si>
  <si>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</si>
  <si>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</si>
  <si>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</si>
  <si>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</si>
  <si>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</si>
  <si>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</si>
  <si>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</si>
  <si>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</si>
  <si>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</si>
  <si>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</si>
  <si>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</si>
  <si>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</si>
  <si>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</si>
  <si>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</si>
  <si>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</si>
  <si>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</si>
  <si>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</si>
  <si>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</si>
  <si>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</si>
  <si>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</si>
  <si>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</si>
  <si>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</si>
  <si>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</si>
  <si>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</si>
  <si>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</si>
  <si>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</si>
  <si>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</si>
  <si>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</si>
  <si>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</si>
  <si>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</si>
  <si>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</si>
  <si>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</si>
  <si>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</si>
  <si>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</si>
  <si>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</si>
  <si>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</si>
  <si>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</si>
  <si>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</si>
  <si>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</si>
  <si>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</si>
  <si>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</si>
  <si>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</si>
  <si>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</si>
  <si>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</si>
  <si>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</si>
  <si>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</si>
  <si>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</si>
  <si>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</si>
  <si>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</si>
  <si>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</si>
  <si>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</si>
  <si>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</si>
  <si>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</si>
  <si>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</si>
  <si>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</si>
  <si>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</si>
  <si>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</si>
  <si>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</si>
  <si>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</si>
  <si>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</si>
  <si>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</si>
  <si>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</si>
  <si>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</si>
  <si>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</si>
  <si>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</si>
  <si>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</si>
  <si>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</si>
  <si>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</si>
  <si>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</si>
  <si>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</si>
  <si>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</si>
  <si>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</si>
  <si>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</si>
  <si>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</si>
  <si>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</si>
  <si>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</si>
  <si>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</si>
  <si>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</si>
  <si>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</si>
  <si>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</si>
  <si>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</si>
  <si>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</si>
  <si>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</si>
  <si>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</si>
  <si>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</si>
  <si>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</si>
  <si>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</si>
  <si>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</si>
  <si>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</si>
  <si>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</si>
  <si>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</si>
  <si>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</si>
  <si>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</si>
  <si>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</si>
  <si>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</si>
  <si>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</si>
  <si>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</si>
  <si>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</si>
  <si>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</si>
  <si>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</si>
  <si>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</si>
  <si>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</si>
  <si>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</si>
  <si>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</si>
  <si>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</si>
  <si>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</si>
  <si>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</si>
  <si>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</si>
  <si>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</si>
  <si>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</si>
  <si>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</si>
  <si>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</si>
  <si>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</si>
  <si>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</si>
  <si>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</si>
  <si>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</si>
  <si>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</si>
  <si>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</si>
  <si>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</si>
  <si>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</si>
  <si>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</si>
  <si>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</si>
  <si>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</si>
  <si>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</si>
  <si>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</si>
  <si>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</si>
  <si>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</si>
  <si>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</si>
  <si>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</si>
  <si>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</si>
  <si>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</si>
  <si>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</si>
  <si>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</si>
  <si>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</si>
  <si>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</si>
  <si>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</si>
  <si>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</si>
  <si>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</si>
  <si>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</si>
  <si>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</si>
  <si>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</si>
  <si>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</si>
  <si>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</si>
  <si>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</si>
  <si>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</si>
  <si>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</si>
  <si>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</si>
  <si>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</si>
  <si>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</si>
  <si>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</si>
  <si>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</si>
  <si>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</si>
  <si>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</si>
  <si>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</si>
  <si>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</si>
  <si>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</si>
  <si>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</si>
  <si>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</si>
  <si>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</si>
  <si>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</si>
  <si>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</si>
  <si>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</si>
  <si>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</si>
  <si>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</si>
  <si>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</si>
  <si>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</si>
  <si>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</si>
  <si>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</si>
  <si>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</si>
  <si>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</si>
  <si>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</si>
  <si>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</si>
  <si>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</si>
  <si>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</si>
  <si>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</si>
  <si>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</si>
  <si>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</si>
  <si>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</si>
  <si>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</si>
  <si>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</si>
  <si>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</si>
  <si>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</si>
  <si>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</si>
  <si>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</si>
  <si>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</si>
  <si>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</si>
  <si>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</si>
  <si>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</si>
  <si>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</si>
  <si>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</si>
  <si>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</si>
  <si>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</si>
  <si>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</si>
  <si>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</si>
  <si>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</si>
  <si>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</si>
  <si>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</si>
  <si>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</si>
  <si>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</si>
  <si>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</si>
  <si>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</si>
  <si>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</si>
  <si>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</si>
  <si>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</si>
  <si>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</si>
  <si>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</si>
  <si>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</si>
  <si>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[0.319245]</t>
  </si>
  <si>
    <t>0 [0.729280]</t>
  </si>
  <si>
    <t>0 [1.135924]</t>
  </si>
  <si>
    <t>0 [1.557726]</t>
  </si>
  <si>
    <t>0 [1.938133]</t>
  </si>
  <si>
    <t>0 [2.346759]</t>
  </si>
  <si>
    <t>0 [2.763002]</t>
  </si>
  <si>
    <t>0 [3.160340]</t>
  </si>
  <si>
    <t>0 [3.568860]</t>
  </si>
  <si>
    <t>0 [3.975198]</t>
  </si>
  <si>
    <t>0 [4.387550]</t>
  </si>
  <si>
    <t>0 [4.781325]</t>
  </si>
  <si>
    <t>0 [5.187169]</t>
  </si>
  <si>
    <t>0 [5.603662]</t>
  </si>
  <si>
    <t>0 [6.010119]</t>
  </si>
  <si>
    <t>0 [6.409218]</t>
  </si>
  <si>
    <t>0 [6.825346]</t>
  </si>
  <si>
    <t>0 [7.220970]</t>
  </si>
  <si>
    <t>0 [7.631675]</t>
  </si>
  <si>
    <t>0 [8.032931]</t>
  </si>
  <si>
    <t>0 [8.443122]</t>
  </si>
  <si>
    <t>0 [8.848255]</t>
  </si>
  <si>
    <t>0 [9.273680]</t>
  </si>
  <si>
    <t>0 [9.673892]</t>
  </si>
  <si>
    <t>vision^MXPI^1^1^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</si>
</sst>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79.69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79.689925000000002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2.19984</c:v>
                </c:pt>
                <c:pt idx="1">
                  <c:v>2.2085599999999999</c:v>
                </c:pt>
                <c:pt idx="2">
                  <c:v>2.2170000000000001</c:v>
                </c:pt>
                <c:pt idx="3">
                  <c:v>2.2250100000000002</c:v>
                </c:pt>
                <c:pt idx="4">
                  <c:v>2.2336100000000001</c:v>
                </c:pt>
                <c:pt idx="5">
                  <c:v>2.2417199999999999</c:v>
                </c:pt>
                <c:pt idx="6">
                  <c:v>2.2503799999999998</c:v>
                </c:pt>
                <c:pt idx="7">
                  <c:v>2.25996</c:v>
                </c:pt>
                <c:pt idx="8">
                  <c:v>2.2701500000000001</c:v>
                </c:pt>
                <c:pt idx="9">
                  <c:v>2.2809200000000001</c:v>
                </c:pt>
                <c:pt idx="10">
                  <c:v>2.29189</c:v>
                </c:pt>
                <c:pt idx="11">
                  <c:v>2.3039399999999999</c:v>
                </c:pt>
                <c:pt idx="12">
                  <c:v>2.3172200000000003</c:v>
                </c:pt>
                <c:pt idx="13">
                  <c:v>2.33053</c:v>
                </c:pt>
                <c:pt idx="14">
                  <c:v>2.34484</c:v>
                </c:pt>
                <c:pt idx="15">
                  <c:v>2.3594999999999997</c:v>
                </c:pt>
                <c:pt idx="16">
                  <c:v>2.3755299999999999</c:v>
                </c:pt>
                <c:pt idx="17">
                  <c:v>2.3916599999999999</c:v>
                </c:pt>
                <c:pt idx="18">
                  <c:v>2.4045800000000002</c:v>
                </c:pt>
                <c:pt idx="19">
                  <c:v>2.41249</c:v>
                </c:pt>
                <c:pt idx="20">
                  <c:v>2.42035</c:v>
                </c:pt>
                <c:pt idx="21">
                  <c:v>2.4291700000000001</c:v>
                </c:pt>
                <c:pt idx="22">
                  <c:v>2.4368400000000001</c:v>
                </c:pt>
                <c:pt idx="23">
                  <c:v>2.4447800000000002</c:v>
                </c:pt>
                <c:pt idx="24">
                  <c:v>2.4514100000000001</c:v>
                </c:pt>
              </c:numCache>
            </c:numRef>
          </c:xVal>
          <c:yVal>
            <c:numRef>
              <c:f>[0]!FT_PH</c:f>
              <c:numCache>
                <c:formatCode>0.00</c:formatCode>
                <c:ptCount val="25"/>
                <c:pt idx="0">
                  <c:v>72.060299999999998</c:v>
                </c:pt>
                <c:pt idx="1">
                  <c:v>72.09</c:v>
                </c:pt>
                <c:pt idx="2">
                  <c:v>72.159399999999991</c:v>
                </c:pt>
                <c:pt idx="3">
                  <c:v>72.261499999999998</c:v>
                </c:pt>
                <c:pt idx="4">
                  <c:v>72.363799999999998</c:v>
                </c:pt>
                <c:pt idx="5">
                  <c:v>72.450800000000001</c:v>
                </c:pt>
                <c:pt idx="6">
                  <c:v>72.530199999999994</c:v>
                </c:pt>
                <c:pt idx="7">
                  <c:v>72.5839</c:v>
                </c:pt>
                <c:pt idx="8">
                  <c:v>72.612399999999994</c:v>
                </c:pt>
                <c:pt idx="9">
                  <c:v>72.649600000000007</c:v>
                </c:pt>
                <c:pt idx="10">
                  <c:v>72.6554</c:v>
                </c:pt>
                <c:pt idx="11">
                  <c:v>72.598100000000002</c:v>
                </c:pt>
                <c:pt idx="12">
                  <c:v>72.498599999999996</c:v>
                </c:pt>
                <c:pt idx="13">
                  <c:v>72.384099999999989</c:v>
                </c:pt>
                <c:pt idx="14">
                  <c:v>72.237899999999996</c:v>
                </c:pt>
                <c:pt idx="15">
                  <c:v>72.001499999999993</c:v>
                </c:pt>
                <c:pt idx="16">
                  <c:v>71.733499999999992</c:v>
                </c:pt>
                <c:pt idx="17">
                  <c:v>71.450100000000006</c:v>
                </c:pt>
                <c:pt idx="18">
                  <c:v>71.237300000000005</c:v>
                </c:pt>
                <c:pt idx="19">
                  <c:v>71.114000000000004</c:v>
                </c:pt>
                <c:pt idx="20">
                  <c:v>70.9482</c:v>
                </c:pt>
                <c:pt idx="21">
                  <c:v>70.714799999999997</c:v>
                </c:pt>
                <c:pt idx="22">
                  <c:v>70.494500000000002</c:v>
                </c:pt>
                <c:pt idx="23">
                  <c:v>70.332499999999996</c:v>
                </c:pt>
                <c:pt idx="24">
                  <c:v>70.186700000000002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2.2085599999999999</c:v>
                </c:pt>
                <c:pt idx="1">
                  <c:v>2.4291700000000001</c:v>
                </c:pt>
              </c:numCache>
            </c:numRef>
          </c:xVal>
          <c:yVal>
            <c:numRef>
              <c:f>info!$W$2:$W$3</c:f>
              <c:numCache>
                <c:formatCode>0.00</c:formatCode>
                <c:ptCount val="2"/>
                <c:pt idx="0">
                  <c:v>72.09</c:v>
                </c:pt>
                <c:pt idx="1">
                  <c:v>70.714799999999997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2.4514100000000001</c:v>
                </c:pt>
                <c:pt idx="1">
                  <c:v>2.29189</c:v>
                </c:pt>
              </c:numCache>
            </c:numRef>
          </c:xVal>
          <c:yVal>
            <c:numRef>
              <c:f>info!$W$15:$W$16</c:f>
              <c:numCache>
                <c:formatCode>0.00_ </c:formatCode>
                <c:ptCount val="2"/>
                <c:pt idx="0">
                  <c:v>70.186700000000002</c:v>
                </c:pt>
                <c:pt idx="1">
                  <c:v>72.6554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2.3240751999999998</c:v>
                </c:pt>
              </c:numCache>
            </c:numRef>
          </c:xVal>
          <c:yVal>
            <c:numRef>
              <c:f>info!$N$9</c:f>
              <c:numCache>
                <c:formatCode>0.0</c:formatCode>
                <c:ptCount val="1"/>
                <c:pt idx="0">
                  <c:v>71.853964000000005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20.5886</c:v>
                </c:pt>
                <c:pt idx="1">
                  <c:v>23.428899999999999</c:v>
                </c:pt>
                <c:pt idx="2">
                  <c:v>27.514500000000002</c:v>
                </c:pt>
                <c:pt idx="3">
                  <c:v>20.745799999999999</c:v>
                </c:pt>
                <c:pt idx="4">
                  <c:v>65.075900000000004</c:v>
                </c:pt>
                <c:pt idx="5">
                  <c:v>76.694599999999994</c:v>
                </c:pt>
                <c:pt idx="6">
                  <c:v>17.287500000000001</c:v>
                </c:pt>
                <c:pt idx="7">
                  <c:v>70.885199999999998</c:v>
                </c:pt>
                <c:pt idx="8">
                  <c:v>16.466200000000001</c:v>
                </c:pt>
                <c:pt idx="9">
                  <c:v>36.341900000000003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79.69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79.689925000000002</c:v>
                </c:pt>
                <c:pt idx="1">
                  <c:v>79.689925000000002</c:v>
                </c:pt>
                <c:pt idx="2">
                  <c:v>0</c:v>
                </c:pt>
              </c:numCache>
            </c:numRef>
          </c:xVal>
          <c:yVal>
            <c:numRef>
              <c:f>'R2'!$I$5:$I$7</c:f>
              <c:numCache>
                <c:formatCode>0.0_ </c:formatCode>
                <c:ptCount val="3"/>
                <c:pt idx="0">
                  <c:v>0</c:v>
                </c:pt>
                <c:pt idx="1">
                  <c:v>90.945133926159684</c:v>
                </c:pt>
                <c:pt idx="2">
                  <c:v>90.945133926159684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38.029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38.028666666666666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1.14086</c:v>
                </c:pt>
                <c:pt idx="1">
                  <c:v>1.14086</c:v>
                </c:pt>
                <c:pt idx="2">
                  <c:v>0</c:v>
                </c:pt>
              </c:numCache>
            </c:numRef>
          </c:xVal>
          <c:yVal>
            <c:numRef>
              <c:f>'R3'!$I$6:$I$8</c:f>
              <c:numCache>
                <c:formatCode>0.0_ </c:formatCode>
                <c:ptCount val="3"/>
                <c:pt idx="0">
                  <c:v>0</c:v>
                </c:pt>
                <c:pt idx="1">
                  <c:v>14.34725321184718</c:v>
                </c:pt>
                <c:pt idx="2">
                  <c:v>14.34725321184718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-0.37391551990368455</c:v>
                </c:pt>
                <c:pt idx="1">
                  <c:v>-0.37391551990368455</c:v>
                </c:pt>
                <c:pt idx="2">
                  <c:v>-7</c:v>
                </c:pt>
              </c:numCache>
            </c:numRef>
          </c:xVal>
          <c:yVal>
            <c:numRef>
              <c:f>'R'!$I$5:$I$7</c:f>
              <c:numCache>
                <c:formatCode>0.0_ </c:formatCode>
                <c:ptCount val="3"/>
                <c:pt idx="0">
                  <c:v>0</c:v>
                </c:pt>
                <c:pt idx="1">
                  <c:v>54.159168026066574</c:v>
                </c:pt>
                <c:pt idx="2">
                  <c:v>54.159168026066574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-0.37391551990368455</c:v>
                </c:pt>
              </c:numCache>
            </c:numRef>
          </c:xVal>
          <c:yVal>
            <c:numRef>
              <c:f>'R'!$I$4</c:f>
              <c:numCache>
                <c:formatCode>0.00_ </c:formatCode>
                <c:ptCount val="1"/>
                <c:pt idx="0">
                  <c:v>54.159168026066574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79.69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79.689925000000002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2.19984</c:v>
                </c:pt>
                <c:pt idx="1">
                  <c:v>2.2085599999999999</c:v>
                </c:pt>
                <c:pt idx="2">
                  <c:v>2.2170000000000001</c:v>
                </c:pt>
                <c:pt idx="3">
                  <c:v>2.2250100000000002</c:v>
                </c:pt>
                <c:pt idx="4">
                  <c:v>2.2336100000000001</c:v>
                </c:pt>
                <c:pt idx="5">
                  <c:v>2.2417199999999999</c:v>
                </c:pt>
                <c:pt idx="6">
                  <c:v>2.2503799999999998</c:v>
                </c:pt>
                <c:pt idx="7">
                  <c:v>2.25996</c:v>
                </c:pt>
                <c:pt idx="8">
                  <c:v>2.2701500000000001</c:v>
                </c:pt>
                <c:pt idx="9">
                  <c:v>2.2809200000000001</c:v>
                </c:pt>
                <c:pt idx="10">
                  <c:v>2.29189</c:v>
                </c:pt>
                <c:pt idx="11">
                  <c:v>2.3039399999999999</c:v>
                </c:pt>
                <c:pt idx="12">
                  <c:v>2.3172200000000003</c:v>
                </c:pt>
                <c:pt idx="13">
                  <c:v>2.33053</c:v>
                </c:pt>
                <c:pt idx="14">
                  <c:v>2.34484</c:v>
                </c:pt>
                <c:pt idx="15">
                  <c:v>2.3594999999999997</c:v>
                </c:pt>
                <c:pt idx="16">
                  <c:v>2.3755299999999999</c:v>
                </c:pt>
                <c:pt idx="17">
                  <c:v>2.3916599999999999</c:v>
                </c:pt>
                <c:pt idx="18">
                  <c:v>2.4045800000000002</c:v>
                </c:pt>
                <c:pt idx="19">
                  <c:v>2.41249</c:v>
                </c:pt>
                <c:pt idx="20">
                  <c:v>2.42035</c:v>
                </c:pt>
                <c:pt idx="21">
                  <c:v>2.4291700000000001</c:v>
                </c:pt>
                <c:pt idx="22">
                  <c:v>2.4368400000000001</c:v>
                </c:pt>
                <c:pt idx="23">
                  <c:v>2.4447800000000002</c:v>
                </c:pt>
                <c:pt idx="24">
                  <c:v>2.4514100000000001</c:v>
                </c:pt>
              </c:numCache>
            </c:numRef>
          </c:xVal>
          <c:yVal>
            <c:numRef>
              <c:f>[0]!FT_PH</c:f>
              <c:numCache>
                <c:formatCode>0.00</c:formatCode>
                <c:ptCount val="25"/>
                <c:pt idx="0">
                  <c:v>72.060299999999998</c:v>
                </c:pt>
                <c:pt idx="1">
                  <c:v>72.09</c:v>
                </c:pt>
                <c:pt idx="2">
                  <c:v>72.159399999999991</c:v>
                </c:pt>
                <c:pt idx="3">
                  <c:v>72.261499999999998</c:v>
                </c:pt>
                <c:pt idx="4">
                  <c:v>72.363799999999998</c:v>
                </c:pt>
                <c:pt idx="5">
                  <c:v>72.450800000000001</c:v>
                </c:pt>
                <c:pt idx="6">
                  <c:v>72.530199999999994</c:v>
                </c:pt>
                <c:pt idx="7">
                  <c:v>72.5839</c:v>
                </c:pt>
                <c:pt idx="8">
                  <c:v>72.612399999999994</c:v>
                </c:pt>
                <c:pt idx="9">
                  <c:v>72.649600000000007</c:v>
                </c:pt>
                <c:pt idx="10">
                  <c:v>72.6554</c:v>
                </c:pt>
                <c:pt idx="11">
                  <c:v>72.598100000000002</c:v>
                </c:pt>
                <c:pt idx="12">
                  <c:v>72.498599999999996</c:v>
                </c:pt>
                <c:pt idx="13">
                  <c:v>72.384099999999989</c:v>
                </c:pt>
                <c:pt idx="14">
                  <c:v>72.237899999999996</c:v>
                </c:pt>
                <c:pt idx="15">
                  <c:v>72.001499999999993</c:v>
                </c:pt>
                <c:pt idx="16">
                  <c:v>71.733499999999992</c:v>
                </c:pt>
                <c:pt idx="17">
                  <c:v>71.450100000000006</c:v>
                </c:pt>
                <c:pt idx="18">
                  <c:v>71.237300000000005</c:v>
                </c:pt>
                <c:pt idx="19">
                  <c:v>71.114000000000004</c:v>
                </c:pt>
                <c:pt idx="20">
                  <c:v>70.9482</c:v>
                </c:pt>
                <c:pt idx="21">
                  <c:v>70.714799999999997</c:v>
                </c:pt>
                <c:pt idx="22">
                  <c:v>70.494500000000002</c:v>
                </c:pt>
                <c:pt idx="23">
                  <c:v>70.332499999999996</c:v>
                </c:pt>
                <c:pt idx="24">
                  <c:v>70.186700000000002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2.2085599999999999</c:v>
                </c:pt>
                <c:pt idx="1">
                  <c:v>2.4291700000000001</c:v>
                </c:pt>
              </c:numCache>
            </c:numRef>
          </c:xVal>
          <c:yVal>
            <c:numRef>
              <c:f>info!$W$2:$W$3</c:f>
              <c:numCache>
                <c:formatCode>0.00</c:formatCode>
                <c:ptCount val="2"/>
                <c:pt idx="0">
                  <c:v>72.09</c:v>
                </c:pt>
                <c:pt idx="1">
                  <c:v>70.714799999999997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2.4514100000000001</c:v>
                </c:pt>
                <c:pt idx="1">
                  <c:v>2.29189</c:v>
                </c:pt>
              </c:numCache>
            </c:numRef>
          </c:xVal>
          <c:yVal>
            <c:numRef>
              <c:f>info!$W$15:$W$16</c:f>
              <c:numCache>
                <c:formatCode>0.00_ </c:formatCode>
                <c:ptCount val="2"/>
                <c:pt idx="0">
                  <c:v>70.186700000000002</c:v>
                </c:pt>
                <c:pt idx="1">
                  <c:v>72.6554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2.3240751999999998</c:v>
                </c:pt>
              </c:numCache>
            </c:numRef>
          </c:xVal>
          <c:yVal>
            <c:numRef>
              <c:f>info!$N$9</c:f>
              <c:numCache>
                <c:formatCode>0.0</c:formatCode>
                <c:ptCount val="1"/>
                <c:pt idx="0">
                  <c:v>71.853964000000005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20.5886</c:v>
                </c:pt>
                <c:pt idx="1">
                  <c:v>23.428899999999999</c:v>
                </c:pt>
                <c:pt idx="2">
                  <c:v>27.514500000000002</c:v>
                </c:pt>
                <c:pt idx="3">
                  <c:v>20.745799999999999</c:v>
                </c:pt>
                <c:pt idx="4">
                  <c:v>65.075900000000004</c:v>
                </c:pt>
                <c:pt idx="5">
                  <c:v>76.694599999999994</c:v>
                </c:pt>
                <c:pt idx="6">
                  <c:v>17.287500000000001</c:v>
                </c:pt>
                <c:pt idx="7">
                  <c:v>70.885199999999998</c:v>
                </c:pt>
                <c:pt idx="8">
                  <c:v>16.466200000000001</c:v>
                </c:pt>
                <c:pt idx="9">
                  <c:v>36.341900000000003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79.69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79.689925000000002</c:v>
                </c:pt>
                <c:pt idx="1">
                  <c:v>79.689925000000002</c:v>
                </c:pt>
                <c:pt idx="2">
                  <c:v>0</c:v>
                </c:pt>
              </c:numCache>
            </c:numRef>
          </c:xVal>
          <c:yVal>
            <c:numRef>
              <c:f>'R2'!$I$5:$I$7</c:f>
              <c:numCache>
                <c:formatCode>0.0_ </c:formatCode>
                <c:ptCount val="3"/>
                <c:pt idx="0">
                  <c:v>0</c:v>
                </c:pt>
                <c:pt idx="1">
                  <c:v>90.945133926159684</c:v>
                </c:pt>
                <c:pt idx="2">
                  <c:v>90.945133926159684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38.029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38.028666666666666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1.14086</c:v>
                </c:pt>
                <c:pt idx="1">
                  <c:v>1.14086</c:v>
                </c:pt>
                <c:pt idx="2">
                  <c:v>0</c:v>
                </c:pt>
              </c:numCache>
            </c:numRef>
          </c:xVal>
          <c:yVal>
            <c:numRef>
              <c:f>'R3'!$I$6:$I$8</c:f>
              <c:numCache>
                <c:formatCode>0.0_ </c:formatCode>
                <c:ptCount val="3"/>
                <c:pt idx="0">
                  <c:v>0</c:v>
                </c:pt>
                <c:pt idx="1">
                  <c:v>14.34725321184718</c:v>
                </c:pt>
                <c:pt idx="2">
                  <c:v>14.34725321184718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-0.37391551990368455</c:v>
                </c:pt>
                <c:pt idx="1">
                  <c:v>-0.37391551990368455</c:v>
                </c:pt>
                <c:pt idx="2">
                  <c:v>-7</c:v>
                </c:pt>
              </c:numCache>
            </c:numRef>
          </c:xVal>
          <c:yVal>
            <c:numRef>
              <c:f>'R'!$I$5:$I$7</c:f>
              <c:numCache>
                <c:formatCode>0.0_ </c:formatCode>
                <c:ptCount val="3"/>
                <c:pt idx="0">
                  <c:v>0</c:v>
                </c:pt>
                <c:pt idx="1">
                  <c:v>54.159168026066574</c:v>
                </c:pt>
                <c:pt idx="2">
                  <c:v>54.159168026066574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-0.37391551990368455</c:v>
                </c:pt>
              </c:numCache>
            </c:numRef>
          </c:xVal>
          <c:yVal>
            <c:numRef>
              <c:f>'R'!$I$4</c:f>
              <c:numCache>
                <c:formatCode>0.00_ </c:formatCode>
                <c:ptCount val="1"/>
                <c:pt idx="0">
                  <c:v>54.159168026066574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0.319245</c:v>
                </c:pt>
                <c:pt idx="2">
                  <c:v>0.72928000000000004</c:v>
                </c:pt>
                <c:pt idx="3">
                  <c:v>1.13592</c:v>
                </c:pt>
                <c:pt idx="4">
                  <c:v>1.5577300000000001</c:v>
                </c:pt>
                <c:pt idx="5">
                  <c:v>1.9381299999999999</c:v>
                </c:pt>
                <c:pt idx="6">
                  <c:v>2.3467600000000002</c:v>
                </c:pt>
                <c:pt idx="7">
                  <c:v>2.7629999999999999</c:v>
                </c:pt>
                <c:pt idx="8">
                  <c:v>3.1603400000000001</c:v>
                </c:pt>
                <c:pt idx="9">
                  <c:v>3.5688599999999999</c:v>
                </c:pt>
                <c:pt idx="10">
                  <c:v>3.9752000000000001</c:v>
                </c:pt>
                <c:pt idx="11">
                  <c:v>4.3875500000000001</c:v>
                </c:pt>
                <c:pt idx="12">
                  <c:v>4.78132</c:v>
                </c:pt>
                <c:pt idx="13">
                  <c:v>5.1871700000000001</c:v>
                </c:pt>
                <c:pt idx="14">
                  <c:v>5.6036599999999996</c:v>
                </c:pt>
                <c:pt idx="15">
                  <c:v>6.0101199999999997</c:v>
                </c:pt>
                <c:pt idx="16">
                  <c:v>6.4092200000000004</c:v>
                </c:pt>
                <c:pt idx="17">
                  <c:v>6.8253500000000003</c:v>
                </c:pt>
                <c:pt idx="18">
                  <c:v>7.2209700000000003</c:v>
                </c:pt>
                <c:pt idx="19">
                  <c:v>7.6316800000000002</c:v>
                </c:pt>
                <c:pt idx="20">
                  <c:v>8.0329300000000003</c:v>
                </c:pt>
                <c:pt idx="21">
                  <c:v>8.4431200000000004</c:v>
                </c:pt>
                <c:pt idx="22">
                  <c:v>8.8482599999999998</c:v>
                </c:pt>
                <c:pt idx="23">
                  <c:v>9.2736800000000006</c:v>
                </c:pt>
                <c:pt idx="24">
                  <c:v>9.6738900000000001</c:v>
                </c:pt>
              </c:numCache>
            </c:numRef>
          </c:xVal>
          <c:yVal>
            <c:numRef>
              <c:f>FT!$J$2:$J$2000</c:f>
              <c:numCache>
                <c:formatCode>General</c:formatCode>
                <c:ptCount val="1999"/>
                <c:pt idx="0">
                  <c:v>2.19984</c:v>
                </c:pt>
                <c:pt idx="1">
                  <c:v>2.2085599999999999</c:v>
                </c:pt>
                <c:pt idx="2">
                  <c:v>2.2170000000000001</c:v>
                </c:pt>
                <c:pt idx="3">
                  <c:v>2.2250100000000002</c:v>
                </c:pt>
                <c:pt idx="4">
                  <c:v>2.2336100000000001</c:v>
                </c:pt>
                <c:pt idx="5">
                  <c:v>2.2417199999999999</c:v>
                </c:pt>
                <c:pt idx="6">
                  <c:v>2.2503799999999998</c:v>
                </c:pt>
                <c:pt idx="7">
                  <c:v>2.25996</c:v>
                </c:pt>
                <c:pt idx="8">
                  <c:v>2.2701500000000001</c:v>
                </c:pt>
                <c:pt idx="9">
                  <c:v>2.2809200000000001</c:v>
                </c:pt>
                <c:pt idx="10">
                  <c:v>2.29189</c:v>
                </c:pt>
                <c:pt idx="11">
                  <c:v>2.3039399999999999</c:v>
                </c:pt>
                <c:pt idx="12">
                  <c:v>2.3172200000000003</c:v>
                </c:pt>
                <c:pt idx="13">
                  <c:v>2.33053</c:v>
                </c:pt>
                <c:pt idx="14">
                  <c:v>2.34484</c:v>
                </c:pt>
                <c:pt idx="15">
                  <c:v>2.3594999999999997</c:v>
                </c:pt>
                <c:pt idx="16">
                  <c:v>2.3755299999999999</c:v>
                </c:pt>
                <c:pt idx="17">
                  <c:v>2.3916599999999999</c:v>
                </c:pt>
                <c:pt idx="18">
                  <c:v>2.4045800000000002</c:v>
                </c:pt>
                <c:pt idx="19">
                  <c:v>2.41249</c:v>
                </c:pt>
                <c:pt idx="20">
                  <c:v>2.42035</c:v>
                </c:pt>
                <c:pt idx="21">
                  <c:v>2.4291700000000001</c:v>
                </c:pt>
                <c:pt idx="22">
                  <c:v>2.4368400000000001</c:v>
                </c:pt>
                <c:pt idx="23">
                  <c:v>2.4447800000000002</c:v>
                </c:pt>
                <c:pt idx="24">
                  <c:v>2.4514100000000001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2.19984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2.19984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2.19984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2.19984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2.19984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2.19984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2.19984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2.19984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2.19984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2.19984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2.19984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2.19984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2.19984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2.19984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2.19984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2.19984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2.19984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2.19984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2.19984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2.19984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2.19984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2.19984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2.19984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2.19984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0.319245</c:v>
                </c:pt>
                <c:pt idx="2">
                  <c:v>0.72928000000000004</c:v>
                </c:pt>
                <c:pt idx="3">
                  <c:v>1.13592</c:v>
                </c:pt>
                <c:pt idx="4">
                  <c:v>1.5577300000000001</c:v>
                </c:pt>
                <c:pt idx="5">
                  <c:v>1.9381299999999999</c:v>
                </c:pt>
                <c:pt idx="6">
                  <c:v>2.3467600000000002</c:v>
                </c:pt>
                <c:pt idx="7">
                  <c:v>2.7629999999999999</c:v>
                </c:pt>
                <c:pt idx="8">
                  <c:v>3.1603400000000001</c:v>
                </c:pt>
                <c:pt idx="9">
                  <c:v>3.5688599999999999</c:v>
                </c:pt>
                <c:pt idx="10">
                  <c:v>3.9752000000000001</c:v>
                </c:pt>
                <c:pt idx="11">
                  <c:v>4.3875500000000001</c:v>
                </c:pt>
                <c:pt idx="12">
                  <c:v>4.78132</c:v>
                </c:pt>
                <c:pt idx="13">
                  <c:v>5.1871700000000001</c:v>
                </c:pt>
                <c:pt idx="14">
                  <c:v>5.6036599999999996</c:v>
                </c:pt>
                <c:pt idx="15">
                  <c:v>6.0101199999999997</c:v>
                </c:pt>
                <c:pt idx="16">
                  <c:v>6.4092200000000004</c:v>
                </c:pt>
                <c:pt idx="17">
                  <c:v>6.8253500000000003</c:v>
                </c:pt>
                <c:pt idx="18">
                  <c:v>7.2209700000000003</c:v>
                </c:pt>
                <c:pt idx="19">
                  <c:v>7.6316800000000002</c:v>
                </c:pt>
                <c:pt idx="20">
                  <c:v>8.0329300000000003</c:v>
                </c:pt>
                <c:pt idx="21">
                  <c:v>8.4431200000000004</c:v>
                </c:pt>
                <c:pt idx="22">
                  <c:v>8.8482599999999998</c:v>
                </c:pt>
                <c:pt idx="23">
                  <c:v>9.2736800000000006</c:v>
                </c:pt>
                <c:pt idx="24">
                  <c:v>9.6738900000000001</c:v>
                </c:pt>
              </c:numCache>
            </c:numRef>
          </c:xVal>
          <c:yVal>
            <c:numRef>
              <c:f>FT!$K$2:$K$2000</c:f>
              <c:numCache>
                <c:formatCode>General</c:formatCode>
                <c:ptCount val="1999"/>
                <c:pt idx="0">
                  <c:v>72.060299999999998</c:v>
                </c:pt>
                <c:pt idx="1">
                  <c:v>72.09</c:v>
                </c:pt>
                <c:pt idx="2">
                  <c:v>72.159399999999991</c:v>
                </c:pt>
                <c:pt idx="3">
                  <c:v>72.261499999999998</c:v>
                </c:pt>
                <c:pt idx="4">
                  <c:v>72.363799999999998</c:v>
                </c:pt>
                <c:pt idx="5">
                  <c:v>72.450800000000001</c:v>
                </c:pt>
                <c:pt idx="6">
                  <c:v>72.530199999999994</c:v>
                </c:pt>
                <c:pt idx="7">
                  <c:v>72.5839</c:v>
                </c:pt>
                <c:pt idx="8">
                  <c:v>72.612399999999994</c:v>
                </c:pt>
                <c:pt idx="9">
                  <c:v>72.649600000000007</c:v>
                </c:pt>
                <c:pt idx="10">
                  <c:v>72.6554</c:v>
                </c:pt>
                <c:pt idx="11">
                  <c:v>72.598100000000002</c:v>
                </c:pt>
                <c:pt idx="12">
                  <c:v>72.498599999999996</c:v>
                </c:pt>
                <c:pt idx="13">
                  <c:v>72.384099999999989</c:v>
                </c:pt>
                <c:pt idx="14">
                  <c:v>72.237899999999996</c:v>
                </c:pt>
                <c:pt idx="15">
                  <c:v>72.001499999999993</c:v>
                </c:pt>
                <c:pt idx="16">
                  <c:v>71.733499999999992</c:v>
                </c:pt>
                <c:pt idx="17">
                  <c:v>71.450100000000006</c:v>
                </c:pt>
                <c:pt idx="18">
                  <c:v>71.237300000000005</c:v>
                </c:pt>
                <c:pt idx="19">
                  <c:v>71.114000000000004</c:v>
                </c:pt>
                <c:pt idx="20">
                  <c:v>70.9482</c:v>
                </c:pt>
                <c:pt idx="21">
                  <c:v>70.714799999999997</c:v>
                </c:pt>
                <c:pt idx="22">
                  <c:v>70.494500000000002</c:v>
                </c:pt>
                <c:pt idx="23">
                  <c:v>70.332499999999996</c:v>
                </c:pt>
                <c:pt idx="24">
                  <c:v>70.186700000000002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72.060299999999998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72.060299999999998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72.060299999999998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72.060299999999998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72.060299999999998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72.060299999999998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72.060299999999998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72.060299999999998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72.060299999999998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72.060299999999998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72.060299999999998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72.060299999999998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72.060299999999998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72.060299999999998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72.060299999999998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72.060299999999998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72.060299999999998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72.060299999999998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72.060299999999998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72.060299999999998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72.060299999999998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72.060299999999998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72.060299999999998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72.060299999999998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0.319245</c:v>
                </c:pt>
                <c:pt idx="2">
                  <c:v>0.72928000000000004</c:v>
                </c:pt>
                <c:pt idx="3">
                  <c:v>1.13592</c:v>
                </c:pt>
                <c:pt idx="4">
                  <c:v>1.5577300000000001</c:v>
                </c:pt>
                <c:pt idx="5">
                  <c:v>1.9381299999999999</c:v>
                </c:pt>
                <c:pt idx="6">
                  <c:v>2.3467600000000002</c:v>
                </c:pt>
                <c:pt idx="7">
                  <c:v>2.7629999999999999</c:v>
                </c:pt>
                <c:pt idx="8">
                  <c:v>3.1603400000000001</c:v>
                </c:pt>
                <c:pt idx="9">
                  <c:v>3.5688599999999999</c:v>
                </c:pt>
                <c:pt idx="10">
                  <c:v>3.9752000000000001</c:v>
                </c:pt>
                <c:pt idx="11">
                  <c:v>4.3875500000000001</c:v>
                </c:pt>
                <c:pt idx="12">
                  <c:v>4.78132</c:v>
                </c:pt>
                <c:pt idx="13">
                  <c:v>5.1871700000000001</c:v>
                </c:pt>
                <c:pt idx="14">
                  <c:v>5.6036599999999996</c:v>
                </c:pt>
                <c:pt idx="15">
                  <c:v>6.0101199999999997</c:v>
                </c:pt>
                <c:pt idx="16">
                  <c:v>6.4092200000000004</c:v>
                </c:pt>
                <c:pt idx="17">
                  <c:v>6.8253500000000003</c:v>
                </c:pt>
                <c:pt idx="18">
                  <c:v>7.2209700000000003</c:v>
                </c:pt>
                <c:pt idx="19">
                  <c:v>7.6316800000000002</c:v>
                </c:pt>
                <c:pt idx="20">
                  <c:v>8.0329300000000003</c:v>
                </c:pt>
                <c:pt idx="21">
                  <c:v>8.4431200000000004</c:v>
                </c:pt>
                <c:pt idx="22">
                  <c:v>8.8482599999999998</c:v>
                </c:pt>
                <c:pt idx="23">
                  <c:v>9.2736800000000006</c:v>
                </c:pt>
                <c:pt idx="24">
                  <c:v>9.6738900000000001</c:v>
                </c:pt>
              </c:numCache>
            </c:numRef>
          </c:xVal>
          <c:yVal>
            <c:numRef>
              <c:f>FT!$L$2:$L$2000</c:f>
              <c:numCache>
                <c:formatCode>General</c:formatCode>
                <c:ptCount val="1999"/>
                <c:pt idx="0">
                  <c:v>32.757064150120009</c:v>
                </c:pt>
                <c:pt idx="1">
                  <c:v>32.641177962111065</c:v>
                </c:pt>
                <c:pt idx="2">
                  <c:v>32.548218313035626</c:v>
                </c:pt>
                <c:pt idx="3">
                  <c:v>32.47693268794297</c:v>
                </c:pt>
                <c:pt idx="4">
                  <c:v>32.39768804760007</c:v>
                </c:pt>
                <c:pt idx="5">
                  <c:v>32.319290544760271</c:v>
                </c:pt>
                <c:pt idx="6">
                  <c:v>32.230201121588351</c:v>
                </c:pt>
                <c:pt idx="7">
                  <c:v>32.117338359970972</c:v>
                </c:pt>
                <c:pt idx="8">
                  <c:v>31.985727815342596</c:v>
                </c:pt>
                <c:pt idx="9">
                  <c:v>31.851007488206516</c:v>
                </c:pt>
                <c:pt idx="10">
                  <c:v>31.701085130612725</c:v>
                </c:pt>
                <c:pt idx="11">
                  <c:v>31.510412597550285</c:v>
                </c:pt>
                <c:pt idx="12">
                  <c:v>31.286886873063406</c:v>
                </c:pt>
                <c:pt idx="13">
                  <c:v>31.059072399840375</c:v>
                </c:pt>
                <c:pt idx="14">
                  <c:v>30.80717660906501</c:v>
                </c:pt>
                <c:pt idx="15">
                  <c:v>30.515575333757152</c:v>
                </c:pt>
                <c:pt idx="16">
                  <c:v>30.196840284062922</c:v>
                </c:pt>
                <c:pt idx="17">
                  <c:v>29.874689546172956</c:v>
                </c:pt>
                <c:pt idx="18">
                  <c:v>29.625672674645884</c:v>
                </c:pt>
                <c:pt idx="19">
                  <c:v>29.477427885711446</c:v>
                </c:pt>
                <c:pt idx="20">
                  <c:v>29.313198504348545</c:v>
                </c:pt>
                <c:pt idx="21">
                  <c:v>29.110683896145595</c:v>
                </c:pt>
                <c:pt idx="22">
                  <c:v>28.928653502076457</c:v>
                </c:pt>
                <c:pt idx="23">
                  <c:v>28.768437241796804</c:v>
                </c:pt>
                <c:pt idx="24">
                  <c:v>28.631155131128615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2.2100668545223493E-3</c:v>
                </c:pt>
                <c:pt idx="17">
                  <c:v>0</c:v>
                </c:pt>
                <c:pt idx="18">
                  <c:v>0</c:v>
                </c:pt>
                <c:pt idx="19">
                  <c:v>4.0183033718588163E-3</c:v>
                </c:pt>
                <c:pt idx="20">
                  <c:v>0</c:v>
                </c:pt>
                <c:pt idx="21">
                  <c:v>0</c:v>
                </c:pt>
                <c:pt idx="22">
                  <c:v>0</c:v>
                </c:pt>
                <c:pt idx="23">
                  <c:v>0</c:v>
                </c:pt>
                <c:pt idx="24">
                  <c:v>1.7412647944721538E-3</c:v>
                </c:pt>
                <c:pt idx="25">
                  <c:v>0</c:v>
                </c:pt>
                <c:pt idx="26">
                  <c:v>1.6742930716078405E-2</c:v>
                </c:pt>
                <c:pt idx="27">
                  <c:v>0</c:v>
                </c:pt>
                <c:pt idx="28">
                  <c:v>0</c:v>
                </c:pt>
                <c:pt idx="29">
                  <c:v>6.3556164998233619E-2</c:v>
                </c:pt>
                <c:pt idx="30">
                  <c:v>0</c:v>
                </c:pt>
                <c:pt idx="31">
                  <c:v>7.8981929354878133E-2</c:v>
                </c:pt>
                <c:pt idx="32">
                  <c:v>0</c:v>
                </c:pt>
                <c:pt idx="33">
                  <c:v>0</c:v>
                </c:pt>
                <c:pt idx="34">
                  <c:v>0.16709444854646247</c:v>
                </c:pt>
                <c:pt idx="35">
                  <c:v>0</c:v>
                </c:pt>
                <c:pt idx="36">
                  <c:v>0</c:v>
                </c:pt>
                <c:pt idx="37">
                  <c:v>0.16908183442246097</c:v>
                </c:pt>
                <c:pt idx="38">
                  <c:v>0</c:v>
                </c:pt>
                <c:pt idx="39">
                  <c:v>0.21872964687484828</c:v>
                </c:pt>
                <c:pt idx="40">
                  <c:v>0</c:v>
                </c:pt>
                <c:pt idx="41">
                  <c:v>0</c:v>
                </c:pt>
                <c:pt idx="42">
                  <c:v>0.23960305859858322</c:v>
                </c:pt>
                <c:pt idx="43">
                  <c:v>0</c:v>
                </c:pt>
                <c:pt idx="44">
                  <c:v>0.50007785462782972</c:v>
                </c:pt>
                <c:pt idx="45">
                  <c:v>0</c:v>
                </c:pt>
                <c:pt idx="46">
                  <c:v>0</c:v>
                </c:pt>
                <c:pt idx="47">
                  <c:v>0.67878017703974936</c:v>
                </c:pt>
                <c:pt idx="48">
                  <c:v>0</c:v>
                </c:pt>
                <c:pt idx="49">
                  <c:v>1</c:v>
                </c:pt>
                <c:pt idx="50">
                  <c:v>0</c:v>
                </c:pt>
                <c:pt idx="51">
                  <c:v>0</c:v>
                </c:pt>
                <c:pt idx="52">
                  <c:v>0.86659232805428721</c:v>
                </c:pt>
                <c:pt idx="53">
                  <c:v>0</c:v>
                </c:pt>
                <c:pt idx="54">
                  <c:v>0</c:v>
                </c:pt>
                <c:pt idx="55">
                  <c:v>0.83833026100554697</c:v>
                </c:pt>
                <c:pt idx="56">
                  <c:v>0</c:v>
                </c:pt>
                <c:pt idx="57">
                  <c:v>0.84607554075480473</c:v>
                </c:pt>
                <c:pt idx="58">
                  <c:v>0</c:v>
                </c:pt>
                <c:pt idx="59">
                  <c:v>0</c:v>
                </c:pt>
                <c:pt idx="60">
                  <c:v>0.73010395685681606</c:v>
                </c:pt>
                <c:pt idx="61">
                  <c:v>0</c:v>
                </c:pt>
                <c:pt idx="62">
                  <c:v>0.65364401515570081</c:v>
                </c:pt>
                <c:pt idx="63">
                  <c:v>0</c:v>
                </c:pt>
                <c:pt idx="64">
                  <c:v>0</c:v>
                </c:pt>
                <c:pt idx="65">
                  <c:v>0.66469434942831263</c:v>
                </c:pt>
                <c:pt idx="66">
                  <c:v>0</c:v>
                </c:pt>
                <c:pt idx="67">
                  <c:v>0.42297163580107389</c:v>
                </c:pt>
                <c:pt idx="68">
                  <c:v>0</c:v>
                </c:pt>
                <c:pt idx="69">
                  <c:v>0</c:v>
                </c:pt>
                <c:pt idx="70">
                  <c:v>0.31347286891792114</c:v>
                </c:pt>
                <c:pt idx="71">
                  <c:v>0</c:v>
                </c:pt>
                <c:pt idx="72">
                  <c:v>0</c:v>
                </c:pt>
                <c:pt idx="73">
                  <c:v>0.35771773762822995</c:v>
                </c:pt>
                <c:pt idx="74">
                  <c:v>0</c:v>
                </c:pt>
                <c:pt idx="75">
                  <c:v>0.34570803342558687</c:v>
                </c:pt>
                <c:pt idx="76">
                  <c:v>0</c:v>
                </c:pt>
                <c:pt idx="77">
                  <c:v>0</c:v>
                </c:pt>
                <c:pt idx="78">
                  <c:v>0.28746440034356491</c:v>
                </c:pt>
                <c:pt idx="79">
                  <c:v>0</c:v>
                </c:pt>
                <c:pt idx="80">
                  <c:v>0.26670316625562773</c:v>
                </c:pt>
                <c:pt idx="81">
                  <c:v>0</c:v>
                </c:pt>
                <c:pt idx="82">
                  <c:v>0</c:v>
                </c:pt>
                <c:pt idx="83">
                  <c:v>0.17117972364118561</c:v>
                </c:pt>
                <c:pt idx="84">
                  <c:v>0</c:v>
                </c:pt>
                <c:pt idx="85">
                  <c:v>0</c:v>
                </c:pt>
                <c:pt idx="86">
                  <c:v>0.10360525527109316</c:v>
                </c:pt>
                <c:pt idx="87">
                  <c:v>0</c:v>
                </c:pt>
                <c:pt idx="88">
                  <c:v>0.22808392226592128</c:v>
                </c:pt>
                <c:pt idx="89">
                  <c:v>0</c:v>
                </c:pt>
                <c:pt idx="90">
                  <c:v>0</c:v>
                </c:pt>
                <c:pt idx="91">
                  <c:v>0.12083925614507414</c:v>
                </c:pt>
                <c:pt idx="92">
                  <c:v>0</c:v>
                </c:pt>
                <c:pt idx="93">
                  <c:v>8.3558442036810995E-2</c:v>
                </c:pt>
                <c:pt idx="94">
                  <c:v>0</c:v>
                </c:pt>
                <c:pt idx="95">
                  <c:v>0</c:v>
                </c:pt>
                <c:pt idx="96">
                  <c:v>8.5723805266321423E-2</c:v>
                </c:pt>
                <c:pt idx="97">
                  <c:v>0</c:v>
                </c:pt>
                <c:pt idx="98">
                  <c:v>1.6742930716078405E-2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0.47429368668764504</c:v>
                </c:pt>
                <c:pt idx="4">
                  <c:v>0</c:v>
                </c:pt>
                <c:pt idx="5">
                  <c:v>0</c:v>
                </c:pt>
                <c:pt idx="6">
                  <c:v>0.57787031895145902</c:v>
                </c:pt>
                <c:pt idx="7">
                  <c:v>0</c:v>
                </c:pt>
                <c:pt idx="8">
                  <c:v>0.68396627292189871</c:v>
                </c:pt>
                <c:pt idx="9">
                  <c:v>0</c:v>
                </c:pt>
                <c:pt idx="10">
                  <c:v>0</c:v>
                </c:pt>
                <c:pt idx="11">
                  <c:v>0.916425069320281</c:v>
                </c:pt>
                <c:pt idx="12">
                  <c:v>0</c:v>
                </c:pt>
                <c:pt idx="13">
                  <c:v>1</c:v>
                </c:pt>
                <c:pt idx="14">
                  <c:v>0</c:v>
                </c:pt>
                <c:pt idx="15">
                  <c:v>0</c:v>
                </c:pt>
                <c:pt idx="16">
                  <c:v>0.97785024849788615</c:v>
                </c:pt>
                <c:pt idx="17">
                  <c:v>0</c:v>
                </c:pt>
                <c:pt idx="18">
                  <c:v>0</c:v>
                </c:pt>
                <c:pt idx="19">
                  <c:v>0.9661786713421614</c:v>
                </c:pt>
                <c:pt idx="20">
                  <c:v>0</c:v>
                </c:pt>
                <c:pt idx="21">
                  <c:v>0.9717772976036152</c:v>
                </c:pt>
                <c:pt idx="22">
                  <c:v>0</c:v>
                </c:pt>
                <c:pt idx="23">
                  <c:v>0</c:v>
                </c:pt>
                <c:pt idx="24">
                  <c:v>0.95320767497079451</c:v>
                </c:pt>
                <c:pt idx="25">
                  <c:v>0</c:v>
                </c:pt>
                <c:pt idx="26">
                  <c:v>0.93785878355672192</c:v>
                </c:pt>
                <c:pt idx="27">
                  <c:v>0</c:v>
                </c:pt>
                <c:pt idx="28">
                  <c:v>0</c:v>
                </c:pt>
                <c:pt idx="29">
                  <c:v>0.90969785850174212</c:v>
                </c:pt>
                <c:pt idx="30">
                  <c:v>0</c:v>
                </c:pt>
                <c:pt idx="31">
                  <c:v>0.8419433792036024</c:v>
                </c:pt>
                <c:pt idx="32">
                  <c:v>0</c:v>
                </c:pt>
                <c:pt idx="33">
                  <c:v>0</c:v>
                </c:pt>
                <c:pt idx="34">
                  <c:v>0.74937826301501775</c:v>
                </c:pt>
                <c:pt idx="35">
                  <c:v>0</c:v>
                </c:pt>
                <c:pt idx="36">
                  <c:v>0</c:v>
                </c:pt>
                <c:pt idx="37">
                  <c:v>0.66912414620626859</c:v>
                </c:pt>
                <c:pt idx="38">
                  <c:v>0</c:v>
                </c:pt>
                <c:pt idx="39">
                  <c:v>0.56706504558243598</c:v>
                </c:pt>
                <c:pt idx="40">
                  <c:v>0</c:v>
                </c:pt>
                <c:pt idx="41">
                  <c:v>0</c:v>
                </c:pt>
                <c:pt idx="42">
                  <c:v>0.47737292052361607</c:v>
                </c:pt>
                <c:pt idx="43">
                  <c:v>0</c:v>
                </c:pt>
                <c:pt idx="44">
                  <c:v>0.37592670487285323</c:v>
                </c:pt>
                <c:pt idx="45">
                  <c:v>0</c:v>
                </c:pt>
                <c:pt idx="46">
                  <c:v>0</c:v>
                </c:pt>
                <c:pt idx="47">
                  <c:v>0.28834435978066392</c:v>
                </c:pt>
                <c:pt idx="48">
                  <c:v>0</c:v>
                </c:pt>
                <c:pt idx="49">
                  <c:v>0.21488806877900327</c:v>
                </c:pt>
                <c:pt idx="50">
                  <c:v>0</c:v>
                </c:pt>
                <c:pt idx="51">
                  <c:v>0</c:v>
                </c:pt>
                <c:pt idx="52">
                  <c:v>0.17066522943555201</c:v>
                </c:pt>
                <c:pt idx="53">
                  <c:v>0</c:v>
                </c:pt>
                <c:pt idx="54">
                  <c:v>0</c:v>
                </c:pt>
                <c:pt idx="55">
                  <c:v>0.142413037275852</c:v>
                </c:pt>
                <c:pt idx="56">
                  <c:v>0</c:v>
                </c:pt>
                <c:pt idx="57">
                  <c:v>0.12434437155535356</c:v>
                </c:pt>
                <c:pt idx="58">
                  <c:v>0</c:v>
                </c:pt>
                <c:pt idx="59">
                  <c:v>0</c:v>
                </c:pt>
                <c:pt idx="60">
                  <c:v>0.10050623165505891</c:v>
                </c:pt>
                <c:pt idx="61">
                  <c:v>0</c:v>
                </c:pt>
                <c:pt idx="62">
                  <c:v>8.7417346949288627E-2</c:v>
                </c:pt>
                <c:pt idx="63">
                  <c:v>0</c:v>
                </c:pt>
                <c:pt idx="64">
                  <c:v>0</c:v>
                </c:pt>
                <c:pt idx="65">
                  <c:v>8.2735166354022283E-2</c:v>
                </c:pt>
                <c:pt idx="66">
                  <c:v>0</c:v>
                </c:pt>
                <c:pt idx="67">
                  <c:v>6.8862486877839871E-2</c:v>
                </c:pt>
                <c:pt idx="68">
                  <c:v>0</c:v>
                </c:pt>
                <c:pt idx="69">
                  <c:v>0</c:v>
                </c:pt>
                <c:pt idx="70">
                  <c:v>5.82546605571998E-2</c:v>
                </c:pt>
                <c:pt idx="71">
                  <c:v>0</c:v>
                </c:pt>
                <c:pt idx="72">
                  <c:v>0</c:v>
                </c:pt>
                <c:pt idx="73">
                  <c:v>5.0923466501699613E-2</c:v>
                </c:pt>
                <c:pt idx="74">
                  <c:v>0</c:v>
                </c:pt>
                <c:pt idx="75">
                  <c:v>4.1084707749528361E-2</c:v>
                </c:pt>
                <c:pt idx="76">
                  <c:v>0</c:v>
                </c:pt>
                <c:pt idx="77">
                  <c:v>0</c:v>
                </c:pt>
                <c:pt idx="78">
                  <c:v>2.9840411717052037E-2</c:v>
                </c:pt>
                <c:pt idx="79">
                  <c:v>0</c:v>
                </c:pt>
                <c:pt idx="80">
                  <c:v>1.7794632360088786E-2</c:v>
                </c:pt>
                <c:pt idx="81">
                  <c:v>0</c:v>
                </c:pt>
                <c:pt idx="82">
                  <c:v>0</c:v>
                </c:pt>
                <c:pt idx="83">
                  <c:v>1.1397521695672354E-2</c:v>
                </c:pt>
                <c:pt idx="84">
                  <c:v>0</c:v>
                </c:pt>
                <c:pt idx="85">
                  <c:v>0</c:v>
                </c:pt>
                <c:pt idx="86">
                  <c:v>4.8442416956426511E-3</c:v>
                </c:pt>
                <c:pt idx="87">
                  <c:v>0</c:v>
                </c:pt>
                <c:pt idx="88">
                  <c:v>2.5252532507458489E-3</c:v>
                </c:pt>
                <c:pt idx="89">
                  <c:v>0</c:v>
                </c:pt>
                <c:pt idx="90">
                  <c:v>0</c:v>
                </c:pt>
                <c:pt idx="91">
                  <c:v>1.1550753988761209E-3</c:v>
                </c:pt>
                <c:pt idx="92">
                  <c:v>0</c:v>
                </c:pt>
                <c:pt idx="93">
                  <c:v>5.068177375852263E-4</c:v>
                </c:pt>
                <c:pt idx="94">
                  <c:v>0</c:v>
                </c:pt>
                <c:pt idx="95">
                  <c:v>0</c:v>
                </c:pt>
                <c:pt idx="96">
                  <c:v>3.0939499880929341E-4</c:v>
                </c:pt>
                <c:pt idx="97">
                  <c:v>0</c:v>
                </c:pt>
                <c:pt idx="98">
                  <c:v>4.4199285544184768E-5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(66.2 , 14.3)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66.155604858619128</c:v>
                </c:pt>
              </c:numCache>
            </c:numRef>
          </c:xVal>
          <c:yVal>
            <c:numRef>
              <c:f>info!$W$20:$W$21</c:f>
              <c:numCache>
                <c:formatCode>General</c:formatCode>
                <c:ptCount val="2"/>
                <c:pt idx="0">
                  <c:v>50</c:v>
                </c:pt>
                <c:pt idx="1">
                  <c:v>14.34725321184718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89.817499999999995</c:v>
                      </c:pt>
                    </c:numCache>
                  </c:numRef>
                </c:xVal>
                <c:yVal>
                  <c:numRef>
                    <c:extLst>
                      <c:ext uri="{02D57815-91ED-43cb-92C2-25804820EDAC}">
                        <c15:formulaRef>
                          <c15:sqref>info!$W$18</c15:sqref>
                        </c15:formulaRef>
                      </c:ext>
                    </c:extLst>
                    <c:numCache>
                      <c:formatCode>General</c:formatCode>
                      <c:ptCount val="1"/>
                      <c:pt idx="0">
                        <c:v>29.050899999999999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(66.2 , 14.3)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66.155604858619128</c:v>
                </c:pt>
              </c:numCache>
            </c:numRef>
          </c:xVal>
          <c:yVal>
            <c:numRef>
              <c:f>info!$W$20:$W$21</c:f>
              <c:numCache>
                <c:formatCode>General</c:formatCode>
                <c:ptCount val="2"/>
                <c:pt idx="0">
                  <c:v>50</c:v>
                </c:pt>
                <c:pt idx="1">
                  <c:v>14.34725321184718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20.5886</c:v>
                </c:pt>
                <c:pt idx="1">
                  <c:v>23.428899999999999</c:v>
                </c:pt>
                <c:pt idx="2">
                  <c:v>27.514500000000002</c:v>
                </c:pt>
                <c:pt idx="3">
                  <c:v>20.745799999999999</c:v>
                </c:pt>
                <c:pt idx="4">
                  <c:v>65.075900000000004</c:v>
                </c:pt>
                <c:pt idx="5">
                  <c:v>76.694599999999994</c:v>
                </c:pt>
                <c:pt idx="6">
                  <c:v>17.287500000000001</c:v>
                </c:pt>
                <c:pt idx="7">
                  <c:v>70.885199999999998</c:v>
                </c:pt>
                <c:pt idx="8">
                  <c:v>16.466200000000001</c:v>
                </c:pt>
                <c:pt idx="9">
                  <c:v>36.341900000000003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0.53745490106984617</c:v>
                </c:pt>
                <c:pt idx="1">
                  <c:v>0.21568437714158564</c:v>
                </c:pt>
                <c:pt idx="2">
                  <c:v>0.24686072178856819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2.2100668545223493E-3</c:v>
                </c:pt>
                <c:pt idx="17">
                  <c:v>0</c:v>
                </c:pt>
                <c:pt idx="18">
                  <c:v>0</c:v>
                </c:pt>
                <c:pt idx="19">
                  <c:v>4.0183033718588163E-3</c:v>
                </c:pt>
                <c:pt idx="20">
                  <c:v>0</c:v>
                </c:pt>
                <c:pt idx="21">
                  <c:v>0</c:v>
                </c:pt>
                <c:pt idx="22">
                  <c:v>0</c:v>
                </c:pt>
                <c:pt idx="23">
                  <c:v>0</c:v>
                </c:pt>
                <c:pt idx="24">
                  <c:v>1.7412647944721538E-3</c:v>
                </c:pt>
                <c:pt idx="25">
                  <c:v>0</c:v>
                </c:pt>
                <c:pt idx="26">
                  <c:v>1.6742930716078405E-2</c:v>
                </c:pt>
                <c:pt idx="27">
                  <c:v>0</c:v>
                </c:pt>
                <c:pt idx="28">
                  <c:v>0</c:v>
                </c:pt>
                <c:pt idx="29">
                  <c:v>6.3556164998233619E-2</c:v>
                </c:pt>
                <c:pt idx="30">
                  <c:v>0</c:v>
                </c:pt>
                <c:pt idx="31">
                  <c:v>7.8981929354878133E-2</c:v>
                </c:pt>
                <c:pt idx="32">
                  <c:v>0</c:v>
                </c:pt>
                <c:pt idx="33">
                  <c:v>0</c:v>
                </c:pt>
                <c:pt idx="34">
                  <c:v>0.16709444854646247</c:v>
                </c:pt>
                <c:pt idx="35">
                  <c:v>0</c:v>
                </c:pt>
                <c:pt idx="36">
                  <c:v>0</c:v>
                </c:pt>
                <c:pt idx="37">
                  <c:v>0.16908183442246097</c:v>
                </c:pt>
                <c:pt idx="38">
                  <c:v>0</c:v>
                </c:pt>
                <c:pt idx="39">
                  <c:v>0.21872964687484828</c:v>
                </c:pt>
                <c:pt idx="40">
                  <c:v>0</c:v>
                </c:pt>
                <c:pt idx="41">
                  <c:v>0</c:v>
                </c:pt>
                <c:pt idx="42">
                  <c:v>0.23960305859858322</c:v>
                </c:pt>
                <c:pt idx="43">
                  <c:v>0</c:v>
                </c:pt>
                <c:pt idx="44">
                  <c:v>0.50007785462782972</c:v>
                </c:pt>
                <c:pt idx="45">
                  <c:v>0</c:v>
                </c:pt>
                <c:pt idx="46">
                  <c:v>0</c:v>
                </c:pt>
                <c:pt idx="47">
                  <c:v>0.67878017703974936</c:v>
                </c:pt>
                <c:pt idx="48">
                  <c:v>0</c:v>
                </c:pt>
                <c:pt idx="49">
                  <c:v>1</c:v>
                </c:pt>
                <c:pt idx="50">
                  <c:v>0</c:v>
                </c:pt>
                <c:pt idx="51">
                  <c:v>0</c:v>
                </c:pt>
                <c:pt idx="52">
                  <c:v>0.86659232805428721</c:v>
                </c:pt>
                <c:pt idx="53">
                  <c:v>0</c:v>
                </c:pt>
                <c:pt idx="54">
                  <c:v>0</c:v>
                </c:pt>
                <c:pt idx="55">
                  <c:v>0.83833026100554697</c:v>
                </c:pt>
                <c:pt idx="56">
                  <c:v>0</c:v>
                </c:pt>
                <c:pt idx="57">
                  <c:v>0.84607554075480473</c:v>
                </c:pt>
                <c:pt idx="58">
                  <c:v>0</c:v>
                </c:pt>
                <c:pt idx="59">
                  <c:v>0</c:v>
                </c:pt>
                <c:pt idx="60">
                  <c:v>0.73010395685681606</c:v>
                </c:pt>
                <c:pt idx="61">
                  <c:v>0</c:v>
                </c:pt>
                <c:pt idx="62">
                  <c:v>0.65364401515570081</c:v>
                </c:pt>
                <c:pt idx="63">
                  <c:v>0</c:v>
                </c:pt>
                <c:pt idx="64">
                  <c:v>0</c:v>
                </c:pt>
                <c:pt idx="65">
                  <c:v>0.66469434942831263</c:v>
                </c:pt>
                <c:pt idx="66">
                  <c:v>0</c:v>
                </c:pt>
                <c:pt idx="67">
                  <c:v>0.42297163580107389</c:v>
                </c:pt>
                <c:pt idx="68">
                  <c:v>0</c:v>
                </c:pt>
                <c:pt idx="69">
                  <c:v>0</c:v>
                </c:pt>
                <c:pt idx="70">
                  <c:v>0.31347286891792114</c:v>
                </c:pt>
                <c:pt idx="71">
                  <c:v>0</c:v>
                </c:pt>
                <c:pt idx="72">
                  <c:v>0</c:v>
                </c:pt>
                <c:pt idx="73">
                  <c:v>0.35771773762822995</c:v>
                </c:pt>
                <c:pt idx="74">
                  <c:v>0</c:v>
                </c:pt>
                <c:pt idx="75">
                  <c:v>0.34570803342558687</c:v>
                </c:pt>
                <c:pt idx="76">
                  <c:v>0</c:v>
                </c:pt>
                <c:pt idx="77">
                  <c:v>0</c:v>
                </c:pt>
                <c:pt idx="78">
                  <c:v>0.28746440034356491</c:v>
                </c:pt>
                <c:pt idx="79">
                  <c:v>0</c:v>
                </c:pt>
                <c:pt idx="80">
                  <c:v>0.26670316625562773</c:v>
                </c:pt>
                <c:pt idx="81">
                  <c:v>0</c:v>
                </c:pt>
                <c:pt idx="82">
                  <c:v>0</c:v>
                </c:pt>
                <c:pt idx="83">
                  <c:v>0.17117972364118561</c:v>
                </c:pt>
                <c:pt idx="84">
                  <c:v>0</c:v>
                </c:pt>
                <c:pt idx="85">
                  <c:v>0</c:v>
                </c:pt>
                <c:pt idx="86">
                  <c:v>0.10360525527109316</c:v>
                </c:pt>
                <c:pt idx="87">
                  <c:v>0</c:v>
                </c:pt>
                <c:pt idx="88">
                  <c:v>0.22808392226592128</c:v>
                </c:pt>
                <c:pt idx="89">
                  <c:v>0</c:v>
                </c:pt>
                <c:pt idx="90">
                  <c:v>0</c:v>
                </c:pt>
                <c:pt idx="91">
                  <c:v>0.12083925614507414</c:v>
                </c:pt>
                <c:pt idx="92">
                  <c:v>0</c:v>
                </c:pt>
                <c:pt idx="93">
                  <c:v>8.3558442036810995E-2</c:v>
                </c:pt>
                <c:pt idx="94">
                  <c:v>0</c:v>
                </c:pt>
                <c:pt idx="95">
                  <c:v>0</c:v>
                </c:pt>
                <c:pt idx="96">
                  <c:v>8.5723805266321423E-2</c:v>
                </c:pt>
                <c:pt idx="97">
                  <c:v>0</c:v>
                </c:pt>
                <c:pt idx="98">
                  <c:v>1.6742930716078405E-2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2.19984</c:v>
                </c:pt>
                <c:pt idx="1">
                  <c:v>2.2085599999999999</c:v>
                </c:pt>
                <c:pt idx="2">
                  <c:v>2.2170000000000001</c:v>
                </c:pt>
                <c:pt idx="3">
                  <c:v>2.2250100000000002</c:v>
                </c:pt>
                <c:pt idx="4">
                  <c:v>2.2336100000000001</c:v>
                </c:pt>
                <c:pt idx="5">
                  <c:v>2.2417199999999999</c:v>
                </c:pt>
                <c:pt idx="6">
                  <c:v>2.2503799999999998</c:v>
                </c:pt>
                <c:pt idx="7">
                  <c:v>2.25996</c:v>
                </c:pt>
                <c:pt idx="8">
                  <c:v>2.2701500000000001</c:v>
                </c:pt>
                <c:pt idx="9">
                  <c:v>2.2809200000000001</c:v>
                </c:pt>
                <c:pt idx="10">
                  <c:v>2.29189</c:v>
                </c:pt>
                <c:pt idx="11">
                  <c:v>2.3039399999999999</c:v>
                </c:pt>
                <c:pt idx="12">
                  <c:v>2.3172200000000003</c:v>
                </c:pt>
                <c:pt idx="13">
                  <c:v>2.33053</c:v>
                </c:pt>
                <c:pt idx="14">
                  <c:v>2.34484</c:v>
                </c:pt>
                <c:pt idx="15">
                  <c:v>2.3594999999999997</c:v>
                </c:pt>
                <c:pt idx="16">
                  <c:v>2.3755299999999999</c:v>
                </c:pt>
                <c:pt idx="17">
                  <c:v>2.3916599999999999</c:v>
                </c:pt>
                <c:pt idx="18">
                  <c:v>2.4045800000000002</c:v>
                </c:pt>
                <c:pt idx="19">
                  <c:v>2.41249</c:v>
                </c:pt>
                <c:pt idx="20">
                  <c:v>2.42035</c:v>
                </c:pt>
                <c:pt idx="21">
                  <c:v>2.4291700000000001</c:v>
                </c:pt>
                <c:pt idx="22">
                  <c:v>2.4368400000000001</c:v>
                </c:pt>
                <c:pt idx="23">
                  <c:v>2.4447800000000002</c:v>
                </c:pt>
                <c:pt idx="24">
                  <c:v>2.4514100000000001</c:v>
                </c:pt>
              </c:numCache>
              <c:extLst xmlns:c15="http://schemas.microsoft.com/office/drawing/2012/chart"/>
            </c:numRef>
          </c:xVal>
          <c:yVal>
            <c:numRef>
              <c:f>[0]!FT_PH</c:f>
              <c:numCache>
                <c:formatCode>0.00</c:formatCode>
                <c:ptCount val="25"/>
                <c:pt idx="0">
                  <c:v>72.060299999999998</c:v>
                </c:pt>
                <c:pt idx="1">
                  <c:v>72.09</c:v>
                </c:pt>
                <c:pt idx="2">
                  <c:v>72.159399999999991</c:v>
                </c:pt>
                <c:pt idx="3">
                  <c:v>72.261499999999998</c:v>
                </c:pt>
                <c:pt idx="4">
                  <c:v>72.363799999999998</c:v>
                </c:pt>
                <c:pt idx="5">
                  <c:v>72.450800000000001</c:v>
                </c:pt>
                <c:pt idx="6">
                  <c:v>72.530199999999994</c:v>
                </c:pt>
                <c:pt idx="7">
                  <c:v>72.5839</c:v>
                </c:pt>
                <c:pt idx="8">
                  <c:v>72.612399999999994</c:v>
                </c:pt>
                <c:pt idx="9">
                  <c:v>72.649600000000007</c:v>
                </c:pt>
                <c:pt idx="10">
                  <c:v>72.6554</c:v>
                </c:pt>
                <c:pt idx="11">
                  <c:v>72.598100000000002</c:v>
                </c:pt>
                <c:pt idx="12">
                  <c:v>72.498599999999996</c:v>
                </c:pt>
                <c:pt idx="13">
                  <c:v>72.384099999999989</c:v>
                </c:pt>
                <c:pt idx="14">
                  <c:v>72.237899999999996</c:v>
                </c:pt>
                <c:pt idx="15">
                  <c:v>72.001499999999993</c:v>
                </c:pt>
                <c:pt idx="16">
                  <c:v>71.733499999999992</c:v>
                </c:pt>
                <c:pt idx="17">
                  <c:v>71.450100000000006</c:v>
                </c:pt>
                <c:pt idx="18">
                  <c:v>71.237300000000005</c:v>
                </c:pt>
                <c:pt idx="19">
                  <c:v>71.114000000000004</c:v>
                </c:pt>
                <c:pt idx="20">
                  <c:v>70.9482</c:v>
                </c:pt>
                <c:pt idx="21">
                  <c:v>70.714799999999997</c:v>
                </c:pt>
                <c:pt idx="22">
                  <c:v>70.494500000000002</c:v>
                </c:pt>
                <c:pt idx="23">
                  <c:v>70.332499999999996</c:v>
                </c:pt>
                <c:pt idx="24">
                  <c:v>70.186700000000002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2.19984</c:v>
                </c:pt>
              </c:numCache>
            </c:numRef>
          </c:xVal>
          <c:yVal>
            <c:numRef>
              <c:f>[0]!FT_PH01</c:f>
              <c:numCache>
                <c:formatCode>0.00</c:formatCode>
                <c:ptCount val="1"/>
                <c:pt idx="0">
                  <c:v>72.060299999999998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2.19984</c:v>
                </c:pt>
              </c:numCache>
            </c:numRef>
          </c:xVal>
          <c:yVal>
            <c:numRef>
              <c:f>[0]!FT_PH02</c:f>
              <c:numCache>
                <c:formatCode>0.00</c:formatCode>
                <c:ptCount val="1"/>
                <c:pt idx="0">
                  <c:v>72.060299999999998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2.19984</c:v>
                </c:pt>
              </c:numCache>
            </c:numRef>
          </c:xVal>
          <c:yVal>
            <c:numRef>
              <c:f>[0]!FT_PH03</c:f>
              <c:numCache>
                <c:formatCode>0.00</c:formatCode>
                <c:ptCount val="1"/>
                <c:pt idx="0">
                  <c:v>72.060299999999998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2.19984</c:v>
                </c:pt>
              </c:numCache>
            </c:numRef>
          </c:xVal>
          <c:yVal>
            <c:numRef>
              <c:f>[0]!FT_PH04</c:f>
              <c:numCache>
                <c:formatCode>0.00</c:formatCode>
                <c:ptCount val="1"/>
                <c:pt idx="0">
                  <c:v>72.060299999999998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2.19984</c:v>
                </c:pt>
              </c:numCache>
            </c:numRef>
          </c:xVal>
          <c:yVal>
            <c:numRef>
              <c:f>[0]!FT_PH05</c:f>
              <c:numCache>
                <c:formatCode>0.00</c:formatCode>
                <c:ptCount val="1"/>
                <c:pt idx="0">
                  <c:v>72.060299999999998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2.19984</c:v>
                </c:pt>
              </c:numCache>
            </c:numRef>
          </c:xVal>
          <c:yVal>
            <c:numRef>
              <c:f>[0]!FT_PH06</c:f>
              <c:numCache>
                <c:formatCode>0.00</c:formatCode>
                <c:ptCount val="1"/>
                <c:pt idx="0">
                  <c:v>72.060299999999998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2.19984</c:v>
                </c:pt>
              </c:numCache>
            </c:numRef>
          </c:xVal>
          <c:yVal>
            <c:numRef>
              <c:f>[0]!FT_PH07</c:f>
              <c:numCache>
                <c:formatCode>0.00</c:formatCode>
                <c:ptCount val="1"/>
                <c:pt idx="0">
                  <c:v>72.060299999999998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2.19984</c:v>
                </c:pt>
              </c:numCache>
            </c:numRef>
          </c:xVal>
          <c:yVal>
            <c:numRef>
              <c:f>[0]!FT_PH08</c:f>
              <c:numCache>
                <c:formatCode>0.00</c:formatCode>
                <c:ptCount val="1"/>
                <c:pt idx="0">
                  <c:v>72.060299999999998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2.19984</c:v>
                </c:pt>
              </c:numCache>
            </c:numRef>
          </c:xVal>
          <c:yVal>
            <c:numRef>
              <c:f>[0]!FT_PH09</c:f>
              <c:numCache>
                <c:formatCode>0.00</c:formatCode>
                <c:ptCount val="1"/>
                <c:pt idx="0">
                  <c:v>72.060299999999998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2.19984</c:v>
                </c:pt>
              </c:numCache>
            </c:numRef>
          </c:xVal>
          <c:yVal>
            <c:numRef>
              <c:f>[0]!FT_PH10</c:f>
              <c:numCache>
                <c:formatCode>0.00</c:formatCode>
                <c:ptCount val="1"/>
                <c:pt idx="0">
                  <c:v>72.060299999999998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2.19984</c:v>
                </c:pt>
              </c:numCache>
            </c:numRef>
          </c:xVal>
          <c:yVal>
            <c:numRef>
              <c:f>[0]!FT_PH11</c:f>
              <c:numCache>
                <c:formatCode>0.00</c:formatCode>
                <c:ptCount val="1"/>
                <c:pt idx="0">
                  <c:v>72.060299999999998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2.19984</c:v>
                </c:pt>
              </c:numCache>
            </c:numRef>
          </c:xVal>
          <c:yVal>
            <c:numRef>
              <c:f>[0]!FT_PH12</c:f>
              <c:numCache>
                <c:formatCode>0.00</c:formatCode>
                <c:ptCount val="1"/>
                <c:pt idx="0">
                  <c:v>72.060299999999998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2.19984</c:v>
                </c:pt>
              </c:numCache>
            </c:numRef>
          </c:xVal>
          <c:yVal>
            <c:numRef>
              <c:f>[0]!FT_PH13</c:f>
              <c:numCache>
                <c:formatCode>0.00</c:formatCode>
                <c:ptCount val="1"/>
                <c:pt idx="0">
                  <c:v>72.060299999999998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2.19984</c:v>
                </c:pt>
              </c:numCache>
            </c:numRef>
          </c:xVal>
          <c:yVal>
            <c:numRef>
              <c:f>[0]!FT_PH14</c:f>
              <c:numCache>
                <c:formatCode>0.00</c:formatCode>
                <c:ptCount val="1"/>
                <c:pt idx="0">
                  <c:v>72.060299999999998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2.19984</c:v>
                </c:pt>
              </c:numCache>
            </c:numRef>
          </c:xVal>
          <c:yVal>
            <c:numRef>
              <c:f>[0]!FT_PH15</c:f>
              <c:numCache>
                <c:formatCode>0.00</c:formatCode>
                <c:ptCount val="1"/>
                <c:pt idx="0">
                  <c:v>72.060299999999998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2.19984</c:v>
                </c:pt>
              </c:numCache>
            </c:numRef>
          </c:xVal>
          <c:yVal>
            <c:numRef>
              <c:f>[0]!FT_PH16</c:f>
              <c:numCache>
                <c:formatCode>0.00</c:formatCode>
                <c:ptCount val="1"/>
                <c:pt idx="0">
                  <c:v>72.060299999999998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2.19984</c:v>
                </c:pt>
              </c:numCache>
            </c:numRef>
          </c:xVal>
          <c:yVal>
            <c:numRef>
              <c:f>[0]!FT_PH17</c:f>
              <c:numCache>
                <c:formatCode>0.00</c:formatCode>
                <c:ptCount val="1"/>
                <c:pt idx="0">
                  <c:v>72.060299999999998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2.19984</c:v>
                </c:pt>
              </c:numCache>
            </c:numRef>
          </c:xVal>
          <c:yVal>
            <c:numRef>
              <c:f>[0]!FT_PH18</c:f>
              <c:numCache>
                <c:formatCode>0.00</c:formatCode>
                <c:ptCount val="1"/>
                <c:pt idx="0">
                  <c:v>72.060299999999998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2.19984</c:v>
                </c:pt>
              </c:numCache>
            </c:numRef>
          </c:xVal>
          <c:yVal>
            <c:numRef>
              <c:f>[0]!FT_PH19</c:f>
              <c:numCache>
                <c:formatCode>0.00</c:formatCode>
                <c:ptCount val="1"/>
                <c:pt idx="0">
                  <c:v>72.060299999999998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2.19984</c:v>
                </c:pt>
              </c:numCache>
            </c:numRef>
          </c:xVal>
          <c:yVal>
            <c:numRef>
              <c:f>[0]!FT_PH20</c:f>
              <c:numCache>
                <c:formatCode>0.00</c:formatCode>
                <c:ptCount val="1"/>
                <c:pt idx="0">
                  <c:v>72.060299999999998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2.19984</c:v>
                </c:pt>
              </c:numCache>
            </c:numRef>
          </c:xVal>
          <c:yVal>
            <c:numRef>
              <c:f>[0]!FT_PH21</c:f>
              <c:numCache>
                <c:formatCode>0.00</c:formatCode>
                <c:ptCount val="1"/>
                <c:pt idx="0">
                  <c:v>72.060299999999998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2.19984</c:v>
                </c:pt>
              </c:numCache>
            </c:numRef>
          </c:xVal>
          <c:yVal>
            <c:numRef>
              <c:f>[0]!FT_PH22</c:f>
              <c:numCache>
                <c:formatCode>0.00</c:formatCode>
                <c:ptCount val="1"/>
                <c:pt idx="0">
                  <c:v>72.060299999999998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2.19984</c:v>
                </c:pt>
              </c:numCache>
            </c:numRef>
          </c:xVal>
          <c:yVal>
            <c:numRef>
              <c:f>[0]!FT_PH23</c:f>
              <c:numCache>
                <c:formatCode>0.00</c:formatCode>
                <c:ptCount val="1"/>
                <c:pt idx="0">
                  <c:v>72.060299999999998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2.19984</c:v>
                </c:pt>
              </c:numCache>
            </c:numRef>
          </c:xVal>
          <c:yVal>
            <c:numRef>
              <c:f>[0]!FT_PH24</c:f>
              <c:numCache>
                <c:formatCode>0.00</c:formatCode>
                <c:ptCount val="1"/>
                <c:pt idx="0">
                  <c:v>72.060299999999998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2.19984</c:v>
                </c:pt>
              </c:numCache>
            </c:numRef>
          </c:xVal>
          <c:yVal>
            <c:numRef>
              <c:f>info!$H$2</c:f>
              <c:numCache>
                <c:formatCode>0.00</c:formatCode>
                <c:ptCount val="1"/>
                <c:pt idx="0">
                  <c:v>72.060299999999998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0.11088646936268456</c:v>
                </c:pt>
                <c:pt idx="1">
                  <c:v>0.35163196764607668</c:v>
                </c:pt>
                <c:pt idx="2">
                  <c:v>0.53748156299123873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0.319245</c:v>
                </c:pt>
                <c:pt idx="2">
                  <c:v>0.72928000000000004</c:v>
                </c:pt>
                <c:pt idx="3">
                  <c:v>1.13592</c:v>
                </c:pt>
                <c:pt idx="4">
                  <c:v>1.5577300000000001</c:v>
                </c:pt>
                <c:pt idx="5">
                  <c:v>1.9381299999999999</c:v>
                </c:pt>
                <c:pt idx="6">
                  <c:v>2.3467600000000002</c:v>
                </c:pt>
                <c:pt idx="7">
                  <c:v>2.7629999999999999</c:v>
                </c:pt>
                <c:pt idx="8">
                  <c:v>3.1603400000000001</c:v>
                </c:pt>
                <c:pt idx="9">
                  <c:v>3.5688599999999999</c:v>
                </c:pt>
                <c:pt idx="10">
                  <c:v>3.9752000000000001</c:v>
                </c:pt>
                <c:pt idx="11">
                  <c:v>4.3875500000000001</c:v>
                </c:pt>
                <c:pt idx="12">
                  <c:v>4.78132</c:v>
                </c:pt>
                <c:pt idx="13">
                  <c:v>5.1871700000000001</c:v>
                </c:pt>
                <c:pt idx="14">
                  <c:v>5.6036599999999996</c:v>
                </c:pt>
                <c:pt idx="15">
                  <c:v>6.0101199999999997</c:v>
                </c:pt>
                <c:pt idx="16">
                  <c:v>6.4092200000000004</c:v>
                </c:pt>
                <c:pt idx="17">
                  <c:v>6.8253500000000003</c:v>
                </c:pt>
                <c:pt idx="18">
                  <c:v>7.2209700000000003</c:v>
                </c:pt>
                <c:pt idx="19">
                  <c:v>7.6316800000000002</c:v>
                </c:pt>
                <c:pt idx="20">
                  <c:v>8.0329300000000003</c:v>
                </c:pt>
                <c:pt idx="21">
                  <c:v>8.4431200000000004</c:v>
                </c:pt>
                <c:pt idx="22">
                  <c:v>8.8482599999999998</c:v>
                </c:pt>
                <c:pt idx="23">
                  <c:v>9.2736800000000006</c:v>
                </c:pt>
                <c:pt idx="24">
                  <c:v>9.6738900000000001</c:v>
                </c:pt>
              </c:numCache>
            </c:numRef>
          </c:xVal>
          <c:yVal>
            <c:numRef>
              <c:f>[0]!FT_E</c:f>
              <c:numCache>
                <c:formatCode>0.00</c:formatCode>
                <c:ptCount val="25"/>
                <c:pt idx="0">
                  <c:v>2.19984</c:v>
                </c:pt>
                <c:pt idx="1">
                  <c:v>2.2085599999999999</c:v>
                </c:pt>
                <c:pt idx="2">
                  <c:v>2.2170000000000001</c:v>
                </c:pt>
                <c:pt idx="3">
                  <c:v>2.2250100000000002</c:v>
                </c:pt>
                <c:pt idx="4">
                  <c:v>2.2336100000000001</c:v>
                </c:pt>
                <c:pt idx="5">
                  <c:v>2.2417199999999999</c:v>
                </c:pt>
                <c:pt idx="6">
                  <c:v>2.2503799999999998</c:v>
                </c:pt>
                <c:pt idx="7">
                  <c:v>2.25996</c:v>
                </c:pt>
                <c:pt idx="8">
                  <c:v>2.2701500000000001</c:v>
                </c:pt>
                <c:pt idx="9">
                  <c:v>2.2809200000000001</c:v>
                </c:pt>
                <c:pt idx="10">
                  <c:v>2.29189</c:v>
                </c:pt>
                <c:pt idx="11">
                  <c:v>2.3039399999999999</c:v>
                </c:pt>
                <c:pt idx="12">
                  <c:v>2.3172200000000003</c:v>
                </c:pt>
                <c:pt idx="13">
                  <c:v>2.33053</c:v>
                </c:pt>
                <c:pt idx="14">
                  <c:v>2.34484</c:v>
                </c:pt>
                <c:pt idx="15">
                  <c:v>2.3594999999999997</c:v>
                </c:pt>
                <c:pt idx="16">
                  <c:v>2.3755299999999999</c:v>
                </c:pt>
                <c:pt idx="17">
                  <c:v>2.3916599999999999</c:v>
                </c:pt>
                <c:pt idx="18">
                  <c:v>2.4045800000000002</c:v>
                </c:pt>
                <c:pt idx="19">
                  <c:v>2.41249</c:v>
                </c:pt>
                <c:pt idx="20">
                  <c:v>2.42035</c:v>
                </c:pt>
                <c:pt idx="21">
                  <c:v>2.4291700000000001</c:v>
                </c:pt>
                <c:pt idx="22">
                  <c:v>2.4368400000000001</c:v>
                </c:pt>
                <c:pt idx="23">
                  <c:v>2.4447800000000002</c:v>
                </c:pt>
                <c:pt idx="24">
                  <c:v>2.4514100000000001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2.19984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2.19984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2.19984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2.19984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2.19984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2.19984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2.19984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2.19984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2.19984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2.19984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2.19984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2.19984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2.19984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2.19984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2.19984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2.19984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2.19984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2.19984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2.19984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2.19984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2.19984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2.19984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2.19984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2.19984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0.319245</c:v>
                </c:pt>
                <c:pt idx="2">
                  <c:v>0.72928000000000004</c:v>
                </c:pt>
                <c:pt idx="3">
                  <c:v>1.13592</c:v>
                </c:pt>
                <c:pt idx="4">
                  <c:v>1.5577300000000001</c:v>
                </c:pt>
                <c:pt idx="5">
                  <c:v>1.9381299999999999</c:v>
                </c:pt>
                <c:pt idx="6">
                  <c:v>2.3467600000000002</c:v>
                </c:pt>
                <c:pt idx="7">
                  <c:v>2.7629999999999999</c:v>
                </c:pt>
                <c:pt idx="8">
                  <c:v>3.1603400000000001</c:v>
                </c:pt>
                <c:pt idx="9">
                  <c:v>3.5688599999999999</c:v>
                </c:pt>
                <c:pt idx="10">
                  <c:v>3.9752000000000001</c:v>
                </c:pt>
                <c:pt idx="11">
                  <c:v>4.3875500000000001</c:v>
                </c:pt>
                <c:pt idx="12">
                  <c:v>4.78132</c:v>
                </c:pt>
                <c:pt idx="13">
                  <c:v>5.1871700000000001</c:v>
                </c:pt>
                <c:pt idx="14">
                  <c:v>5.6036599999999996</c:v>
                </c:pt>
                <c:pt idx="15">
                  <c:v>6.0101199999999997</c:v>
                </c:pt>
                <c:pt idx="16">
                  <c:v>6.4092200000000004</c:v>
                </c:pt>
                <c:pt idx="17">
                  <c:v>6.8253500000000003</c:v>
                </c:pt>
                <c:pt idx="18">
                  <c:v>7.2209700000000003</c:v>
                </c:pt>
                <c:pt idx="19">
                  <c:v>7.6316800000000002</c:v>
                </c:pt>
                <c:pt idx="20">
                  <c:v>8.0329300000000003</c:v>
                </c:pt>
                <c:pt idx="21">
                  <c:v>8.4431200000000004</c:v>
                </c:pt>
                <c:pt idx="22">
                  <c:v>8.8482599999999998</c:v>
                </c:pt>
                <c:pt idx="23">
                  <c:v>9.2736800000000006</c:v>
                </c:pt>
                <c:pt idx="24">
                  <c:v>9.6738900000000001</c:v>
                </c:pt>
              </c:numCache>
            </c:numRef>
          </c:xVal>
          <c:yVal>
            <c:numRef>
              <c:f>[0]!FT_PH</c:f>
              <c:numCache>
                <c:formatCode>0.00</c:formatCode>
                <c:ptCount val="25"/>
                <c:pt idx="0">
                  <c:v>72.060299999999998</c:v>
                </c:pt>
                <c:pt idx="1">
                  <c:v>72.09</c:v>
                </c:pt>
                <c:pt idx="2">
                  <c:v>72.159399999999991</c:v>
                </c:pt>
                <c:pt idx="3">
                  <c:v>72.261499999999998</c:v>
                </c:pt>
                <c:pt idx="4">
                  <c:v>72.363799999999998</c:v>
                </c:pt>
                <c:pt idx="5">
                  <c:v>72.450800000000001</c:v>
                </c:pt>
                <c:pt idx="6">
                  <c:v>72.530199999999994</c:v>
                </c:pt>
                <c:pt idx="7">
                  <c:v>72.5839</c:v>
                </c:pt>
                <c:pt idx="8">
                  <c:v>72.612399999999994</c:v>
                </c:pt>
                <c:pt idx="9">
                  <c:v>72.649600000000007</c:v>
                </c:pt>
                <c:pt idx="10">
                  <c:v>72.6554</c:v>
                </c:pt>
                <c:pt idx="11">
                  <c:v>72.598100000000002</c:v>
                </c:pt>
                <c:pt idx="12">
                  <c:v>72.498599999999996</c:v>
                </c:pt>
                <c:pt idx="13">
                  <c:v>72.384099999999989</c:v>
                </c:pt>
                <c:pt idx="14">
                  <c:v>72.237899999999996</c:v>
                </c:pt>
                <c:pt idx="15">
                  <c:v>72.001499999999993</c:v>
                </c:pt>
                <c:pt idx="16">
                  <c:v>71.733499999999992</c:v>
                </c:pt>
                <c:pt idx="17">
                  <c:v>71.450100000000006</c:v>
                </c:pt>
                <c:pt idx="18">
                  <c:v>71.237300000000005</c:v>
                </c:pt>
                <c:pt idx="19">
                  <c:v>71.114000000000004</c:v>
                </c:pt>
                <c:pt idx="20">
                  <c:v>70.9482</c:v>
                </c:pt>
                <c:pt idx="21">
                  <c:v>70.714799999999997</c:v>
                </c:pt>
                <c:pt idx="22">
                  <c:v>70.494500000000002</c:v>
                </c:pt>
                <c:pt idx="23">
                  <c:v>70.332499999999996</c:v>
                </c:pt>
                <c:pt idx="24">
                  <c:v>70.186700000000002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72.060299999999998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72.060299999999998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72.060299999999998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72.060299999999998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72.060299999999998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72.060299999999998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72.060299999999998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72.060299999999998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72.060299999999998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72.060299999999998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72.060299999999998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72.060299999999998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72.060299999999998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72.060299999999998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72.060299999999998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72.060299999999998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72.060299999999998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72.060299999999998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72.060299999999998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72.060299999999998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72.060299999999998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72.060299999999998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72.060299999999998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72.060299999999998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54.16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-0.37391551990368455</c:v>
                </c:pt>
                <c:pt idx="1">
                  <c:v>-0.37391551990368455</c:v>
                </c:pt>
                <c:pt idx="2">
                  <c:v>-7</c:v>
                </c:pt>
              </c:numCache>
            </c:numRef>
          </c:xVal>
          <c:yVal>
            <c:numRef>
              <c:f>'R'!$I$5:$I$7</c:f>
              <c:numCache>
                <c:formatCode>0.0_ </c:formatCode>
                <c:ptCount val="3"/>
                <c:pt idx="0">
                  <c:v>0</c:v>
                </c:pt>
                <c:pt idx="1">
                  <c:v>54.159168026066574</c:v>
                </c:pt>
                <c:pt idx="2">
                  <c:v>54.159168026066574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-0.37391551990368455</c:v>
                </c:pt>
                <c:pt idx="1">
                  <c:v>-0.37391551990368455</c:v>
                </c:pt>
                <c:pt idx="2">
                  <c:v>-7</c:v>
                </c:pt>
              </c:numCache>
            </c:numRef>
          </c:xVal>
          <c:yVal>
            <c:numRef>
              <c:f>'R'!$I$5:$I$7</c:f>
              <c:numCache>
                <c:formatCode>0.0_ </c:formatCode>
                <c:ptCount val="3"/>
                <c:pt idx="0">
                  <c:v>0</c:v>
                </c:pt>
                <c:pt idx="1">
                  <c:v>54.159168026066574</c:v>
                </c:pt>
                <c:pt idx="2">
                  <c:v>54.159168026066574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-0.37391551990368455</c:v>
                </c:pt>
              </c:numCache>
            </c:numRef>
          </c:xVal>
          <c:yVal>
            <c:numRef>
              <c:f>'R'!$I$4</c:f>
              <c:numCache>
                <c:formatCode>0.00_ </c:formatCode>
                <c:ptCount val="1"/>
                <c:pt idx="0">
                  <c:v>54.159168026066574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79.69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79.689925000000002</c:v>
                </c:pt>
                <c:pt idx="1">
                  <c:v>79.689925000000002</c:v>
                </c:pt>
                <c:pt idx="2">
                  <c:v>0</c:v>
                </c:pt>
              </c:numCache>
            </c:numRef>
          </c:xVal>
          <c:yVal>
            <c:numRef>
              <c:f>'R2'!$I$5:$I$7</c:f>
              <c:numCache>
                <c:formatCode>0.0_ </c:formatCode>
                <c:ptCount val="3"/>
                <c:pt idx="0">
                  <c:v>0</c:v>
                </c:pt>
                <c:pt idx="1">
                  <c:v>90.945133926159684</c:v>
                </c:pt>
                <c:pt idx="2">
                  <c:v>90.945133926159684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1.14086</c:v>
                </c:pt>
                <c:pt idx="1">
                  <c:v>1.14086</c:v>
                </c:pt>
                <c:pt idx="2">
                  <c:v>0</c:v>
                </c:pt>
              </c:numCache>
            </c:numRef>
          </c:xVal>
          <c:yVal>
            <c:numRef>
              <c:f>'R3'!$I$6:$I$8</c:f>
              <c:numCache>
                <c:formatCode>0.0_ </c:formatCode>
                <c:ptCount val="3"/>
                <c:pt idx="0">
                  <c:v>0</c:v>
                </c:pt>
                <c:pt idx="1">
                  <c:v>14.34725321184718</c:v>
                </c:pt>
                <c:pt idx="2">
                  <c:v>14.34725321184718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1.14086</c:v>
                </c:pt>
                <c:pt idx="1">
                  <c:v>1.14086</c:v>
                </c:pt>
                <c:pt idx="2">
                  <c:v>0</c:v>
                </c:pt>
              </c:numCache>
            </c:numRef>
          </c:xVal>
          <c:yVal>
            <c:numRef>
              <c:f>'R4'!$I$5:$I$7</c:f>
              <c:numCache>
                <c:formatCode>0.0_ </c:formatCode>
                <c:ptCount val="3"/>
                <c:pt idx="0">
                  <c:v>0</c:v>
                </c:pt>
                <c:pt idx="1">
                  <c:v>3.7335532838001888E-2</c:v>
                </c:pt>
                <c:pt idx="2">
                  <c:v>3.7335532838001888E-2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MXPI%5e1%5e1%5e\2025-05-02%2016_56_4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MXPI%5e1%5e1%5e\2025-05-02%2016_56_4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B54BAC3-1C48-2AE4-13CB-9516F2C5EF5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45F8497-09E5-CEEA-B0ED-4027B090AFC9}"/>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45779.706134259257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MXPI</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45779.706134259257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MXPI</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( 49 , 31 )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-0.37391551990368455</v>
      </c>
      <c r="I20" s="862"/>
      <c r="J20" s="311" t="str">
        <f>lang!B174</f>
        <v>정보량</v>
      </c>
      <c r="K20" s="236">
        <f ca="1">info!N9</f>
        <v>71.853964000000005</v>
      </c>
      <c r="L20" s="312" t="str">
        <f>lang!B175</f>
        <v>에너지</v>
      </c>
      <c r="M20" s="863">
        <f ca="1">info!M9</f>
        <v>2.3240751999999998</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20.266100000000002</v>
      </c>
      <c r="N32" s="816"/>
      <c r="O32" s="817">
        <f>Measurement!N7</f>
        <v>20.5886</v>
      </c>
      <c r="P32" s="818"/>
      <c r="Q32" s="819">
        <f>Measurement!T7</f>
        <v>22.389600000000002</v>
      </c>
      <c r="R32" s="820"/>
    </row>
    <row r="33" spans="3:18" ht="12.75" customHeight="1">
      <c r="C33" s="77"/>
      <c r="I33" s="502">
        <f>Measurement!L8</f>
        <v>3</v>
      </c>
      <c r="J33" s="139" t="str">
        <f>lang!B15</f>
        <v>스트레스</v>
      </c>
      <c r="K33" s="90" t="s">
        <v>226</v>
      </c>
      <c r="L33" s="504" t="str">
        <f>Measurement!Y8</f>
        <v>보통</v>
      </c>
      <c r="M33" s="792">
        <f>Measurement!R8</f>
        <v>22.9574</v>
      </c>
      <c r="N33" s="793"/>
      <c r="O33" s="806">
        <f>Measurement!N8</f>
        <v>23.428899999999999</v>
      </c>
      <c r="P33" s="807"/>
      <c r="Q33" s="792">
        <f>Measurement!T8</f>
        <v>27.7437</v>
      </c>
      <c r="R33" s="808"/>
    </row>
    <row r="34" spans="3:18" ht="12.75" customHeight="1">
      <c r="C34" s="77"/>
      <c r="I34" s="502">
        <f>Measurement!L9</f>
        <v>3</v>
      </c>
      <c r="J34" s="139" t="str">
        <f>lang!B16</f>
        <v>불안</v>
      </c>
      <c r="K34" s="90" t="s">
        <v>227</v>
      </c>
      <c r="L34" s="504" t="str">
        <f>Measurement!Y9</f>
        <v>보통</v>
      </c>
      <c r="M34" s="792">
        <f>Measurement!R9</f>
        <v>5.4659399999999998</v>
      </c>
      <c r="N34" s="793"/>
      <c r="O34" s="806">
        <f>Measurement!N9</f>
        <v>27.514500000000002</v>
      </c>
      <c r="P34" s="807"/>
      <c r="Q34" s="792">
        <f>Measurement!T9</f>
        <v>45.7821</v>
      </c>
      <c r="R34" s="808"/>
    </row>
    <row r="35" spans="3:18" ht="12.75" customHeight="1">
      <c r="C35" s="77"/>
      <c r="I35" s="502">
        <f>Measurement!L10</f>
        <v>2</v>
      </c>
      <c r="J35" s="139" t="str">
        <f>lang!B17</f>
        <v>의심</v>
      </c>
      <c r="K35" s="90" t="s">
        <v>225</v>
      </c>
      <c r="L35" s="504" t="str">
        <f>Measurement!Y10</f>
        <v>낮음</v>
      </c>
      <c r="M35" s="792">
        <f>Measurement!R10</f>
        <v>17.254200000000001</v>
      </c>
      <c r="N35" s="793"/>
      <c r="O35" s="806">
        <f>Measurement!N10</f>
        <v>20.745799999999999</v>
      </c>
      <c r="P35" s="807"/>
      <c r="Q35" s="792">
        <f>Measurement!T10</f>
        <v>29.8794</v>
      </c>
      <c r="R35" s="808"/>
    </row>
    <row r="36" spans="3:18" ht="12.75" customHeight="1">
      <c r="C36" s="77"/>
      <c r="I36" s="502">
        <f>Measurement!L11</f>
        <v>3</v>
      </c>
      <c r="J36" s="139" t="str">
        <f>lang!B18</f>
        <v>밸런스</v>
      </c>
      <c r="K36" s="90" t="s">
        <v>2171</v>
      </c>
      <c r="L36" s="504" t="str">
        <f>Measurement!Y11</f>
        <v>보통</v>
      </c>
      <c r="M36" s="792">
        <f>Measurement!R11</f>
        <v>50.963900000000002</v>
      </c>
      <c r="N36" s="793"/>
      <c r="O36" s="806">
        <f>Measurement!N11</f>
        <v>65.075900000000004</v>
      </c>
      <c r="P36" s="807"/>
      <c r="Q36" s="792">
        <f>Measurement!T11</f>
        <v>80.931799999999996</v>
      </c>
      <c r="R36" s="808"/>
    </row>
    <row r="37" spans="3:18" ht="12.75" customHeight="1">
      <c r="C37" s="77"/>
      <c r="I37" s="502">
        <f>Measurement!L12</f>
        <v>4</v>
      </c>
      <c r="J37" s="139" t="str">
        <f>lang!B19</f>
        <v>카리스마</v>
      </c>
      <c r="K37" s="90" t="s">
        <v>229</v>
      </c>
      <c r="L37" s="504" t="str">
        <f>Measurement!Y12</f>
        <v>높음</v>
      </c>
      <c r="M37" s="792">
        <f>Measurement!R12</f>
        <v>76.158100000000005</v>
      </c>
      <c r="N37" s="793"/>
      <c r="O37" s="806">
        <f>Measurement!N12</f>
        <v>76.694599999999994</v>
      </c>
      <c r="P37" s="807"/>
      <c r="Q37" s="792">
        <f>Measurement!T12</f>
        <v>77.088399999999993</v>
      </c>
      <c r="R37" s="808"/>
    </row>
    <row r="38" spans="3:18" ht="12.75" customHeight="1">
      <c r="C38" s="77"/>
      <c r="I38" s="502">
        <f>Measurement!L13</f>
        <v>2</v>
      </c>
      <c r="J38" s="139" t="str">
        <f>lang!B20</f>
        <v>에너지</v>
      </c>
      <c r="K38" s="90" t="s">
        <v>2170</v>
      </c>
      <c r="L38" s="504" t="str">
        <f>Measurement!Y13</f>
        <v>낮음</v>
      </c>
      <c r="M38" s="792">
        <f>Measurement!R13</f>
        <v>15.8195</v>
      </c>
      <c r="N38" s="793"/>
      <c r="O38" s="806">
        <f>Measurement!N13</f>
        <v>17.287500000000001</v>
      </c>
      <c r="P38" s="807"/>
      <c r="Q38" s="792">
        <f>Measurement!T13</f>
        <v>18.519400000000001</v>
      </c>
      <c r="R38" s="808"/>
    </row>
    <row r="39" spans="3:18" ht="12.75" customHeight="1">
      <c r="C39" s="77"/>
      <c r="I39" s="502">
        <f>Measurement!L14</f>
        <v>3</v>
      </c>
      <c r="J39" s="139" t="str">
        <f>lang!B21</f>
        <v>자기조절</v>
      </c>
      <c r="K39" s="90" t="s">
        <v>230</v>
      </c>
      <c r="L39" s="504" t="str">
        <f>Measurement!Y14</f>
        <v>보통</v>
      </c>
      <c r="M39" s="792">
        <f>Measurement!R14</f>
        <v>63.904400000000003</v>
      </c>
      <c r="N39" s="793"/>
      <c r="O39" s="806">
        <f>Measurement!N14</f>
        <v>70.885199999999998</v>
      </c>
      <c r="P39" s="807"/>
      <c r="Q39" s="792">
        <f>Measurement!T14</f>
        <v>78.613500000000002</v>
      </c>
      <c r="R39" s="808"/>
    </row>
    <row r="40" spans="3:18" ht="12.75" customHeight="1">
      <c r="C40" s="77"/>
      <c r="I40" s="502">
        <f>Measurement!L15</f>
        <v>3</v>
      </c>
      <c r="J40" s="139" t="str">
        <f>lang!B22</f>
        <v>억제</v>
      </c>
      <c r="K40" s="91" t="s">
        <v>248</v>
      </c>
      <c r="L40" s="504" t="str">
        <f>Measurement!Y15</f>
        <v>보통</v>
      </c>
      <c r="M40" s="792">
        <f>Measurement!R15</f>
        <v>13.8451</v>
      </c>
      <c r="N40" s="793"/>
      <c r="O40" s="806">
        <f>Measurement!N15</f>
        <v>16.466200000000001</v>
      </c>
      <c r="P40" s="807"/>
      <c r="Q40" s="792">
        <f>Measurement!T15</f>
        <v>27.3126</v>
      </c>
      <c r="R40" s="808"/>
    </row>
    <row r="41" spans="3:18" ht="12.75" customHeight="1" thickBot="1">
      <c r="C41" s="77"/>
      <c r="I41" s="502">
        <f>Measurement!L16</f>
        <v>3</v>
      </c>
      <c r="J41" s="140" t="str">
        <f>lang!B23</f>
        <v>신경성</v>
      </c>
      <c r="K41" s="92" t="s">
        <v>231</v>
      </c>
      <c r="L41" s="504" t="str">
        <f>Measurement!Y16</f>
        <v>보통</v>
      </c>
      <c r="M41" s="794">
        <f>Measurement!R16</f>
        <v>2.2991899999999998</v>
      </c>
      <c r="N41" s="795"/>
      <c r="O41" s="796">
        <f>Measurement!N16</f>
        <v>36.341900000000003</v>
      </c>
      <c r="P41" s="797"/>
      <c r="Q41" s="794">
        <f>Measurement!T16</f>
        <v>41.941000000000003</v>
      </c>
      <c r="R41" s="798"/>
    </row>
    <row r="42" spans="3:18" ht="29.25" customHeight="1" thickBot="1">
      <c r="C42" s="77"/>
      <c r="I42" s="84"/>
      <c r="J42" s="780" t="str">
        <f>lang!B215</f>
        <v>감정변이도</v>
      </c>
      <c r="K42" s="781"/>
      <c r="L42" s="319" t="str">
        <f>info!V43</f>
        <v>보통</v>
      </c>
      <c r="M42" s="782">
        <f>info!W43</f>
        <v>16.982700000000001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1.14086</v>
      </c>
      <c r="E44" s="249" t="s">
        <v>1072</v>
      </c>
      <c r="G44" s="289"/>
      <c r="H44" s="289"/>
      <c r="I44" s="290"/>
      <c r="J44" s="802">
        <f>info!$W$36</f>
        <v>79.689925000000002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45779.706134259257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MXPI</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( 49 , 31 )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-0.37391551990368455</v>
      </c>
      <c r="I20" s="862"/>
      <c r="J20" s="311" t="str">
        <f>lang!B174</f>
        <v>정보량</v>
      </c>
      <c r="K20" s="236">
        <f ca="1">info!N9</f>
        <v>71.853964000000005</v>
      </c>
      <c r="L20" s="312" t="str">
        <f>lang!B175</f>
        <v>에너지</v>
      </c>
      <c r="M20" s="863">
        <f ca="1">info!M9</f>
        <v>2.3240751999999998</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20.266100000000002</v>
      </c>
      <c r="N32" s="816"/>
      <c r="O32" s="817">
        <f>Measurement!N7</f>
        <v>20.5886</v>
      </c>
      <c r="P32" s="818"/>
      <c r="Q32" s="819">
        <f>Measurement!T7</f>
        <v>22.389600000000002</v>
      </c>
      <c r="R32" s="820"/>
    </row>
    <row r="33" spans="3:18" ht="12.75" customHeight="1">
      <c r="C33" s="77"/>
      <c r="I33" s="502">
        <f>Measurement!L8</f>
        <v>3</v>
      </c>
      <c r="J33" s="139" t="str">
        <f>lang!B15</f>
        <v>스트레스</v>
      </c>
      <c r="K33" s="90" t="s">
        <v>226</v>
      </c>
      <c r="L33" s="504" t="str">
        <f>Measurement!Y8</f>
        <v>보통</v>
      </c>
      <c r="M33" s="792">
        <f>Measurement!R8</f>
        <v>22.9574</v>
      </c>
      <c r="N33" s="793"/>
      <c r="O33" s="806">
        <f>Measurement!N8</f>
        <v>23.428899999999999</v>
      </c>
      <c r="P33" s="807"/>
      <c r="Q33" s="792">
        <f>Measurement!T8</f>
        <v>27.7437</v>
      </c>
      <c r="R33" s="808"/>
    </row>
    <row r="34" spans="3:18" ht="12.75" customHeight="1">
      <c r="C34" s="77"/>
      <c r="I34" s="502">
        <f>Measurement!L9</f>
        <v>3</v>
      </c>
      <c r="J34" s="139" t="str">
        <f>lang!B16</f>
        <v>불안</v>
      </c>
      <c r="K34" s="90" t="s">
        <v>227</v>
      </c>
      <c r="L34" s="504" t="str">
        <f>Measurement!Y9</f>
        <v>보통</v>
      </c>
      <c r="M34" s="792">
        <f>Measurement!R9</f>
        <v>5.4659399999999998</v>
      </c>
      <c r="N34" s="793"/>
      <c r="O34" s="806">
        <f>Measurement!N9</f>
        <v>27.514500000000002</v>
      </c>
      <c r="P34" s="807"/>
      <c r="Q34" s="792">
        <f>Measurement!T9</f>
        <v>45.7821</v>
      </c>
      <c r="R34" s="808"/>
    </row>
    <row r="35" spans="3:18" ht="12.75" customHeight="1">
      <c r="C35" s="77"/>
      <c r="I35" s="502">
        <f>Measurement!L10</f>
        <v>2</v>
      </c>
      <c r="J35" s="139" t="str">
        <f>lang!B17</f>
        <v>의심</v>
      </c>
      <c r="K35" s="90" t="s">
        <v>225</v>
      </c>
      <c r="L35" s="504" t="str">
        <f>Measurement!Y10</f>
        <v>낮음</v>
      </c>
      <c r="M35" s="792">
        <f>Measurement!R10</f>
        <v>17.254200000000001</v>
      </c>
      <c r="N35" s="793"/>
      <c r="O35" s="806">
        <f>Measurement!N10</f>
        <v>20.745799999999999</v>
      </c>
      <c r="P35" s="807"/>
      <c r="Q35" s="792">
        <f>Measurement!T10</f>
        <v>29.8794</v>
      </c>
      <c r="R35" s="808"/>
    </row>
    <row r="36" spans="3:18" ht="12.75" customHeight="1">
      <c r="C36" s="77"/>
      <c r="I36" s="502">
        <f>Measurement!L11</f>
        <v>3</v>
      </c>
      <c r="J36" s="139" t="str">
        <f>lang!B18</f>
        <v>밸런스</v>
      </c>
      <c r="K36" s="90" t="s">
        <v>2171</v>
      </c>
      <c r="L36" s="504" t="str">
        <f>Measurement!Y11</f>
        <v>보통</v>
      </c>
      <c r="M36" s="792">
        <f>Measurement!R11</f>
        <v>50.963900000000002</v>
      </c>
      <c r="N36" s="793"/>
      <c r="O36" s="806">
        <f>Measurement!N11</f>
        <v>65.075900000000004</v>
      </c>
      <c r="P36" s="807"/>
      <c r="Q36" s="792">
        <f>Measurement!T11</f>
        <v>80.931799999999996</v>
      </c>
      <c r="R36" s="808"/>
    </row>
    <row r="37" spans="3:18" ht="12.75" customHeight="1">
      <c r="C37" s="77"/>
      <c r="I37" s="502">
        <f>Measurement!L12</f>
        <v>4</v>
      </c>
      <c r="J37" s="139" t="str">
        <f>lang!B19</f>
        <v>카리스마</v>
      </c>
      <c r="K37" s="90" t="s">
        <v>229</v>
      </c>
      <c r="L37" s="504" t="str">
        <f>Measurement!Y12</f>
        <v>높음</v>
      </c>
      <c r="M37" s="792">
        <f>Measurement!R12</f>
        <v>76.158100000000005</v>
      </c>
      <c r="N37" s="793"/>
      <c r="O37" s="806">
        <f>Measurement!N12</f>
        <v>76.694599999999994</v>
      </c>
      <c r="P37" s="807"/>
      <c r="Q37" s="792">
        <f>Measurement!T12</f>
        <v>77.088399999999993</v>
      </c>
      <c r="R37" s="808"/>
    </row>
    <row r="38" spans="3:18" ht="12.75" customHeight="1">
      <c r="C38" s="77"/>
      <c r="I38" s="502">
        <f>Measurement!L13</f>
        <v>2</v>
      </c>
      <c r="J38" s="139" t="str">
        <f>lang!B20</f>
        <v>에너지</v>
      </c>
      <c r="K38" s="90" t="s">
        <v>2170</v>
      </c>
      <c r="L38" s="504" t="str">
        <f>Measurement!Y13</f>
        <v>낮음</v>
      </c>
      <c r="M38" s="792">
        <f>Measurement!R13</f>
        <v>15.8195</v>
      </c>
      <c r="N38" s="793"/>
      <c r="O38" s="806">
        <f>Measurement!N13</f>
        <v>17.287500000000001</v>
      </c>
      <c r="P38" s="807"/>
      <c r="Q38" s="792">
        <f>Measurement!T13</f>
        <v>18.519400000000001</v>
      </c>
      <c r="R38" s="808"/>
    </row>
    <row r="39" spans="3:18" ht="12.75" customHeight="1">
      <c r="C39" s="77"/>
      <c r="I39" s="502">
        <f>Measurement!L14</f>
        <v>3</v>
      </c>
      <c r="J39" s="139" t="str">
        <f>lang!B21</f>
        <v>자기조절</v>
      </c>
      <c r="K39" s="90" t="s">
        <v>230</v>
      </c>
      <c r="L39" s="504" t="str">
        <f>Measurement!Y14</f>
        <v>보통</v>
      </c>
      <c r="M39" s="792">
        <f>Measurement!R14</f>
        <v>63.904400000000003</v>
      </c>
      <c r="N39" s="793"/>
      <c r="O39" s="806">
        <f>Measurement!N14</f>
        <v>70.885199999999998</v>
      </c>
      <c r="P39" s="807"/>
      <c r="Q39" s="792">
        <f>Measurement!T14</f>
        <v>78.613500000000002</v>
      </c>
      <c r="R39" s="808"/>
    </row>
    <row r="40" spans="3:18" ht="12.75" customHeight="1">
      <c r="C40" s="77"/>
      <c r="I40" s="502">
        <f>Measurement!L15</f>
        <v>3</v>
      </c>
      <c r="J40" s="139" t="str">
        <f>lang!B22</f>
        <v>억제</v>
      </c>
      <c r="K40" s="91" t="s">
        <v>248</v>
      </c>
      <c r="L40" s="504" t="str">
        <f>Measurement!Y15</f>
        <v>보통</v>
      </c>
      <c r="M40" s="792">
        <f>Measurement!R15</f>
        <v>13.8451</v>
      </c>
      <c r="N40" s="793"/>
      <c r="O40" s="806">
        <f>Measurement!N15</f>
        <v>16.466200000000001</v>
      </c>
      <c r="P40" s="807"/>
      <c r="Q40" s="792">
        <f>Measurement!T15</f>
        <v>27.3126</v>
      </c>
      <c r="R40" s="808"/>
    </row>
    <row r="41" spans="3:18" ht="12.75" customHeight="1" thickBot="1">
      <c r="C41" s="77"/>
      <c r="I41" s="502">
        <f>Measurement!L16</f>
        <v>3</v>
      </c>
      <c r="J41" s="140" t="str">
        <f>lang!B23</f>
        <v>신경성</v>
      </c>
      <c r="K41" s="92" t="s">
        <v>231</v>
      </c>
      <c r="L41" s="504" t="str">
        <f>Measurement!Y16</f>
        <v>보통</v>
      </c>
      <c r="M41" s="794">
        <f>Measurement!R16</f>
        <v>2.2991899999999998</v>
      </c>
      <c r="N41" s="795"/>
      <c r="O41" s="796">
        <f>Measurement!N16</f>
        <v>36.341900000000003</v>
      </c>
      <c r="P41" s="797"/>
      <c r="Q41" s="794">
        <f>Measurement!T16</f>
        <v>41.941000000000003</v>
      </c>
      <c r="R41" s="798"/>
    </row>
    <row r="42" spans="3:18" ht="29.25" customHeight="1" thickBot="1">
      <c r="C42" s="77"/>
      <c r="I42" s="84"/>
      <c r="J42" s="780" t="str">
        <f>lang!B215</f>
        <v>감정변이도</v>
      </c>
      <c r="K42" s="781"/>
      <c r="L42" s="319" t="str">
        <f>info!V43</f>
        <v>보통</v>
      </c>
      <c r="M42" s="782">
        <f>info!W43</f>
        <v>16.982700000000001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1.14086</v>
      </c>
      <c r="E44" s="249" t="s">
        <v>1195</v>
      </c>
      <c r="G44" s="289"/>
      <c r="H44" s="289"/>
      <c r="I44" s="290"/>
      <c r="J44" s="802">
        <f>info!$W$36</f>
        <v>79.689925000000002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45779.706134259257</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MXPI</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(-0.14,-0.17)</v>
      </c>
      <c r="S18" s="966"/>
      <c r="T18" s="967"/>
    </row>
    <row r="19" spans="2:22" ht="16.5" customHeight="1">
      <c r="C19" s="136" t="str">
        <f>lang!B328</f>
        <v>최소값</v>
      </c>
      <c r="D19" s="105">
        <f ca="1">info!M7</f>
        <v>70.186700000000002</v>
      </c>
      <c r="E19" s="94" t="str">
        <f>lang!B330</f>
        <v>평균값</v>
      </c>
      <c r="F19" s="971">
        <f ca="1">info!N9</f>
        <v>71.853964000000005</v>
      </c>
      <c r="G19" s="972"/>
      <c r="H19" s="912" t="str">
        <f>lang!B329</f>
        <v>최대값</v>
      </c>
      <c r="I19" s="913"/>
      <c r="J19" s="105">
        <f ca="1">info!M8</f>
        <v>72.6554</v>
      </c>
      <c r="K19" s="137" t="str">
        <f>lang!B328</f>
        <v>최소값</v>
      </c>
      <c r="L19" s="105">
        <f ca="1">info!M5</f>
        <v>2.19984</v>
      </c>
      <c r="M19" s="94" t="str">
        <f>lang!B330</f>
        <v>평균값</v>
      </c>
      <c r="N19" s="971">
        <f ca="1">info!M9</f>
        <v>2.3240751999999998</v>
      </c>
      <c r="O19" s="972">
        <f>info!T9</f>
        <v>1</v>
      </c>
      <c r="P19" s="94" t="str">
        <f>lang!B329</f>
        <v>최대값</v>
      </c>
      <c r="Q19" s="105">
        <f ca="1">info!M6</f>
        <v>2.4514100000000001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30.965264564026267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1.1408640000000001</v>
      </c>
      <c r="N47" s="986"/>
      <c r="O47" s="451"/>
      <c r="P47" s="491" t="s">
        <v>1101</v>
      </c>
      <c r="Q47" s="987">
        <f>hist!M3</f>
        <v>0.50728600000000001</v>
      </c>
      <c r="R47" s="986"/>
      <c r="S47" s="451"/>
      <c r="T47" s="452"/>
    </row>
    <row r="48" spans="3:20" ht="18" customHeight="1">
      <c r="C48" s="931"/>
      <c r="D48" s="910"/>
      <c r="E48" s="910"/>
      <c r="F48" s="355"/>
      <c r="G48" s="355"/>
      <c r="H48" s="356"/>
      <c r="I48" s="356"/>
      <c r="J48" s="951"/>
      <c r="K48" s="951"/>
      <c r="L48" s="936"/>
      <c r="M48" s="988">
        <f>hist!N2</f>
        <v>0.27080100000000001</v>
      </c>
      <c r="N48" s="989"/>
      <c r="O48" s="451"/>
      <c r="P48" s="491" t="s">
        <v>1102</v>
      </c>
      <c r="Q48" s="986">
        <f>hist!N3</f>
        <v>0.29276400000000002</v>
      </c>
      <c r="R48" s="989"/>
      <c r="S48" s="451"/>
      <c r="T48" s="452"/>
    </row>
    <row r="49" spans="3:20" ht="22.5" customHeight="1" thickBot="1">
      <c r="C49" s="932"/>
      <c r="D49" s="934" t="str">
        <f>lang!B353</f>
        <v>저활력도 (0%)</v>
      </c>
      <c r="E49" s="934"/>
      <c r="F49" s="934"/>
      <c r="G49" s="934"/>
      <c r="H49" s="934"/>
      <c r="I49" s="934"/>
      <c r="J49" s="934"/>
      <c r="K49" s="934"/>
      <c r="L49" s="937"/>
      <c r="M49" s="990">
        <f>hist!O2</f>
        <v>7.3332999999999995E-2</v>
      </c>
      <c r="N49" s="991"/>
      <c r="O49" s="453"/>
      <c r="P49" s="454" t="s">
        <v>1588</v>
      </c>
      <c r="Q49" s="992">
        <f>hist!O3</f>
        <v>8.5710999999999996E-2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vision^MXPI^1^1^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7</v>
      </c>
      <c r="CI4" t="s">
        <v>1570</v>
      </c>
      <c r="CJ4" s="426">
        <f>DK17*100</f>
        <v>66.155604858619128</v>
      </c>
      <c r="CK4" s="422">
        <f>info!W21</f>
        <v>14.34725321184718</v>
      </c>
      <c r="CL4">
        <f>100-M!B19*100</f>
        <v>29.050899999999999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45779.706134259257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16.982700000000001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3</v>
      </c>
      <c r="BY6" s="220">
        <f t="shared" si="0"/>
        <v>5</v>
      </c>
      <c r="BZ6" s="220">
        <f t="shared" si="0"/>
        <v>7</v>
      </c>
      <c r="CA6" s="220">
        <f t="shared" si="0"/>
        <v>6</v>
      </c>
      <c r="CB6" s="220">
        <f t="shared" si="0"/>
        <v>2</v>
      </c>
      <c r="CC6" s="220">
        <f t="shared" si="0"/>
        <v>9</v>
      </c>
      <c r="CD6" s="220">
        <f t="shared" si="0"/>
        <v>10</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2</v>
      </c>
      <c r="M7" s="162" t="str">
        <f>lang!B14</f>
        <v>적극/공격성</v>
      </c>
      <c r="N7" s="48">
        <f>IF(M!B5="","",M!B5*1)</f>
        <v>20.5886</v>
      </c>
      <c r="O7" s="48">
        <f>M!C5*1</f>
        <v>0.69159899999999996</v>
      </c>
      <c r="P7" s="48">
        <f>M!D5*1</f>
        <v>3.3591299999999999</v>
      </c>
      <c r="Q7" s="48">
        <f>M!E5*1</f>
        <v>20</v>
      </c>
      <c r="R7" s="48">
        <f>IF(M!B5="","",M!F5*1)</f>
        <v>20.266100000000002</v>
      </c>
      <c r="S7" s="48">
        <f>M!G5*1</f>
        <v>50</v>
      </c>
      <c r="T7" s="48">
        <f>IF(M!B5="","",M!H5*1)</f>
        <v>22.389600000000002</v>
      </c>
      <c r="U7" s="125">
        <v>20</v>
      </c>
      <c r="V7" s="125">
        <v>25</v>
      </c>
      <c r="W7" s="125">
        <v>45</v>
      </c>
      <c r="X7" s="125">
        <v>50</v>
      </c>
      <c r="Y7" s="126" t="str">
        <f>IF(M!B5="","",IF(N7&lt;U7,lang!B$210,IF(N7&lt;V7,lang!B$211,IF(N7&lt;W7,lang!B$212,IF(N7&lt;X7,lang!B$213,lang!B$214)))))</f>
        <v>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-4.0317453598521071</v>
      </c>
      <c r="AI7" s="98">
        <v>2.5024862326905418E-2</v>
      </c>
      <c r="AJ7" s="98">
        <v>-7.7313821231156016E-2</v>
      </c>
      <c r="AK7" s="98">
        <v>0.50012525104428274</v>
      </c>
      <c r="AL7" s="98">
        <v>-8.545985269705475E-2</v>
      </c>
      <c r="AM7" s="98">
        <f>$AH7*AI7+$AH8*AI8+$AH9*AI9+$AH10*AI10+$AH11*AI11+$AH12*AI12+$AH13*AI13+$AH14*AI14+$AH15*AI15+$AH16*AI16</f>
        <v>1.3198703369330242</v>
      </c>
      <c r="AN7" s="98">
        <f t="shared" ref="AN7:AP7" si="2">$AH7*AJ7+$AH8*AJ8+$AH9*AJ9+$AH10*AJ10+$AH11*AJ11+$AH12*AJ12+$AH13*AJ13+$AH14*AJ14+$AH15*AJ15+$AH16*AJ16</f>
        <v>0.43248128042584055</v>
      </c>
      <c r="AO7" s="98">
        <f t="shared" si="2"/>
        <v>-4.0809249062718687</v>
      </c>
      <c r="AP7" s="98">
        <f t="shared" si="2"/>
        <v>-1.0891585315014727</v>
      </c>
      <c r="AQ7" s="335">
        <f>IF(SUM(N7:N16)&gt;0, 0.8608*AM7+0.333*AN7+0.104*AO7+1.129*AP7,"")</f>
        <v>-0.37391551990368455</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20.5886</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232.79352902200003</v>
      </c>
      <c r="BL7" s="56">
        <f t="shared" ref="BL7:BT7" si="3">BB7*$AY7+BB8*$AY8+BB9*$AY9+BB10*$AY10+BB11*$AY11+BB12*$AY12+BB13*$AY13+BB14</f>
        <v>229.6875439294999</v>
      </c>
      <c r="BM7" s="56">
        <f t="shared" si="3"/>
        <v>231.79972743600001</v>
      </c>
      <c r="BN7" s="56">
        <f t="shared" si="3"/>
        <v>223.69850383574993</v>
      </c>
      <c r="BO7" s="56">
        <f t="shared" si="3"/>
        <v>220.88843878250009</v>
      </c>
      <c r="BP7" s="56">
        <f t="shared" si="3"/>
        <v>223.55393569049988</v>
      </c>
      <c r="BQ7" s="56">
        <f t="shared" si="3"/>
        <v>232.32979319625008</v>
      </c>
      <c r="BR7" s="56">
        <f t="shared" si="3"/>
        <v>220.03492979974999</v>
      </c>
      <c r="BS7" s="56">
        <f t="shared" si="3"/>
        <v>206.18626293899996</v>
      </c>
      <c r="BT7" s="56">
        <f t="shared" si="3"/>
        <v>220.54546584949998</v>
      </c>
      <c r="BU7" s="56">
        <f>EXP(BK7)+EXP(BL7)+EXP(BM7)+EXP(BN7)+EXP(BO7)+EXP(BP7)+EXP(BQ7)+EXP(BR7)+EXP(BS7)+EXP(BT7)</f>
        <v>2.578976279298109E+101</v>
      </c>
      <c r="BV7" s="56">
        <f>IF(SUM($AY$7:$AY$13)&gt;0,EXP(BK7)/$BU$7,"")</f>
        <v>0.48921270740366068</v>
      </c>
      <c r="BW7" s="56">
        <f t="shared" ref="BW7:CE7" si="4">IF(SUM($AY$7:$AY$13)&gt;0,EXP(BL7)/$BU$7,"")</f>
        <v>2.1907132897216793E-2</v>
      </c>
      <c r="BX7" s="56">
        <f t="shared" si="4"/>
        <v>0.18109029845627758</v>
      </c>
      <c r="BY7" s="56">
        <f t="shared" si="4"/>
        <v>5.490077538994479E-5</v>
      </c>
      <c r="BZ7" s="56">
        <f t="shared" si="4"/>
        <v>3.3050857511243228E-6</v>
      </c>
      <c r="CA7" s="56">
        <f t="shared" si="4"/>
        <v>4.7510908002943949E-5</v>
      </c>
      <c r="CB7" s="56">
        <f t="shared" si="4"/>
        <v>0.30768039129896524</v>
      </c>
      <c r="CC7" s="56">
        <f t="shared" si="4"/>
        <v>1.4076947482223687E-6</v>
      </c>
      <c r="CD7" s="56">
        <f t="shared" si="4"/>
        <v>1.3617860814425182E-12</v>
      </c>
      <c r="CE7" s="56">
        <f t="shared" si="4"/>
        <v>2.3454786256915246E-6</v>
      </c>
      <c r="CF7" s="418" t="s">
        <v>1870</v>
      </c>
      <c r="CG7" s="221">
        <f>IF(SUM($AY$7:$AY$13)&gt;0,HLOOKUP(1,$BV$6:$CE$7,2,FALSE),"")</f>
        <v>0.48921270740366068</v>
      </c>
      <c r="CH7" s="221">
        <f>IF(SUM($AY$7:$AY$13)&gt;0,HLOOKUP(2,$BV$6:$CE$7,2,FALSE),"")</f>
        <v>0.30768039129896524</v>
      </c>
      <c r="CI7" s="425" t="str">
        <f>"( "&amp;IF(CG7&lt;&gt;"",ROUND(CG7*100,0),"")&amp;" , "&amp;IF(CH7&lt;&gt;"",ROUND(CH7*100,0),"")&amp;" )"</f>
        <v>( 49 , 31 )</v>
      </c>
      <c r="CJ7" s="420">
        <f>CG7</f>
        <v>0.48921270740366068</v>
      </c>
      <c r="CK7" s="420">
        <f>CH7</f>
        <v>0.30768039129896524</v>
      </c>
      <c r="CL7" s="425" t="str">
        <f>CI7</f>
        <v>( 49 , 31 )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20.5886</v>
      </c>
      <c r="DJ7" s="265">
        <f>(DI7-$DB7)/$DC7</f>
        <v>-2.3040477359709826</v>
      </c>
      <c r="DK7" s="266">
        <f>IF(DH7=1,(DJ7-DF7)^2,0)</f>
        <v>11.905408716722352</v>
      </c>
      <c r="DL7" s="267">
        <f>IF(DH7=1,(DJ7-DG7)^2,0)</f>
        <v>18.804199596956117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23.428899999999999</v>
      </c>
      <c r="O8" s="48">
        <f>M!C6*1</f>
        <v>1.5596099999999999</v>
      </c>
      <c r="P8" s="48">
        <f>M!D6*1</f>
        <v>6.6567699999999999</v>
      </c>
      <c r="Q8" s="48">
        <f>M!E6*1</f>
        <v>20</v>
      </c>
      <c r="R8" s="48">
        <f>IF(M!B6="","",M!F6*1)</f>
        <v>22.9574</v>
      </c>
      <c r="S8" s="48">
        <f>M!G6*1</f>
        <v>40</v>
      </c>
      <c r="T8" s="48">
        <f>IF(M!B6="","",M!H6*1)</f>
        <v>27.7437</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-1.9033170480843411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23.428899999999999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7</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23.428899999999999</v>
      </c>
      <c r="DJ8" s="265">
        <f t="shared" ref="DJ8:DJ14" si="8">(DI8-$DB8)/$DC8</f>
        <v>-1.1909009010665161</v>
      </c>
      <c r="DK8" s="273">
        <f t="shared" ref="DK8:DK14" si="9">IF(DH8=1,(DJ8-DF8)^2,0)</f>
        <v>8.5111463756220682E-2</v>
      </c>
      <c r="DL8" s="274">
        <f t="shared" ref="DL8:DL14" si="10">IF(DH8=1,(DJ8-DG8)^2,0)</f>
        <v>2.1386198713958366</v>
      </c>
    </row>
    <row r="9" spans="2:119" s="5" customFormat="1" ht="24.75" customHeight="1" thickBot="1">
      <c r="B9" s="62" t="str">
        <f>CONCATENATE(M7,"
(20 ~ 50)")</f>
        <v>적극/공격성
(20 ~ 50)</v>
      </c>
      <c r="C9" s="63">
        <f>R7</f>
        <v>20.266100000000002</v>
      </c>
      <c r="D9" s="64">
        <f>N7</f>
        <v>20.5886</v>
      </c>
      <c r="E9" s="65">
        <f>T7</f>
        <v>22.389600000000002</v>
      </c>
      <c r="F9" s="65">
        <f>P7</f>
        <v>3.3591299999999999</v>
      </c>
      <c r="G9" s="66" t="str">
        <f>CONCATENATE(M8,"
(20 ~ 40)")</f>
        <v>스트레스
(20 ~ 40)</v>
      </c>
      <c r="H9" s="63">
        <f>R8</f>
        <v>22.9574</v>
      </c>
      <c r="I9" s="67">
        <f>N8</f>
        <v>23.428899999999999</v>
      </c>
      <c r="J9" s="63">
        <f>T8</f>
        <v>27.7437</v>
      </c>
      <c r="K9" s="68">
        <f>P8</f>
        <v>6.6567699999999999</v>
      </c>
      <c r="L9" s="1">
        <f>IF(M!B7="","",IF(N9&lt;U9,1,IF(N9&lt;V9,2,IF(N9&lt;W9,3,IF(N9&lt;X9,4,5)))))</f>
        <v>3</v>
      </c>
      <c r="M9" s="162" t="str">
        <f>lang!B16</f>
        <v>불안</v>
      </c>
      <c r="N9" s="48">
        <f>IF(M!B7="","",M!B7*1)</f>
        <v>27.514500000000002</v>
      </c>
      <c r="O9" s="48">
        <f>M!C7*1</f>
        <v>13.674099999999999</v>
      </c>
      <c r="P9" s="48">
        <f>M!D7*1</f>
        <v>49.698</v>
      </c>
      <c r="Q9" s="48">
        <f>M!E7*1</f>
        <v>15</v>
      </c>
      <c r="R9" s="48">
        <f>IF(M!B7="","",M!F7*1)</f>
        <v>5.4659399999999998</v>
      </c>
      <c r="S9" s="48">
        <f>M!G7*1</f>
        <v>40</v>
      </c>
      <c r="T9" s="48">
        <f>IF(M!B7="","",M!H7*1)</f>
        <v>45.7821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0.72314948008188473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27.514500000000002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27.514500000000002</v>
      </c>
      <c r="DJ9" s="265">
        <f t="shared" si="8"/>
        <v>-0.14770240069944793</v>
      </c>
      <c r="DK9" s="273">
        <f t="shared" si="9"/>
        <v>1.1459341553761007</v>
      </c>
      <c r="DL9" s="274">
        <f t="shared" si="10"/>
        <v>9.3628074778611001E-2</v>
      </c>
      <c r="DM9"/>
      <c r="DN9"/>
    </row>
    <row r="10" spans="2:119" s="4" customFormat="1" ht="30.3" thickBot="1">
      <c r="B10" s="57" t="str">
        <f>CONCATENATE(M9,"
(15 ~ 40)")</f>
        <v>불안
(15 ~ 40)</v>
      </c>
      <c r="C10" s="17">
        <f>R9</f>
        <v>5.4659399999999998</v>
      </c>
      <c r="D10" s="41">
        <f>N9</f>
        <v>27.514500000000002</v>
      </c>
      <c r="E10" s="43">
        <f>T9</f>
        <v>45.7821</v>
      </c>
      <c r="F10" s="43">
        <f>P9</f>
        <v>49.698</v>
      </c>
      <c r="G10" s="59" t="str">
        <f>CONCATENATE(M10,"
(20 ~ 50)")</f>
        <v>의심
(20 ~ 50)</v>
      </c>
      <c r="H10" s="17">
        <f>R10</f>
        <v>17.254200000000001</v>
      </c>
      <c r="I10" s="42">
        <f>N10</f>
        <v>20.745799999999999</v>
      </c>
      <c r="J10" s="17">
        <f>T10</f>
        <v>29.8794</v>
      </c>
      <c r="K10" s="18">
        <f>P10</f>
        <v>21.948899999999998</v>
      </c>
      <c r="L10" s="1">
        <f>IF(M!B8="","",IF(N10&lt;U10,1,IF(N10&lt;V10,2,IF(N10&lt;W10,3,IF(N10&lt;X10,4,5)))))</f>
        <v>2</v>
      </c>
      <c r="M10" s="162" t="str">
        <f>lang!B17</f>
        <v>의심</v>
      </c>
      <c r="N10" s="48">
        <f>IF(M!B8="","",M!B8*1)</f>
        <v>20.745799999999999</v>
      </c>
      <c r="O10" s="48">
        <f>M!C8*1</f>
        <v>4.5534699999999999</v>
      </c>
      <c r="P10" s="48">
        <f>M!D8*1</f>
        <v>21.948899999999998</v>
      </c>
      <c r="Q10" s="48">
        <f>M!E8*1</f>
        <v>20</v>
      </c>
      <c r="R10" s="48">
        <f>IF(M!B8="","",M!F8*1)</f>
        <v>17.254200000000001</v>
      </c>
      <c r="S10" s="48">
        <f>M!G8*1</f>
        <v>50</v>
      </c>
      <c r="T10" s="48">
        <f>IF(M!B8="","",M!H8*1)</f>
        <v>29.8794</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-3.0177778609400021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65.075900000000004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피곤</v>
      </c>
      <c r="CI10" s="363"/>
      <c r="CJ10" s="516" t="str">
        <f>IF(CJ8&lt;&gt;"",HLOOKUP(CJ8,$CN$8:$CY$12,3,FALSE),"")</f>
        <v>최상의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65.075900000000004</v>
      </c>
      <c r="DJ10" s="265">
        <f t="shared" si="8"/>
        <v>-0.12257505338731246</v>
      </c>
      <c r="DK10" s="273">
        <f t="shared" si="9"/>
        <v>1.8197636026197079E-2</v>
      </c>
      <c r="DL10" s="274">
        <f t="shared" si="10"/>
        <v>2.0783767392174139</v>
      </c>
      <c r="DM10"/>
      <c r="DN10"/>
    </row>
    <row r="11" spans="2:119" s="4" customFormat="1" ht="24.75" customHeight="1" thickBot="1">
      <c r="B11" s="57" t="str">
        <f>CONCATENATE(M11,"
(50 ~ 100)")</f>
        <v>밸런스
(50 ~ 100)</v>
      </c>
      <c r="C11" s="17">
        <f>R11</f>
        <v>50.963900000000002</v>
      </c>
      <c r="D11" s="42">
        <f>N11</f>
        <v>65.075900000000004</v>
      </c>
      <c r="E11" s="17">
        <f>T11</f>
        <v>80.931799999999996</v>
      </c>
      <c r="F11" s="17">
        <f>P11</f>
        <v>14.4549</v>
      </c>
      <c r="G11" s="59" t="str">
        <f>CONCATENATE(M12,"
(40 ~ 100)")</f>
        <v>카리스마
(40 ~ 100)</v>
      </c>
      <c r="H11" s="17">
        <f>R12</f>
        <v>76.158100000000005</v>
      </c>
      <c r="I11" s="42">
        <f>N12</f>
        <v>76.694599999999994</v>
      </c>
      <c r="J11" s="17">
        <f>T12</f>
        <v>77.088399999999993</v>
      </c>
      <c r="K11" s="18">
        <f>P12</f>
        <v>0.30442799999999998</v>
      </c>
      <c r="L11" s="1">
        <f>IF(M!B9="","",IF(N11&lt;U11,1,IF(N11&lt;V11,2,IF(N11&lt;W11,3,IF(N11&lt;X11,4,5)))))</f>
        <v>3</v>
      </c>
      <c r="M11" s="162" t="str">
        <f>lang!B18</f>
        <v>밸런스</v>
      </c>
      <c r="N11" s="48">
        <f>IF(M!B9="","",M!B9*1)</f>
        <v>65.075900000000004</v>
      </c>
      <c r="O11" s="48">
        <f>M!C9*1</f>
        <v>9.4066200000000002</v>
      </c>
      <c r="P11" s="48">
        <f>M!D9*1</f>
        <v>14.4549</v>
      </c>
      <c r="Q11" s="48">
        <f>M!E9*1</f>
        <v>50</v>
      </c>
      <c r="R11" s="48">
        <f>IF(M!B9="","",M!F9*1)</f>
        <v>50.963900000000002</v>
      </c>
      <c r="S11" s="48">
        <f>M!G9*1</f>
        <v>100</v>
      </c>
      <c r="T11" s="48">
        <f>IF(M!B9="","",M!H9*1)</f>
        <v>80.931799999999996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-1.1802492245833314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76.694599999999994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피곤 상태입니다.</v>
      </c>
      <c r="CI11" s="364" t="s">
        <v>1566</v>
      </c>
      <c r="CJ11" s="516" t="str">
        <f>IF(CJ8&lt;&gt;"",HLOOKUP(CJ8,$CN$8:$CY$12,4,FALSE),"")</f>
        <v>최상의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76.694599999999994</v>
      </c>
      <c r="DJ11" s="265">
        <f t="shared" si="8"/>
        <v>0.74241196586193148</v>
      </c>
      <c r="DK11" s="273">
        <f t="shared" si="9"/>
        <v>7.182891812407742E-2</v>
      </c>
      <c r="DL11" s="274">
        <f t="shared" si="10"/>
        <v>1.2516765781152484</v>
      </c>
      <c r="DM11"/>
      <c r="DN11"/>
    </row>
    <row r="12" spans="2:119" s="4" customFormat="1" ht="24.75" customHeight="1" thickBot="1">
      <c r="B12" s="57" t="str">
        <f>CONCATENATE(M13,"
(10 ~ 50)")</f>
        <v>에너지
(10 ~ 50)</v>
      </c>
      <c r="C12" s="17">
        <f>R13</f>
        <v>15.8195</v>
      </c>
      <c r="D12" s="41">
        <f>N13</f>
        <v>17.287500000000001</v>
      </c>
      <c r="E12" s="43">
        <f>T13</f>
        <v>18.519400000000001</v>
      </c>
      <c r="F12" s="43">
        <f>P13</f>
        <v>4.5099900000000002</v>
      </c>
      <c r="G12" s="59" t="str">
        <f>CONCATENATE(M14,"
(50 ~ 100)")</f>
        <v>자기조절
(50 ~ 100)</v>
      </c>
      <c r="H12" s="17">
        <f>R14</f>
        <v>63.904400000000003</v>
      </c>
      <c r="I12" s="42">
        <f>N14</f>
        <v>70.885199999999998</v>
      </c>
      <c r="J12" s="17">
        <f>T14</f>
        <v>78.613500000000002</v>
      </c>
      <c r="K12" s="18">
        <f>P14</f>
        <v>6.4828900000000003</v>
      </c>
      <c r="L12" s="1">
        <f>IF(M!B10="","",IF(N12&lt;U12,1,IF(N12&lt;V12,2,IF(N12&lt;W12,3,IF(N12&lt;X12,4,5)))))</f>
        <v>4</v>
      </c>
      <c r="M12" s="162" t="str">
        <f>lang!B19</f>
        <v>카리스마</v>
      </c>
      <c r="N12" s="48">
        <f>IF(M!B10="","",M!B10*1)</f>
        <v>76.694599999999994</v>
      </c>
      <c r="O12" s="48">
        <f>M!C10*1</f>
        <v>0.23347999999999999</v>
      </c>
      <c r="P12" s="48">
        <f>M!D10*1</f>
        <v>0.30442799999999998</v>
      </c>
      <c r="Q12" s="48">
        <f>M!E10*1</f>
        <v>40</v>
      </c>
      <c r="R12" s="48">
        <f>IF(M!B10="","",M!F10*1)</f>
        <v>76.158100000000005</v>
      </c>
      <c r="S12" s="48">
        <f>M!G10*1</f>
        <v>100</v>
      </c>
      <c r="T12" s="48">
        <f>IF(M!B10="","",M!H10*1)</f>
        <v>77.088399999999993</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0.58393774449069291</v>
      </c>
      <c r="AI12" s="98">
        <v>0.31913434649697919</v>
      </c>
      <c r="AJ12" s="98">
        <v>3.8587997439955973E-2</v>
      </c>
      <c r="AK12" s="98">
        <v>1.0272327081707585E-2</v>
      </c>
      <c r="AL12" s="98">
        <v>1.9404033844491575E-2</v>
      </c>
      <c r="AM12" s="101"/>
      <c r="AN12" s="101"/>
      <c r="AO12" s="101"/>
      <c r="AP12" s="101"/>
      <c r="AX12" s="171"/>
      <c r="AY12" s="219">
        <f>N13</f>
        <v>17.287500000000001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17.287500000000001</v>
      </c>
      <c r="DJ12" s="265">
        <f t="shared" si="8"/>
        <v>-0.10608029536095939</v>
      </c>
      <c r="DK12" s="273">
        <f t="shared" si="9"/>
        <v>3.9755473244171156</v>
      </c>
      <c r="DL12" s="274">
        <f t="shared" si="10"/>
        <v>0.20022164185016156</v>
      </c>
      <c r="DM12"/>
      <c r="DN12"/>
    </row>
    <row r="13" spans="2:119" ht="24.75" customHeight="1" thickBot="1">
      <c r="B13" s="58" t="str">
        <f>CONCATENATE(M15,"
(10 ~ 25)")</f>
        <v>억제
(10 ~ 25)</v>
      </c>
      <c r="C13" s="44">
        <f>R15</f>
        <v>13.8451</v>
      </c>
      <c r="D13" s="45">
        <f>N15</f>
        <v>16.466200000000001</v>
      </c>
      <c r="E13" s="46">
        <f>T15</f>
        <v>27.3126</v>
      </c>
      <c r="F13" s="46">
        <f>P15</f>
        <v>22.070599999999999</v>
      </c>
      <c r="G13" s="60" t="str">
        <f>CONCATENATE(M16,"
(10 ~ 50)")</f>
        <v>신경성
(10 ~ 50)</v>
      </c>
      <c r="H13" s="44">
        <f>R16</f>
        <v>2.2991899999999998</v>
      </c>
      <c r="I13" s="45">
        <f>N16</f>
        <v>36.341900000000003</v>
      </c>
      <c r="J13" s="46">
        <f>T16</f>
        <v>41.941000000000003</v>
      </c>
      <c r="K13" s="47">
        <f>P16</f>
        <v>40.3416</v>
      </c>
      <c r="L13" s="1">
        <f>IF(M!B11="","",IF(N13&lt;U13,1,IF(N13&lt;V13,2,IF(N13&lt;W13,3,IF(N13&lt;X13,4,5)))))</f>
        <v>2</v>
      </c>
      <c r="M13" s="162" t="str">
        <f>lang!B20</f>
        <v>에너지</v>
      </c>
      <c r="N13" s="48">
        <f>IF(M!B11="","",M!B11*1)</f>
        <v>17.287500000000001</v>
      </c>
      <c r="O13" s="48">
        <f>M!C11*1</f>
        <v>0.77966599999999997</v>
      </c>
      <c r="P13" s="48">
        <f>M!D11*1</f>
        <v>4.5099900000000002</v>
      </c>
      <c r="Q13" s="48">
        <f>M!E11*1</f>
        <v>10</v>
      </c>
      <c r="R13" s="48">
        <f>IF(M!B11="","",M!F11*1)</f>
        <v>15.8195</v>
      </c>
      <c r="S13" s="48">
        <f>M!G11*1</f>
        <v>50</v>
      </c>
      <c r="T13" s="48">
        <f>IF(M!B11="","",M!H11*1)</f>
        <v>18.519400000000001</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-1.9183354300927979</v>
      </c>
      <c r="AI13" s="98">
        <v>0.16093442074971984</v>
      </c>
      <c r="AJ13" s="98">
        <v>-1.0988594420247608E-2</v>
      </c>
      <c r="AK13" s="98">
        <v>0.37151940745754808</v>
      </c>
      <c r="AL13" s="98">
        <v>8.9062029657998948E-2</v>
      </c>
      <c r="AM13" s="96"/>
      <c r="AN13" s="96"/>
      <c r="AO13" s="96"/>
      <c r="AP13" s="96"/>
      <c r="AX13" s="171"/>
      <c r="AY13" s="219">
        <f>info!W36</f>
        <v>79.689925000000002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36.341900000000003</v>
      </c>
      <c r="DJ13" s="265">
        <f t="shared" si="8"/>
        <v>0.58908469410847775</v>
      </c>
      <c r="DK13" s="273">
        <f>IF(DH13=1,(DJ13-DF13)^2,0)</f>
        <v>2.2275729524483343E-2</v>
      </c>
      <c r="DL13" s="274">
        <f t="shared" si="10"/>
        <v>0.915856475459769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70.885199999999998</v>
      </c>
      <c r="O14" s="48">
        <f>M!C12*1</f>
        <v>4.5954100000000002</v>
      </c>
      <c r="P14" s="48">
        <f>M!D12*1</f>
        <v>6.4828900000000003</v>
      </c>
      <c r="Q14" s="48">
        <f>M!E12*1</f>
        <v>50</v>
      </c>
      <c r="R14" s="48">
        <f>IF(M!B12="","",M!F12*1)</f>
        <v>63.904400000000003</v>
      </c>
      <c r="S14" s="48">
        <f>M!G12*1</f>
        <v>100</v>
      </c>
      <c r="T14" s="48">
        <f>IF(M!B12="","",M!H12*1)</f>
        <v>78.613500000000002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-4.7538899235459578E-2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89.817499999999995</v>
      </c>
      <c r="DJ14" s="265">
        <f t="shared" si="8"/>
        <v>2.8822971371417654</v>
      </c>
      <c r="DK14" s="279">
        <f t="shared" si="9"/>
        <v>8.7140424131316685</v>
      </c>
      <c r="DL14" s="280">
        <f t="shared" si="10"/>
        <v>25.219080340309635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16.466200000000001</v>
      </c>
      <c r="O15" s="48">
        <f>M!C13*1</f>
        <v>3.6341899999999998</v>
      </c>
      <c r="P15" s="48">
        <f>M!D13*1</f>
        <v>22.070599999999999</v>
      </c>
      <c r="Q15" s="48">
        <f>M!E13*1</f>
        <v>10</v>
      </c>
      <c r="R15" s="48">
        <f>IF(M!B13="","",M!F13*1)</f>
        <v>13.8451</v>
      </c>
      <c r="S15" s="48">
        <f>M!G13*1</f>
        <v>25</v>
      </c>
      <c r="T15" s="48">
        <f>IF(M!B13="","",M!H13*1)</f>
        <v>27.3126</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-1.0750951016766068</v>
      </c>
      <c r="AI15" s="98">
        <v>-8.3250321124619289E-2</v>
      </c>
      <c r="AJ15" s="98">
        <v>-0.44690513063775733</v>
      </c>
      <c r="AK15" s="98">
        <v>0.12052818186953573</v>
      </c>
      <c r="AL15" s="98">
        <v>-2.4174505446491225E-2</v>
      </c>
      <c r="AM15" s="96"/>
      <c r="AN15" s="96"/>
      <c r="AO15" s="96"/>
      <c r="AP15" s="96"/>
      <c r="AX15" s="171"/>
      <c r="AY15" s="50">
        <f>SUM(AY7:AY14)</f>
        <v>310.27992499999999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25.938346357078217</v>
      </c>
      <c r="DL15" s="281">
        <f>IF(SUM($DI$7:$DI$14)&gt;0,SUM(DL7:DL14),0)</f>
        <v>50.70165931808279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36.341900000000003</v>
      </c>
      <c r="O16" s="48">
        <f>M!C14*1</f>
        <v>14.6609</v>
      </c>
      <c r="P16" s="48">
        <f>M!D14*1</f>
        <v>40.3416</v>
      </c>
      <c r="Q16" s="48">
        <f>M!E14*1</f>
        <v>10</v>
      </c>
      <c r="R16" s="48">
        <f>IF(M!B14="","",M!F14*1)</f>
        <v>2.2991899999999998</v>
      </c>
      <c r="S16" s="48">
        <f>M!G14*1</f>
        <v>50</v>
      </c>
      <c r="T16" s="48">
        <f>IF(M!B14="","",M!H14*1)</f>
        <v>41.941000000000003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0.58344970510896854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3.8552958859966562E-2</v>
      </c>
      <c r="DL16" s="281">
        <f>IF(DL15&gt;0,1/DL15,0)</f>
        <v>1.9723220372855711E-2</v>
      </c>
      <c r="DM16" t="s">
        <v>1207</v>
      </c>
    </row>
    <row r="17" spans="2:117" ht="21" customHeight="1" thickBot="1">
      <c r="B17" s="20"/>
      <c r="C17"/>
      <c r="D17"/>
      <c r="E17"/>
      <c r="F17"/>
      <c r="G17" s="1071"/>
      <c r="H17" s="827"/>
      <c r="I17" s="827"/>
      <c r="J17" s="827"/>
      <c r="K17" s="828"/>
      <c r="M17" s="163" t="str">
        <f>lang!B7</f>
        <v>긍정감정</v>
      </c>
      <c r="N17" s="54">
        <f>SUM(N11:N14)/4</f>
        <v>57.485799999999998</v>
      </c>
      <c r="O17" s="16">
        <f>N17/(N17+N18+N19)</f>
        <v>0.53745490106984617</v>
      </c>
      <c r="P17" s="54">
        <f>SUM(P11:P14)/4</f>
        <v>6.4380519999999999</v>
      </c>
      <c r="Q17" s="16">
        <f>P17/(P17+P18+P19)</f>
        <v>0.11088646936268456</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0.66155604858619121</v>
      </c>
      <c r="DL17" s="283"/>
      <c r="DM17" s="284" t="s">
        <v>1208</v>
      </c>
    </row>
    <row r="18" spans="2:117" ht="21" customHeight="1">
      <c r="B18" s="20"/>
      <c r="C18"/>
      <c r="D18"/>
      <c r="E18"/>
      <c r="F18"/>
      <c r="G18" s="1071"/>
      <c r="H18" s="827"/>
      <c r="I18" s="827"/>
      <c r="J18" s="827"/>
      <c r="K18" s="828"/>
      <c r="M18" s="163" t="str">
        <f>lang!B8</f>
        <v>부정감정</v>
      </c>
      <c r="N18" s="14">
        <f>SUM(N7:N10)/4</f>
        <v>23.06945</v>
      </c>
      <c r="O18" s="16">
        <f>N18/(N17+N18+N19)</f>
        <v>0.21568437714158564</v>
      </c>
      <c r="P18" s="14">
        <f>SUM(P7:P10)/4</f>
        <v>20.415700000000001</v>
      </c>
      <c r="Q18" s="16">
        <f>P18/(P17+P18+P19)</f>
        <v>0.35163196764607668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26.404050000000002</v>
      </c>
      <c r="O19" s="16">
        <f>N19/(N17+N18+N19)</f>
        <v>0.24686072178856819</v>
      </c>
      <c r="P19" s="14">
        <f>(P15+P16)/2</f>
        <v>31.206099999999999</v>
      </c>
      <c r="Q19" s="16">
        <f>P19/(P17+P18+P19)</f>
        <v>0.53748156299123873</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1.14086</v>
      </c>
      <c r="D24" s="34" t="str">
        <f>lang!B11</f>
        <v>편차</v>
      </c>
      <c r="E24" s="1077">
        <f>FH_info!G2*1</f>
        <v>0.27080100000000001</v>
      </c>
      <c r="F24" s="1078"/>
      <c r="G24" s="1075" t="str">
        <f>lang!B12</f>
        <v>정보(I)변화량</v>
      </c>
      <c r="H24" s="1076"/>
      <c r="I24" s="51" t="str">
        <f ca="1">CONCATENATE(info!N7,"-",info!N8)</f>
        <v>70.2-72.7</v>
      </c>
      <c r="J24" s="32" t="str">
        <f>lang!B13</f>
        <v>Kcal/분</v>
      </c>
      <c r="K24" s="31" t="str">
        <f ca="1">CONCATENATE(info!N5,"-",info!N6)</f>
        <v>2.2-2.5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89.817499999999995</v>
      </c>
      <c r="F27" s="1043"/>
      <c r="G27" s="1055" t="str">
        <f>lang!B33</f>
        <v>정서안정성</v>
      </c>
      <c r="H27" s="1056"/>
      <c r="I27" s="1057"/>
      <c r="J27" s="993">
        <f>M!B19*100</f>
        <v>70.949100000000001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2.19984</v>
      </c>
      <c r="H2" s="50">
        <f>IF(FT!B2&lt;&gt;"",FT!B2*100,"")</f>
        <v>72.060299999999998</v>
      </c>
      <c r="I2" s="50">
        <f>(IF(G2&lt;&gt;"",1,""))</f>
        <v>1</v>
      </c>
      <c r="J2" t="str">
        <f>IF(FT!B2&lt;&gt;"",FT!E2,"")</f>
        <v>0 [0.000000]</v>
      </c>
      <c r="K2">
        <f>IF(FT!B2&lt;&gt;"",IF(FT!C2&lt;&gt;"",FT!C2,F2/$M$3*$M$4),"")</f>
        <v>0</v>
      </c>
      <c r="L2" t="s">
        <v>52</v>
      </c>
      <c r="M2">
        <f>FH_info!E2</f>
        <v>4.9234099999999996</v>
      </c>
      <c r="N2" s="75">
        <f>LOOKUP(O3,A2:A1000,B2:B1000)</f>
        <v>0.94606701960784312</v>
      </c>
      <c r="O2" s="50">
        <f>MAX(C2:C1000)</f>
        <v>1</v>
      </c>
      <c r="P2" t="s">
        <v>60</v>
      </c>
      <c r="Q2" t="s">
        <v>61</v>
      </c>
      <c r="R2" t="s">
        <v>62</v>
      </c>
      <c r="S2" t="s">
        <v>63</v>
      </c>
      <c r="T2" t="s">
        <v>64</v>
      </c>
      <c r="V2" s="50">
        <f>FT!G2*10</f>
        <v>2.2085599999999999</v>
      </c>
      <c r="W2" s="50">
        <f>FT!H2*100</f>
        <v>72.09</v>
      </c>
      <c r="Y2">
        <f>IF(I2=1,H2/G2,"")</f>
        <v>32.757064150120009</v>
      </c>
      <c r="Z2">
        <f>AVERAGE(Y2:Y2000)</f>
        <v>30.965264564026267</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2.2085599999999999</v>
      </c>
      <c r="H3" s="50">
        <f>IF(FT!B3&lt;&gt;"",FT!B3*100,"")</f>
        <v>72.09</v>
      </c>
      <c r="I3" s="50">
        <f t="shared" ref="I3:I66" si="2">(IF(G3&lt;&gt;"",1,""))</f>
        <v>1</v>
      </c>
      <c r="J3" t="str">
        <f>IF(FT!B3&lt;&gt;"",FT!E3,"")</f>
        <v>0 [0.319245]</v>
      </c>
      <c r="K3">
        <f>IF(FT!B3&lt;&gt;"",IF(FT!C3&lt;&gt;"",FT!C3,F3/$M$3*$M$4),"")</f>
        <v>0.319245</v>
      </c>
      <c r="L3" t="s">
        <v>53</v>
      </c>
      <c r="M3">
        <f>SUM(I2:I2005)</f>
        <v>25</v>
      </c>
      <c r="O3" s="104">
        <f>MATCH(O2,C2:C1000,0)-1</f>
        <v>49</v>
      </c>
      <c r="P3">
        <v>0</v>
      </c>
      <c r="Q3">
        <v>0</v>
      </c>
      <c r="R3">
        <f>IF(S4=0,M3,0)</f>
        <v>25</v>
      </c>
      <c r="S3">
        <f t="array" ref="S3">MAX(IF(ft_nq=0,row_n))</f>
        <v>1998</v>
      </c>
      <c r="T3">
        <f>R3-Q3</f>
        <v>25</v>
      </c>
      <c r="V3" s="50">
        <f>FT!G3*10</f>
        <v>2.4291700000000001</v>
      </c>
      <c r="W3" s="50">
        <f>FT!H3*100</f>
        <v>70.714799999999997</v>
      </c>
      <c r="Y3" s="75">
        <f t="shared" ref="Y3:Y66" si="3">IF(I3=1,H3/G3,"")</f>
        <v>32.641177962111065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2.2170000000000001</v>
      </c>
      <c r="H4" s="50">
        <f>IF(FT!B4&lt;&gt;"",FT!B4*100,"")</f>
        <v>72.159399999999991</v>
      </c>
      <c r="I4" s="50">
        <f t="shared" si="2"/>
        <v>1</v>
      </c>
      <c r="J4" t="str">
        <f>IF(FT!B4&lt;&gt;"",FT!E4,"")</f>
        <v>0 [0.729280]</v>
      </c>
      <c r="K4">
        <f>IF(FT!B4&lt;&gt;"",IF(FT!C4&lt;&gt;"",FT!C4,F4/$M$3*$M$4),"")</f>
        <v>0.72928000000000004</v>
      </c>
      <c r="L4" t="s">
        <v>246</v>
      </c>
      <c r="M4">
        <f>IF(M2&lt;&gt;0,M3/M2*2,0)</f>
        <v>10.155562912696688</v>
      </c>
      <c r="P4">
        <f>P3+1</f>
        <v>1</v>
      </c>
      <c r="Q4">
        <v>0</v>
      </c>
      <c r="R4">
        <f>IF(S4=1998,0,S4)</f>
        <v>0</v>
      </c>
      <c r="S4">
        <f t="array" ref="S4">MAX(IF(ft_nq=P4,row_n))</f>
        <v>0</v>
      </c>
      <c r="T4">
        <f>R4-Q4+1</f>
        <v>1</v>
      </c>
      <c r="V4" t="s">
        <v>209</v>
      </c>
      <c r="W4" s="23">
        <f>IF(ISERROR(V3-V2)=FALSE,(V3-V2)*10,0)</f>
        <v>2.2061000000000019</v>
      </c>
      <c r="Y4" s="75">
        <f t="shared" si="3"/>
        <v>32.548218313035626</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0.47429368668764504</v>
      </c>
      <c r="E5" s="50">
        <f t="shared" si="1"/>
        <v>2.2686280082898476E-5</v>
      </c>
      <c r="F5">
        <f t="shared" si="6"/>
        <v>3</v>
      </c>
      <c r="G5" s="50">
        <f>IF(FT!A5&lt;&gt;"",FT!A5*10,"")</f>
        <v>2.2250100000000002</v>
      </c>
      <c r="H5" s="50">
        <f>IF(FT!B5&lt;&gt;"",FT!B5*100,"")</f>
        <v>72.261499999999998</v>
      </c>
      <c r="I5" s="50">
        <f t="shared" si="2"/>
        <v>1</v>
      </c>
      <c r="J5" t="str">
        <f>IF(FT!B5&lt;&gt;"",FT!E5,"")</f>
        <v>0 [1.135924]</v>
      </c>
      <c r="K5">
        <f>IF(FT!B5&lt;&gt;"",IF(FT!C5&lt;&gt;"",FT!C5,F5/$M$3*$M$4),"")</f>
        <v>1.13592</v>
      </c>
      <c r="L5" t="s">
        <v>54</v>
      </c>
      <c r="M5" s="52">
        <f ca="1">IF(M3&gt;0,MIN(FT_E),0)</f>
        <v>2.19984</v>
      </c>
      <c r="N5" s="52">
        <f ca="1">IF(M3&gt;0,ROUND(M5,1),0)</f>
        <v>2.2000000000000002</v>
      </c>
      <c r="P5">
        <f t="shared" ref="P5:P27" si="10">P4+1</f>
        <v>2</v>
      </c>
      <c r="Q5">
        <f>IF(S5=1998,0,R4)</f>
        <v>0</v>
      </c>
      <c r="R5">
        <f>IF(S5=1998,0,S5)</f>
        <v>0</v>
      </c>
      <c r="S5">
        <f t="array" ref="S5">MAX(IF(ft_nq=P5,row_n))</f>
        <v>0</v>
      </c>
      <c r="T5">
        <f t="shared" ref="T5:T27" si="11">R5-Q5+1</f>
        <v>1</v>
      </c>
      <c r="V5" t="s">
        <v>210</v>
      </c>
      <c r="W5" s="23">
        <f>IF(ISERROR(W3-W2)=FALSE,W3-W2,0)</f>
        <v>-1.3752000000000066</v>
      </c>
      <c r="Y5" s="75">
        <f t="shared" si="3"/>
        <v>32.47693268794297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2.2336100000000001</v>
      </c>
      <c r="H6" s="50">
        <f>IF(FT!B6&lt;&gt;"",FT!B6*100,"")</f>
        <v>72.363799999999998</v>
      </c>
      <c r="I6" s="50">
        <f t="shared" si="2"/>
        <v>1</v>
      </c>
      <c r="J6" t="str">
        <f>IF(FT!B6&lt;&gt;"",FT!E6,"")</f>
        <v>0 [1.557726]</v>
      </c>
      <c r="K6">
        <f>IF(FT!B6&lt;&gt;"",IF(FT!C6&lt;&gt;"",FT!C6,F6/$M$3*$M$4),"")</f>
        <v>1.5577300000000001</v>
      </c>
      <c r="L6" t="s">
        <v>55</v>
      </c>
      <c r="M6" s="52">
        <f ca="1">IF(M3&gt;0,MAX(FT_E),0)</f>
        <v>2.4514100000000001</v>
      </c>
      <c r="N6" s="52">
        <f ca="1">IF(M3&gt;0,ROUND(M6,1),0)</f>
        <v>2.5</v>
      </c>
      <c r="P6">
        <f t="shared" si="10"/>
        <v>3</v>
      </c>
      <c r="Q6">
        <f t="shared" ref="Q6:Q27" si="12">IF(S6=1998,0,R5)</f>
        <v>0</v>
      </c>
      <c r="R6">
        <f t="shared" ref="R6:R27" si="13">IF(S6=1998,0,S6)</f>
        <v>0</v>
      </c>
      <c r="S6">
        <f t="array" ref="S6">MAX(IF(ft_nq=P6,row_n))</f>
        <v>0</v>
      </c>
      <c r="T6">
        <f t="shared" si="11"/>
        <v>1</v>
      </c>
      <c r="V6" t="s">
        <v>211</v>
      </c>
      <c r="W6" s="23">
        <f>IF(W4&lt;&gt;0,W5/W4,0)</f>
        <v>-0.62336249490050566</v>
      </c>
      <c r="Y6" s="75">
        <f t="shared" si="3"/>
        <v>32.39768804760007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2.2417199999999999</v>
      </c>
      <c r="H7" s="50">
        <f>IF(FT!B7&lt;&gt;"",FT!B7*100,"")</f>
        <v>72.450800000000001</v>
      </c>
      <c r="I7" s="50">
        <f t="shared" si="2"/>
        <v>1</v>
      </c>
      <c r="J7" t="str">
        <f>IF(FT!B7&lt;&gt;"",FT!E7,"")</f>
        <v>0 [1.938133]</v>
      </c>
      <c r="K7">
        <f>IF(FT!B7&lt;&gt;"",IF(FT!C7&lt;&gt;"",FT!C7,F7/$M$3*$M$4),"")</f>
        <v>1.9381299999999999</v>
      </c>
      <c r="L7" t="s">
        <v>56</v>
      </c>
      <c r="M7" s="366">
        <f ca="1">IF(M3&gt;0,MIN(FT_PH),0)</f>
        <v>70.186700000000002</v>
      </c>
      <c r="N7" s="52">
        <f ca="1">IF(M3&gt;0,ROUND(M7,1),0)</f>
        <v>70.2</v>
      </c>
      <c r="P7">
        <f t="shared" si="10"/>
        <v>4</v>
      </c>
      <c r="Q7">
        <f t="shared" si="12"/>
        <v>0</v>
      </c>
      <c r="R7">
        <f t="shared" si="13"/>
        <v>0</v>
      </c>
      <c r="S7">
        <f t="array" ref="S7">MAX(IF(ft_nq=P7,row_n))</f>
        <v>0</v>
      </c>
      <c r="T7">
        <f t="shared" si="11"/>
        <v>1</v>
      </c>
      <c r="V7" t="s">
        <v>212</v>
      </c>
      <c r="W7" s="23">
        <f>DEGREES(ATAN(W6))</f>
        <v>-31.937865949574725</v>
      </c>
      <c r="X7" s="106">
        <v>0.05</v>
      </c>
      <c r="Y7" s="75">
        <f t="shared" si="3"/>
        <v>32.319290544760271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0.57787031895145902</v>
      </c>
      <c r="E8" s="50">
        <f t="shared" si="1"/>
        <v>4.239235128206329E-5</v>
      </c>
      <c r="F8">
        <f t="shared" si="6"/>
        <v>6</v>
      </c>
      <c r="G8" s="50">
        <f>IF(FT!A8&lt;&gt;"",FT!A8*10,"")</f>
        <v>2.2503799999999998</v>
      </c>
      <c r="H8" s="50">
        <f>IF(FT!B8&lt;&gt;"",FT!B8*100,"")</f>
        <v>72.530199999999994</v>
      </c>
      <c r="I8" s="50">
        <f t="shared" si="2"/>
        <v>1</v>
      </c>
      <c r="J8" t="str">
        <f>IF(FT!B8&lt;&gt;"",FT!E8,"")</f>
        <v>0 [2.346759]</v>
      </c>
      <c r="K8">
        <f>IF(FT!B8&lt;&gt;"",IF(FT!C8&lt;&gt;"",FT!C8,F8/$M$3*$M$4),"")</f>
        <v>2.3467600000000002</v>
      </c>
      <c r="L8" t="s">
        <v>57</v>
      </c>
      <c r="M8" s="52">
        <f ca="1">IF(M3&gt;0,MAX(FT_PH),0)</f>
        <v>72.6554</v>
      </c>
      <c r="N8" s="52">
        <f ca="1">IF(M3&gt;0,ROUND(M8,1),0)</f>
        <v>72.7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32.230201121588351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2.25996</v>
      </c>
      <c r="H9" s="50">
        <f>IF(FT!B9&lt;&gt;"",FT!B9*100,"")</f>
        <v>72.5839</v>
      </c>
      <c r="I9" s="50">
        <f t="shared" si="2"/>
        <v>1</v>
      </c>
      <c r="J9" t="str">
        <f>IF(FT!B9&lt;&gt;"",FT!E9,"")</f>
        <v>0 [2.763002]</v>
      </c>
      <c r="K9">
        <f>IF(FT!B9&lt;&gt;"",IF(FT!C9&lt;&gt;"",FT!C9,F9/$M$3*$M$4),"")</f>
        <v>2.7629999999999999</v>
      </c>
      <c r="L9" t="s">
        <v>222</v>
      </c>
      <c r="M9" s="74">
        <f ca="1">IF(M3&gt;0,IF(COUNT(FT_E)&gt;0,AVERAGE(FT_E),0),0)</f>
        <v>2.3240751999999998</v>
      </c>
      <c r="N9" s="365">
        <f ca="1">IF(M3&gt;0,IF(COUNT(FT_PH)&gt;0,AVERAGE(FT_PH),0),0)</f>
        <v>71.853964000000005</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2</v>
      </c>
      <c r="X9">
        <v>2</v>
      </c>
      <c r="Y9" s="75">
        <f t="shared" si="3"/>
        <v>32.117338359970972</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0.68396627292189871</v>
      </c>
      <c r="E10" s="50">
        <f t="shared" si="1"/>
        <v>6.3640932711193118E-5</v>
      </c>
      <c r="F10">
        <f t="shared" si="6"/>
        <v>8</v>
      </c>
      <c r="G10" s="50">
        <f>IF(FT!A10&lt;&gt;"",FT!A10*10,"")</f>
        <v>2.2701500000000001</v>
      </c>
      <c r="H10" s="50">
        <f>IF(FT!B10&lt;&gt;"",FT!B10*100,"")</f>
        <v>72.612399999999994</v>
      </c>
      <c r="I10" s="50">
        <f t="shared" si="2"/>
        <v>1</v>
      </c>
      <c r="J10" t="str">
        <f>IF(FT!B10&lt;&gt;"",FT!E10,"")</f>
        <v>0 [3.160340]</v>
      </c>
      <c r="K10">
        <f>IF(FT!B10&lt;&gt;"",IF(FT!C10&lt;&gt;"",FT!C10,F10/$M$3*$M$4),"")</f>
        <v>3.1603400000000001</v>
      </c>
      <c r="M10">
        <v>2</v>
      </c>
      <c r="P10">
        <f t="shared" si="10"/>
        <v>7</v>
      </c>
      <c r="Q10">
        <f t="shared" si="12"/>
        <v>0</v>
      </c>
      <c r="R10">
        <f t="shared" si="13"/>
        <v>0</v>
      </c>
      <c r="S10">
        <f t="array" ref="S10">MAX(IF(ft_nq=P10,row_n))</f>
        <v>0</v>
      </c>
      <c r="T10">
        <f t="shared" si="11"/>
        <v>1</v>
      </c>
      <c r="V10" t="s">
        <v>215</v>
      </c>
      <c r="X10" s="71" t="s">
        <v>270</v>
      </c>
      <c r="Y10" s="75">
        <f t="shared" si="3"/>
        <v>31.985727815342596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2.2809200000000001</v>
      </c>
      <c r="H11" s="50">
        <f>IF(FT!B11&lt;&gt;"",FT!B11*100,"")</f>
        <v>72.649600000000007</v>
      </c>
      <c r="I11" s="50">
        <f t="shared" si="2"/>
        <v>1</v>
      </c>
      <c r="J11" t="str">
        <f>IF(FT!B11&lt;&gt;"",FT!E11,"")</f>
        <v>0 [3.568860]</v>
      </c>
      <c r="K11">
        <f>IF(FT!B11&lt;&gt;"",IF(FT!C11&lt;&gt;"",FT!C11,F11/$M$3*$M$4),"")</f>
        <v>3.5688599999999999</v>
      </c>
      <c r="M11" s="49">
        <f>MAX(IF(ft_nq=1,row_n))</f>
        <v>0</v>
      </c>
      <c r="P11">
        <f t="shared" si="10"/>
        <v>8</v>
      </c>
      <c r="Q11">
        <f t="shared" si="12"/>
        <v>0</v>
      </c>
      <c r="R11">
        <f t="shared" si="13"/>
        <v>0</v>
      </c>
      <c r="S11">
        <f t="array" ref="S11">MAX(IF(ft_nq=P11,row_n))</f>
        <v>0</v>
      </c>
      <c r="T11">
        <f t="shared" si="11"/>
        <v>1</v>
      </c>
      <c r="V11" s="71" t="s">
        <v>216</v>
      </c>
      <c r="W11" s="23">
        <f>FT!H11*100</f>
        <v>70.186700000000002</v>
      </c>
      <c r="Y11" s="75">
        <f t="shared" si="3"/>
        <v>31.851007488206516</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0</v>
      </c>
      <c r="AM11">
        <f t="shared" si="4"/>
        <v>1</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2.29189</v>
      </c>
      <c r="H12" s="50">
        <f>IF(FT!B12&lt;&gt;"",FT!B12*100,"")</f>
        <v>72.6554</v>
      </c>
      <c r="I12" s="50">
        <f t="shared" si="2"/>
        <v>1</v>
      </c>
      <c r="J12" t="str">
        <f>IF(FT!B12&lt;&gt;"",FT!E12,"")</f>
        <v>0 [3.975198]</v>
      </c>
      <c r="K12">
        <f>IF(FT!B12&lt;&gt;"",IF(FT!C12&lt;&gt;"",FT!C12,F12/$M$3*$M$4),"")</f>
        <v>3.9752000000000001</v>
      </c>
      <c r="M12">
        <f>M11+1</f>
        <v>1</v>
      </c>
      <c r="P12">
        <f t="shared" si="10"/>
        <v>9</v>
      </c>
      <c r="Q12">
        <f t="shared" si="12"/>
        <v>0</v>
      </c>
      <c r="R12">
        <f t="shared" si="13"/>
        <v>0</v>
      </c>
      <c r="S12">
        <f t="array" ref="S12">MAX(IF(ft_nq=P12,row_n))</f>
        <v>0</v>
      </c>
      <c r="T12">
        <f t="shared" si="11"/>
        <v>1</v>
      </c>
      <c r="V12" s="71" t="s">
        <v>217</v>
      </c>
      <c r="W12" s="23">
        <f>FT!H12*100</f>
        <v>72.6554</v>
      </c>
      <c r="Y12" s="75">
        <f t="shared" si="3"/>
        <v>31.701085130612725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0.916425069320281</v>
      </c>
      <c r="E13" s="50">
        <f t="shared" si="1"/>
        <v>1.1522836836240688E-4</v>
      </c>
      <c r="F13">
        <f t="shared" si="6"/>
        <v>11</v>
      </c>
      <c r="G13" s="50">
        <f>IF(FT!A13&lt;&gt;"",FT!A13*10,"")</f>
        <v>2.3039399999999999</v>
      </c>
      <c r="H13" s="50">
        <f>IF(FT!B13&lt;&gt;"",FT!B13*100,"")</f>
        <v>72.598100000000002</v>
      </c>
      <c r="I13" s="50">
        <f t="shared" si="2"/>
        <v>1</v>
      </c>
      <c r="J13" t="str">
        <f>IF(FT!B13&lt;&gt;"",FT!E13,"")</f>
        <v>0 [4.387550]</v>
      </c>
      <c r="K13">
        <f>IF(FT!B13&lt;&gt;"",IF(FT!C13&lt;&gt;"",FT!C13,F13/$M$3*$M$4),"")</f>
        <v>4.3875500000000001</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31.510412597550285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2.3172200000000003</v>
      </c>
      <c r="H14" s="50">
        <f>IF(FT!B14&lt;&gt;"",FT!B14*100,"")</f>
        <v>72.498599999999996</v>
      </c>
      <c r="I14" s="50">
        <f t="shared" si="2"/>
        <v>1</v>
      </c>
      <c r="J14" t="str">
        <f>IF(FT!B14&lt;&gt;"",FT!E14,"")</f>
        <v>0 [4.781325]</v>
      </c>
      <c r="K14">
        <f>IF(FT!B14&lt;&gt;"",IF(FT!C14&lt;&gt;"",FT!C14,F14/$M$3*$M$4),"")</f>
        <v>4.78132</v>
      </c>
      <c r="M14">
        <f>M13+1</f>
        <v>1</v>
      </c>
      <c r="P14">
        <f t="shared" si="10"/>
        <v>11</v>
      </c>
      <c r="Q14">
        <f t="shared" si="12"/>
        <v>0</v>
      </c>
      <c r="R14">
        <f t="shared" si="13"/>
        <v>0</v>
      </c>
      <c r="S14">
        <f t="array" ref="S14">MAX(IF(ft_nq=P14,row_n))</f>
        <v>0</v>
      </c>
      <c r="T14">
        <f t="shared" si="11"/>
        <v>1</v>
      </c>
      <c r="V14" s="71" t="s">
        <v>221</v>
      </c>
      <c r="W14">
        <f>FT!H14</f>
        <v>11</v>
      </c>
      <c r="Y14" s="75">
        <f t="shared" si="3"/>
        <v>31.286886873063406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1</v>
      </c>
      <c r="E15" s="50">
        <f t="shared" si="1"/>
        <v>1.6938471460455832E-4</v>
      </c>
      <c r="F15">
        <f t="shared" si="6"/>
        <v>13</v>
      </c>
      <c r="G15" s="50">
        <f>IF(FT!A15&lt;&gt;"",FT!A15*10,"")</f>
        <v>2.33053</v>
      </c>
      <c r="H15" s="50">
        <f>IF(FT!B15&lt;&gt;"",FT!B15*100,"")</f>
        <v>72.384099999999989</v>
      </c>
      <c r="I15" s="50">
        <f t="shared" si="2"/>
        <v>1</v>
      </c>
      <c r="J15" t="str">
        <f>IF(FT!B15&lt;&gt;"",FT!E15,"")</f>
        <v>0 [5.187169]</v>
      </c>
      <c r="K15">
        <f>IF(FT!B15&lt;&gt;"",IF(FT!C15&lt;&gt;"",FT!C15,F15/$M$3*$M$4),"")</f>
        <v>5.1871700000000001</v>
      </c>
      <c r="M15">
        <f t="array" ref="M15">MAX(IF(ft_nq=3,row_n))</f>
        <v>0</v>
      </c>
      <c r="P15">
        <f t="shared" si="10"/>
        <v>12</v>
      </c>
      <c r="Q15">
        <f t="shared" si="12"/>
        <v>0</v>
      </c>
      <c r="R15">
        <f t="shared" si="13"/>
        <v>0</v>
      </c>
      <c r="S15">
        <f t="array" ref="S15">MAX(IF(ft_nq=P15,row_n))</f>
        <v>0</v>
      </c>
      <c r="T15">
        <f t="shared" si="11"/>
        <v>1</v>
      </c>
      <c r="V15" s="23">
        <f>FT!G15*10</f>
        <v>2.4514100000000001</v>
      </c>
      <c r="W15" s="23">
        <f>FT!H15*100</f>
        <v>70.186700000000002</v>
      </c>
      <c r="Y15" s="75">
        <f t="shared" si="3"/>
        <v>31.059072399840375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2.34484</v>
      </c>
      <c r="H16" s="50">
        <f>IF(FT!B16&lt;&gt;"",FT!B16*100,"")</f>
        <v>72.237899999999996</v>
      </c>
      <c r="I16" s="50">
        <f t="shared" si="2"/>
        <v>1</v>
      </c>
      <c r="J16" t="str">
        <f>IF(FT!B16&lt;&gt;"",FT!E16,"")</f>
        <v>0 [5.603662]</v>
      </c>
      <c r="K16">
        <f>IF(FT!B16&lt;&gt;"",IF(FT!C16&lt;&gt;"",FT!C16,F16/$M$3*$M$4),"")</f>
        <v>5.6036599999999996</v>
      </c>
      <c r="M16">
        <f>M15+1</f>
        <v>1</v>
      </c>
      <c r="P16">
        <f t="shared" si="10"/>
        <v>13</v>
      </c>
      <c r="Q16">
        <f t="shared" si="12"/>
        <v>0</v>
      </c>
      <c r="R16">
        <f t="shared" si="13"/>
        <v>0</v>
      </c>
      <c r="S16">
        <f t="array" ref="S16">MAX(IF(ft_nq=P16,row_n))</f>
        <v>0</v>
      </c>
      <c r="T16">
        <f t="shared" si="11"/>
        <v>1</v>
      </c>
      <c r="V16" s="23">
        <f>FT!G16*10</f>
        <v>2.29189</v>
      </c>
      <c r="W16" s="23">
        <f>FT!H16*100</f>
        <v>72.6554</v>
      </c>
      <c r="Y16" s="75">
        <f t="shared" si="3"/>
        <v>30.80717660906501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2.3594999999999997</v>
      </c>
      <c r="H17" s="50">
        <f>IF(FT!B17&lt;&gt;"",FT!B17*100,"")</f>
        <v>72.001499999999993</v>
      </c>
      <c r="I17" s="50">
        <f t="shared" si="2"/>
        <v>1</v>
      </c>
      <c r="J17" t="str">
        <f>IF(FT!B17&lt;&gt;"",FT!E17,"")</f>
        <v>0 [6.010119]</v>
      </c>
      <c r="K17">
        <f>IF(FT!B17&lt;&gt;"",IF(FT!C17&lt;&gt;"",FT!C17,F17/$M$3*$M$4),"")</f>
        <v>6.0101199999999997</v>
      </c>
      <c r="M17">
        <f>M3+1</f>
        <v>26</v>
      </c>
      <c r="P17">
        <f t="shared" si="10"/>
        <v>14</v>
      </c>
      <c r="Q17">
        <f t="shared" si="12"/>
        <v>0</v>
      </c>
      <c r="R17">
        <f t="shared" si="13"/>
        <v>0</v>
      </c>
      <c r="S17">
        <f t="array" ref="S17">MAX(IF(ft_nq=P17,row_n))</f>
        <v>0</v>
      </c>
      <c r="T17">
        <f t="shared" si="11"/>
        <v>1</v>
      </c>
      <c r="V17" t="s">
        <v>1522</v>
      </c>
      <c r="Y17" s="75">
        <f t="shared" si="3"/>
        <v>30.515575333757152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2.2100668545223493E-3</v>
      </c>
      <c r="D18" s="50">
        <f>IF(hist!$D$2&gt;0,hist!B18/hist!$D$2,0)</f>
        <v>0.97785024849788615</v>
      </c>
      <c r="E18" s="50">
        <f t="shared" si="1"/>
        <v>2.9716369761879154E-4</v>
      </c>
      <c r="F18">
        <f t="shared" si="6"/>
        <v>16</v>
      </c>
      <c r="G18" s="50">
        <f>IF(FT!A18&lt;&gt;"",FT!A18*10,"")</f>
        <v>2.3755299999999999</v>
      </c>
      <c r="H18" s="50">
        <f>IF(FT!B18&lt;&gt;"",FT!B18*100,"")</f>
        <v>71.733499999999992</v>
      </c>
      <c r="I18" s="50">
        <f t="shared" si="2"/>
        <v>1</v>
      </c>
      <c r="J18" t="str">
        <f>IF(FT!B18&lt;&gt;"",FT!E18,"")</f>
        <v>0 [6.409218]</v>
      </c>
      <c r="K18">
        <f>IF(FT!B18&lt;&gt;"",IF(FT!C18&lt;&gt;"",FT!C18,F18/$M$3*$M$4),"")</f>
        <v>6.4092200000000004</v>
      </c>
      <c r="P18">
        <f t="shared" si="10"/>
        <v>15</v>
      </c>
      <c r="Q18">
        <f t="shared" si="12"/>
        <v>0</v>
      </c>
      <c r="R18">
        <f t="shared" si="13"/>
        <v>0</v>
      </c>
      <c r="S18">
        <f t="array" ref="S18">MAX(IF(ft_nq=P18,row_n))</f>
        <v>0</v>
      </c>
      <c r="T18">
        <f t="shared" si="11"/>
        <v>1</v>
      </c>
      <c r="V18" s="288">
        <f>M!B18*100</f>
        <v>89.817499999999995</v>
      </c>
      <c r="W18" s="287">
        <f>100-M!B19*100</f>
        <v>29.050899999999999</v>
      </c>
      <c r="X18" t="str">
        <f>"(" &amp; ROUND(V18,1) &amp; " , " &amp; ROUND(100-W18,1) &amp; ")"</f>
        <v>(89.8 , 70.9)</v>
      </c>
      <c r="Y18" s="75">
        <f t="shared" si="3"/>
        <v>30.196840284062922</v>
      </c>
      <c r="Z18">
        <f>M!B18*100</f>
        <v>89.817499999999995</v>
      </c>
      <c r="AA18">
        <f>100-M!B19*100</f>
        <v>29.050899999999999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2.3916599999999999</v>
      </c>
      <c r="H19" s="50">
        <f>IF(FT!B19&lt;&gt;"",FT!B19*100,"")</f>
        <v>71.450100000000006</v>
      </c>
      <c r="I19" s="50">
        <f t="shared" si="2"/>
        <v>1</v>
      </c>
      <c r="J19" t="str">
        <f>IF(FT!B19&lt;&gt;"",FT!E19,"")</f>
        <v>0 [6.825346]</v>
      </c>
      <c r="K19">
        <f>IF(FT!B19&lt;&gt;"",IF(FT!C19&lt;&gt;"",FT!C19,F19/$M$3*$M$4),"")</f>
        <v>6.8253500000000003</v>
      </c>
      <c r="P19">
        <f t="shared" si="10"/>
        <v>16</v>
      </c>
      <c r="Q19">
        <f t="shared" si="12"/>
        <v>0</v>
      </c>
      <c r="R19">
        <f t="shared" si="13"/>
        <v>0</v>
      </c>
      <c r="S19">
        <f t="array" ref="S19">MAX(IF(ft_nq=P19,row_n))</f>
        <v>0</v>
      </c>
      <c r="T19">
        <f t="shared" si="11"/>
        <v>1</v>
      </c>
      <c r="V19" t="s">
        <v>1521</v>
      </c>
      <c r="Y19" s="75">
        <f t="shared" si="3"/>
        <v>29.874689546172956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2.4045800000000002</v>
      </c>
      <c r="H20" s="50">
        <f>IF(FT!B20&lt;&gt;"",FT!B20*100,"")</f>
        <v>71.237300000000005</v>
      </c>
      <c r="I20" s="50">
        <f t="shared" si="2"/>
        <v>1</v>
      </c>
      <c r="J20" t="str">
        <f>IF(FT!B20&lt;&gt;"",FT!E20,"")</f>
        <v>0 [7.220970]</v>
      </c>
      <c r="K20">
        <f>IF(FT!B20&lt;&gt;"",IF(FT!C20&lt;&gt;"",FT!C20,F20/$M$3*$M$4),"")</f>
        <v>7.2209700000000003</v>
      </c>
      <c r="P20">
        <f t="shared" si="10"/>
        <v>17</v>
      </c>
      <c r="Q20">
        <f t="shared" si="12"/>
        <v>0</v>
      </c>
      <c r="R20">
        <f t="shared" si="13"/>
        <v>0</v>
      </c>
      <c r="S20">
        <f t="array" ref="S20">MAX(IF(ft_nq=P20,row_n))</f>
        <v>0</v>
      </c>
      <c r="T20">
        <f t="shared" si="11"/>
        <v>1</v>
      </c>
      <c r="V20" s="56">
        <v>50</v>
      </c>
      <c r="W20">
        <v>50</v>
      </c>
      <c r="Y20" s="75">
        <f t="shared" si="3"/>
        <v>29.625672674645884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4.0183033718588163E-3</v>
      </c>
      <c r="D21" s="50">
        <f>IF(hist!$D$2&gt;0,hist!B21/hist!$D$2,0)</f>
        <v>0.9661786713421614</v>
      </c>
      <c r="E21" s="50">
        <f t="shared" si="1"/>
        <v>5.1155989191839816E-4</v>
      </c>
      <c r="F21">
        <f t="shared" si="6"/>
        <v>19</v>
      </c>
      <c r="G21" s="50">
        <f>IF(FT!A21&lt;&gt;"",FT!A21*10,"")</f>
        <v>2.41249</v>
      </c>
      <c r="H21" s="50">
        <f>IF(FT!B21&lt;&gt;"",FT!B21*100,"")</f>
        <v>71.114000000000004</v>
      </c>
      <c r="I21" s="50">
        <f t="shared" si="2"/>
        <v>1</v>
      </c>
      <c r="J21" t="str">
        <f>IF(FT!B21&lt;&gt;"",FT!E21,"")</f>
        <v>0 [7.631675]</v>
      </c>
      <c r="K21">
        <f>IF(FT!B21&lt;&gt;"",IF(FT!C21&lt;&gt;"",FT!C21,F21/$M$3*$M$4),"")</f>
        <v>7.6316800000000002</v>
      </c>
      <c r="P21">
        <f t="shared" si="10"/>
        <v>18</v>
      </c>
      <c r="Q21">
        <f t="shared" si="12"/>
        <v>0</v>
      </c>
      <c r="R21">
        <f t="shared" si="13"/>
        <v>0</v>
      </c>
      <c r="S21">
        <f t="array" ref="S21">MAX(IF(ft_nq=P21,row_n))</f>
        <v>0</v>
      </c>
      <c r="T21">
        <f t="shared" si="11"/>
        <v>1</v>
      </c>
      <c r="V21" s="288">
        <f>Measurement!DK17*100</f>
        <v>66.155604858619128</v>
      </c>
      <c r="W21" s="287">
        <f>'R3'!I3</f>
        <v>14.34725321184718</v>
      </c>
      <c r="X21" t="str">
        <f>"(" &amp; ROUND(V21,1) &amp; " , " &amp; ROUND(W21,1) &amp; ")" &amp; CHAR(10) &amp; AR26</f>
        <v>(66.2 , 14.3)
생각에 잠긴</v>
      </c>
      <c r="Y21" s="75">
        <f t="shared" si="3"/>
        <v>29.477427885711446</v>
      </c>
      <c r="AA21">
        <f>100-M!B19*100</f>
        <v>29.050899999999999</v>
      </c>
      <c r="AC21">
        <f>'R3'!I3</f>
        <v>14.34725321184718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2.42035</v>
      </c>
      <c r="H22" s="50">
        <f>IF(FT!B22&lt;&gt;"",FT!B22*100,"")</f>
        <v>70.9482</v>
      </c>
      <c r="I22" s="50">
        <f t="shared" si="2"/>
        <v>1</v>
      </c>
      <c r="J22" t="str">
        <f>IF(FT!B22&lt;&gt;"",FT!E22,"")</f>
        <v>0 [8.032931]</v>
      </c>
      <c r="K22">
        <f>IF(FT!B22&lt;&gt;"",IF(FT!C22&lt;&gt;"",FT!C22,F22/$M$3*$M$4),"")</f>
        <v>8.0329300000000003</v>
      </c>
      <c r="P22">
        <f t="shared" si="10"/>
        <v>19</v>
      </c>
      <c r="Q22">
        <f t="shared" si="12"/>
        <v>0</v>
      </c>
      <c r="R22">
        <f t="shared" si="13"/>
        <v>0</v>
      </c>
      <c r="S22">
        <f t="array" ref="S22">MAX(IF(ft_nq=P22,row_n))</f>
        <v>0</v>
      </c>
      <c r="T22">
        <f t="shared" si="11"/>
        <v>1</v>
      </c>
      <c r="V22" s="300">
        <f>X23</f>
        <v>90</v>
      </c>
      <c r="W22" s="300">
        <f>X23</f>
        <v>90</v>
      </c>
      <c r="X22" t="s">
        <v>1188</v>
      </c>
      <c r="Y22" s="75">
        <f t="shared" si="3"/>
        <v>29.313198504348545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0.9717772976036152</v>
      </c>
      <c r="E23" s="50">
        <f t="shared" si="1"/>
        <v>7.2710399246906645E-4</v>
      </c>
      <c r="F23">
        <f t="shared" si="6"/>
        <v>21</v>
      </c>
      <c r="G23" s="50">
        <f>IF(FT!A23&lt;&gt;"",FT!A23*10,"")</f>
        <v>2.4291700000000001</v>
      </c>
      <c r="H23" s="50">
        <f>IF(FT!B23&lt;&gt;"",FT!B23*100,"")</f>
        <v>70.714799999999997</v>
      </c>
      <c r="I23" s="50">
        <f t="shared" si="2"/>
        <v>1</v>
      </c>
      <c r="J23" t="str">
        <f>IF(FT!B23&lt;&gt;"",FT!E23,"")</f>
        <v>0 [8.443122]</v>
      </c>
      <c r="K23">
        <f>IF(FT!B23&lt;&gt;"",IF(FT!C23&lt;&gt;"",FT!C23,F23/$M$3*$M$4),"")</f>
        <v>8.4431200000000004</v>
      </c>
      <c r="P23">
        <f t="shared" si="10"/>
        <v>20</v>
      </c>
      <c r="Q23">
        <f t="shared" si="12"/>
        <v>0</v>
      </c>
      <c r="R23">
        <f t="shared" si="13"/>
        <v>0</v>
      </c>
      <c r="S23">
        <f t="array" ref="S23">MAX(IF(ft_nq=P23,row_n))</f>
        <v>0</v>
      </c>
      <c r="T23">
        <f t="shared" si="11"/>
        <v>1</v>
      </c>
      <c r="V23" s="300">
        <f>100-X23</f>
        <v>10</v>
      </c>
      <c r="W23" s="300">
        <f>X23</f>
        <v>90</v>
      </c>
      <c r="X23">
        <v>90</v>
      </c>
      <c r="Y23" s="75">
        <f t="shared" si="3"/>
        <v>29.110683896145595</v>
      </c>
      <c r="AQ23">
        <v>2</v>
      </c>
      <c r="AR23" s="440" t="str">
        <f t="shared" si="15"/>
        <v/>
      </c>
      <c r="AS23" s="441" t="str">
        <f t="shared" si="14"/>
        <v/>
      </c>
      <c r="AT23" s="441" t="str">
        <f t="shared" si="14"/>
        <v/>
      </c>
      <c r="AU23" s="441" t="str">
        <f t="shared" si="14"/>
        <v/>
      </c>
      <c r="AV23" s="442" t="str">
        <f t="shared" si="14"/>
        <v/>
      </c>
      <c r="AW23" s="441" t="str">
        <f t="shared" si="14"/>
        <v/>
      </c>
      <c r="AX23" s="441" t="str">
        <f t="shared" si="14"/>
        <v>생각에 잠긴</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2.4368400000000001</v>
      </c>
      <c r="H24" s="50">
        <f>IF(FT!B24&lt;&gt;"",FT!B24*100,"")</f>
        <v>70.494500000000002</v>
      </c>
      <c r="I24" s="50">
        <f t="shared" si="2"/>
        <v>1</v>
      </c>
      <c r="J24" t="str">
        <f>IF(FT!B24&lt;&gt;"",FT!E24,"")</f>
        <v>0 [8.848255]</v>
      </c>
      <c r="K24">
        <f>IF(FT!B24&lt;&gt;"",IF(FT!C24&lt;&gt;"",FT!C24,F24/$M$3*$M$4),"")</f>
        <v>8.8482599999999998</v>
      </c>
      <c r="P24">
        <f t="shared" si="10"/>
        <v>21</v>
      </c>
      <c r="Q24">
        <f t="shared" si="12"/>
        <v>0</v>
      </c>
      <c r="R24">
        <f t="shared" si="13"/>
        <v>0</v>
      </c>
      <c r="S24">
        <f t="array" ref="S24">MAX(IF(ft_nq=P24,row_n))</f>
        <v>0</v>
      </c>
      <c r="T24">
        <f t="shared" si="11"/>
        <v>1</v>
      </c>
      <c r="V24" s="300">
        <f>100-X23</f>
        <v>10</v>
      </c>
      <c r="W24" s="300">
        <f>100-X23</f>
        <v>10</v>
      </c>
      <c r="Y24" s="75">
        <f t="shared" si="3"/>
        <v>28.928653502076457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2.4447800000000002</v>
      </c>
      <c r="H25" s="50">
        <f>IF(FT!B25&lt;&gt;"",FT!B25*100,"")</f>
        <v>70.332499999999996</v>
      </c>
      <c r="I25" s="50">
        <f t="shared" si="2"/>
        <v>1</v>
      </c>
      <c r="J25" t="str">
        <f>IF(FT!B25&lt;&gt;"",FT!E25,"")</f>
        <v>0 [9.273680]</v>
      </c>
      <c r="K25">
        <f>IF(FT!B25&lt;&gt;"",IF(FT!C25&lt;&gt;"",FT!C25,F25/$M$3*$M$4),"")</f>
        <v>9.2736800000000006</v>
      </c>
      <c r="P25">
        <f t="shared" si="10"/>
        <v>22</v>
      </c>
      <c r="Q25">
        <f t="shared" si="12"/>
        <v>0</v>
      </c>
      <c r="R25">
        <f t="shared" si="13"/>
        <v>0</v>
      </c>
      <c r="S25">
        <f t="array" ref="S25">MAX(IF(ft_nq=P25,row_n))</f>
        <v>0</v>
      </c>
      <c r="T25">
        <f t="shared" si="11"/>
        <v>1</v>
      </c>
      <c r="V25" s="300">
        <f>X23</f>
        <v>90</v>
      </c>
      <c r="W25" s="300">
        <f>100-X23</f>
        <v>10</v>
      </c>
      <c r="Y25" s="75">
        <f t="shared" si="3"/>
        <v>28.768437241796804</v>
      </c>
    </row>
    <row r="26" spans="1:120">
      <c r="A26" s="50">
        <f t="shared" si="5"/>
        <v>24</v>
      </c>
      <c r="B26" s="50">
        <f t="shared" si="0"/>
        <v>0.46337976470588232</v>
      </c>
      <c r="C26" s="50">
        <f>IF(FH!$C$2&gt;0,FH!A26/FH!$C$2,0)</f>
        <v>1.7412647944721538E-3</v>
      </c>
      <c r="D26" s="50">
        <f>IF(hist!$D$2&gt;0,hist!B26/hist!$D$2,0)</f>
        <v>0.95320767497079451</v>
      </c>
      <c r="E26" s="50">
        <f t="shared" si="1"/>
        <v>1.2128188079122912E-3</v>
      </c>
      <c r="F26">
        <f t="shared" si="6"/>
        <v>24</v>
      </c>
      <c r="G26" s="50">
        <f>IF(FT!A26&lt;&gt;"",FT!A26*10,"")</f>
        <v>2.4514100000000001</v>
      </c>
      <c r="H26" s="50">
        <f>IF(FT!B26&lt;&gt;"",FT!B26*100,"")</f>
        <v>70.186700000000002</v>
      </c>
      <c r="I26" s="50">
        <f t="shared" si="2"/>
        <v>1</v>
      </c>
      <c r="J26" t="str">
        <f>IF(FT!B26&lt;&gt;"",FT!E26,"")</f>
        <v>0 [9.673892]</v>
      </c>
      <c r="K26">
        <f>IF(FT!B26&lt;&gt;"",IF(FT!C26&lt;&gt;"",FT!C26,F26/$M$3*$M$4),"")</f>
        <v>9.6738900000000001</v>
      </c>
      <c r="P26">
        <f t="shared" si="10"/>
        <v>23</v>
      </c>
      <c r="Q26">
        <f t="shared" si="12"/>
        <v>0</v>
      </c>
      <c r="R26">
        <f t="shared" si="13"/>
        <v>0</v>
      </c>
      <c r="S26">
        <f t="array" ref="S26">MAX(IF(ft_nq=P26,row_n))</f>
        <v>0</v>
      </c>
      <c r="T26">
        <f t="shared" si="11"/>
        <v>1</v>
      </c>
      <c r="V26" s="300">
        <f>X23</f>
        <v>90</v>
      </c>
      <c r="W26" s="300">
        <f>X23</f>
        <v>90</v>
      </c>
      <c r="Y26" s="75">
        <f t="shared" si="3"/>
        <v>28.631155131128615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1.6742930716078405E-2</v>
      </c>
      <c r="D28" s="50">
        <f>IF(hist!$D$2&gt;0,hist!B28/hist!$D$2,0)</f>
        <v>0.93785878355672192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6.3556164998233619E-2</v>
      </c>
      <c r="D31" s="50">
        <f>IF(hist!$D$2&gt;0,hist!B31/hist!$D$2,0)</f>
        <v>0.90969785850174212</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즐겁고 행복한 상태이지만 심리적 정보가 감소하는  정서 상태이다.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7.8981929354878133E-2</v>
      </c>
      <c r="D33" s="50">
        <f>IF(hist!$D$2&gt;0,hist!B33/hist!$D$2,0)</f>
        <v>0.8419433792036024</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0.27080100000000001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기쁘고 행복한 안정된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72.919899999999998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38.028666666666666</v>
      </c>
      <c r="W35" s="23">
        <f>IF(FH_info!G2*1&lt;&gt;0,(1-NORMSDIST((FH_info!G2*1-0.5308)/0.1538))*100,0)</f>
        <v>95.453389301573395</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0.16709444854646247</v>
      </c>
      <c r="D36" s="50">
        <f>IF(hist!$D$2&gt;0,hist!B36/hist!$D$2,0)</f>
        <v>0.74937826301501775</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1.14086</v>
      </c>
      <c r="W36" s="495">
        <f>IF(W34&gt;=60,30/40*(W34-60)+70,IF(W34&gt;=35,35/25*(W34-35)+35,IF(W34&gt;=0,W34,0)))</f>
        <v>79.689925000000002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즐거움이 큰 행복하고 안정된 상태이다.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0.16908183442246097</v>
      </c>
      <c r="D39" s="50">
        <f>IF(hist!$D$2&gt;0,hist!B39/hist!$D$2,0)</f>
        <v>0.66912414620626859</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보통이며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0.21872964687484828</v>
      </c>
      <c r="D41" s="50">
        <f>IF(hist!$D$2&gt;0,hist!B41/hist!$D$2,0)</f>
        <v>0.56706504558243598</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16.982700000000001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0.23960305859858322</v>
      </c>
      <c r="D44" s="50">
        <f>IF(hist!$D$2&gt;0,hist!B44/hist!$D$2,0)</f>
        <v>0.47737292052361607</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0.50007785462782972</v>
      </c>
      <c r="D46" s="50">
        <f>IF(hist!$D$2&gt;0,hist!B46/hist!$D$2,0)</f>
        <v>0.37592670487285323</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0.67878017703974936</v>
      </c>
      <c r="D49" s="50">
        <f>IF(hist!$D$2&gt;0,hist!B49/hist!$D$2,0)</f>
        <v>0.28834435978066392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1</v>
      </c>
      <c r="D51" s="50">
        <f>IF(hist!$D$2&gt;0,hist!B51/hist!$D$2,0)</f>
        <v>0.21488806877900327</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66.155604858619128</v>
      </c>
      <c r="W52" s="303">
        <f ca="1">100-N9</f>
        <v>28.146035999999995</v>
      </c>
      <c r="X52" t="str">
        <f ca="1">"(" &amp; ROUND(V52,1) &amp; " , " &amp; ROUND(100-W52,1) &amp; ")"</f>
        <v>(66.2 , 71.9)</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0.86659232805428721</v>
      </c>
      <c r="D54" s="50">
        <f>IF(hist!$D$2&gt;0,hist!B54/hist!$D$2,0)</f>
        <v>0.17066522943555201</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0.83833026100554697</v>
      </c>
      <c r="D57" s="50">
        <f>IF(hist!$D$2&gt;0,hist!B57/hist!$D$2,0)</f>
        <v>0.142413037275852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0.84607554075480473</v>
      </c>
      <c r="D59" s="50">
        <f>IF(hist!$D$2&gt;0,hist!B59/hist!$D$2,0)</f>
        <v>0.12434437155535356</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0.73010395685681606</v>
      </c>
      <c r="D62" s="50">
        <f>IF(hist!$D$2&gt;0,hist!B62/hist!$D$2,0)</f>
        <v>0.10050623165505891</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0.65364401515570081</v>
      </c>
      <c r="D64" s="50">
        <f>IF(hist!$D$2&gt;0,hist!B64/hist!$D$2,0)</f>
        <v>8.7417346949288627E-2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0.66469434942831263</v>
      </c>
      <c r="D67" s="50">
        <f>IF(hist!$D$2&gt;0,hist!B67/hist!$D$2,0)</f>
        <v>8.2735166354022283E-2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0.42297163580107389</v>
      </c>
      <c r="D69" s="50">
        <f>IF(hist!$D$2&gt;0,hist!B69/hist!$D$2,0)</f>
        <v>6.8862486877839871E-2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0.31347286891792114</v>
      </c>
      <c r="D72" s="50">
        <f>IF(hist!$D$2&gt;0,hist!B72/hist!$D$2,0)</f>
        <v>5.82546605571998E-2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0.35771773762822995</v>
      </c>
      <c r="D75" s="50">
        <f>IF(hist!$D$2&gt;0,hist!B75/hist!$D$2,0)</f>
        <v>5.0923466501699613E-2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0.34570803342558687</v>
      </c>
      <c r="D77" s="50">
        <f>IF(hist!$D$2&gt;0,hist!B77/hist!$D$2,0)</f>
        <v>4.1084707749528361E-2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0.28746440034356491</v>
      </c>
      <c r="D80" s="50">
        <f>IF(hist!$D$2&gt;0,hist!B80/hist!$D$2,0)</f>
        <v>2.9840411717052037E-2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0.26670316625562773</v>
      </c>
      <c r="D82" s="50">
        <f>IF(hist!$D$2&gt;0,hist!B82/hist!$D$2,0)</f>
        <v>1.7794632360088786E-2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0.17117972364118561</v>
      </c>
      <c r="D85" s="50">
        <f>IF(hist!$D$2&gt;0,hist!B85/hist!$D$2,0)</f>
        <v>1.1397521695672354E-2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0.10360525527109316</v>
      </c>
      <c r="D88" s="50">
        <f>IF(hist!$D$2&gt;0,hist!B88/hist!$D$2,0)</f>
        <v>4.8442416956426511E-3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0.22808392226592128</v>
      </c>
      <c r="D90" s="50">
        <f>IF(hist!$D$2&gt;0,hist!B90/hist!$D$2,0)</f>
        <v>2.5252532507458489E-3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0.12083925614507414</v>
      </c>
      <c r="D93" s="50">
        <f>IF(hist!$D$2&gt;0,hist!B93/hist!$D$2,0)</f>
        <v>1.1550753988761209E-3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8.3558442036810995E-2</v>
      </c>
      <c r="D95" s="50">
        <f>IF(hist!$D$2&gt;0,hist!B95/hist!$D$2,0)</f>
        <v>5.068177375852263E-4</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8.5723805266321423E-2</v>
      </c>
      <c r="D98" s="50">
        <f>IF(hist!$D$2&gt;0,hist!B98/hist!$D$2,0)</f>
        <v>3.0939499880929341E-4</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1.6742930716078405E-2</v>
      </c>
      <c r="D100" s="50">
        <f>IF(hist!$D$2&gt;0,hist!B100/hist!$D$2,0)</f>
        <v>4.4199285544184768E-5</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v>
      </c>
      <c r="D103" s="50">
        <f>IF(hist!$D$2&gt;0,hist!B103/hist!$D$2,0)</f>
        <v>0</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v>
      </c>
      <c r="D106" s="50">
        <f>IF(hist!$D$2&gt;0,hist!B106/hist!$D$2,0)</f>
        <v>0</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v>
      </c>
      <c r="D108" s="50">
        <f>IF(hist!$D$2&gt;0,hist!B108/hist!$D$2,0)</f>
        <v>0</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v>
      </c>
      <c r="D111" s="50">
        <f>IF(hist!$D$2&gt;0,hist!B111/hist!$D$2,0)</f>
        <v>0</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v>
      </c>
      <c r="D113" s="50">
        <f>IF(hist!$D$2&gt;0,hist!B113/hist!$D$2,0)</f>
        <v>0</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v>
      </c>
      <c r="D116" s="50">
        <f>IF(hist!$D$2&gt;0,hist!B116/hist!$D$2,0)</f>
        <v>0</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v>
      </c>
      <c r="D118" s="50">
        <f>IF(hist!$D$2&gt;0,hist!B118/hist!$D$2,0)</f>
        <v>0</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v>
      </c>
      <c r="D121" s="50">
        <f>IF(hist!$D$2&gt;0,hist!B121/hist!$D$2,0)</f>
        <v>0</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v>
      </c>
      <c r="D124" s="50">
        <f>IF(hist!$D$2&gt;0,hist!B124/hist!$D$2,0)</f>
        <v>0</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v>
      </c>
      <c r="D126" s="50">
        <f>IF(hist!$D$2&gt;0,hist!B126/hist!$D$2,0)</f>
        <v>0</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20.5886</v>
      </c>
      <c r="C5" s="49">
        <v>0.69159899999999996</v>
      </c>
      <c r="D5" s="49">
        <v>3.3591299999999999</v>
      </c>
      <c r="E5" s="49">
        <v>20</v>
      </c>
      <c r="F5" s="49">
        <v>20.266100000000002</v>
      </c>
      <c r="G5" s="49">
        <v>50</v>
      </c>
      <c r="H5" s="49">
        <v>22.389600000000002</v>
      </c>
    </row>
    <row r="6" spans="1:10">
      <c r="A6" t="s">
        <v>1111</v>
      </c>
      <c r="B6" s="49">
        <v>23.428899999999999</v>
      </c>
      <c r="C6" s="49">
        <v>1.5596099999999999</v>
      </c>
      <c r="D6" s="49">
        <v>6.6567699999999999</v>
      </c>
      <c r="E6" s="49">
        <v>20</v>
      </c>
      <c r="F6" s="49">
        <v>22.9574</v>
      </c>
      <c r="G6" s="49">
        <v>40</v>
      </c>
      <c r="H6" s="49">
        <v>27.7437</v>
      </c>
    </row>
    <row r="7" spans="1:10">
      <c r="A7" t="s">
        <v>1112</v>
      </c>
      <c r="B7" s="49">
        <v>27.514500000000002</v>
      </c>
      <c r="C7" s="49">
        <v>13.674099999999999</v>
      </c>
      <c r="D7" s="49">
        <v>49.698</v>
      </c>
      <c r="E7" s="49">
        <v>15</v>
      </c>
      <c r="F7" s="49">
        <v>5.4659399999999998</v>
      </c>
      <c r="G7" s="49">
        <v>40</v>
      </c>
      <c r="H7" s="49">
        <v>45.7821</v>
      </c>
    </row>
    <row r="8" spans="1:10">
      <c r="A8" t="s">
        <v>1113</v>
      </c>
      <c r="B8" s="49">
        <v>20.745799999999999</v>
      </c>
      <c r="C8" s="49">
        <v>4.5534699999999999</v>
      </c>
      <c r="D8" s="49">
        <v>21.948899999999998</v>
      </c>
      <c r="E8" s="49">
        <v>20</v>
      </c>
      <c r="F8" s="49">
        <v>17.254200000000001</v>
      </c>
      <c r="G8" s="49">
        <v>50</v>
      </c>
      <c r="H8" s="49">
        <v>29.8794</v>
      </c>
    </row>
    <row r="9" spans="1:10">
      <c r="A9" t="s">
        <v>1114</v>
      </c>
      <c r="B9" s="49">
        <v>65.075900000000004</v>
      </c>
      <c r="C9" s="49">
        <v>9.4066200000000002</v>
      </c>
      <c r="D9" s="49">
        <v>14.4549</v>
      </c>
      <c r="E9" s="49">
        <v>50</v>
      </c>
      <c r="F9" s="49">
        <v>50.963900000000002</v>
      </c>
      <c r="G9" s="49">
        <v>100</v>
      </c>
      <c r="H9" s="49">
        <v>80.931799999999996</v>
      </c>
    </row>
    <row r="10" spans="1:10">
      <c r="A10" t="s">
        <v>1115</v>
      </c>
      <c r="B10" s="49">
        <v>76.694599999999994</v>
      </c>
      <c r="C10" s="49">
        <v>0.23347999999999999</v>
      </c>
      <c r="D10" s="49">
        <v>0.30442799999999998</v>
      </c>
      <c r="E10" s="49">
        <v>40</v>
      </c>
      <c r="F10" s="49">
        <v>76.158100000000005</v>
      </c>
      <c r="G10" s="49">
        <v>100</v>
      </c>
      <c r="H10" s="49">
        <v>77.088399999999993</v>
      </c>
    </row>
    <row r="11" spans="1:10">
      <c r="A11" t="s">
        <v>1116</v>
      </c>
      <c r="B11" s="49">
        <v>17.287500000000001</v>
      </c>
      <c r="C11" s="49">
        <v>0.77966599999999997</v>
      </c>
      <c r="D11" s="49">
        <v>4.5099900000000002</v>
      </c>
      <c r="E11" s="49">
        <v>10</v>
      </c>
      <c r="F11" s="49">
        <v>15.8195</v>
      </c>
      <c r="G11" s="49">
        <v>50</v>
      </c>
      <c r="H11" s="49">
        <v>18.519400000000001</v>
      </c>
    </row>
    <row r="12" spans="1:10">
      <c r="A12" t="s">
        <v>1117</v>
      </c>
      <c r="B12" s="49">
        <v>70.885199999999998</v>
      </c>
      <c r="C12" s="49">
        <v>4.5954100000000002</v>
      </c>
      <c r="D12" s="49">
        <v>6.4828900000000003</v>
      </c>
      <c r="E12" s="49">
        <v>50</v>
      </c>
      <c r="F12" s="49">
        <v>63.904400000000003</v>
      </c>
      <c r="G12" s="49">
        <v>100</v>
      </c>
      <c r="H12" s="49">
        <v>78.613500000000002</v>
      </c>
    </row>
    <row r="13" spans="1:10">
      <c r="A13" t="s">
        <v>1118</v>
      </c>
      <c r="B13" s="49">
        <v>16.466200000000001</v>
      </c>
      <c r="C13" s="49">
        <v>3.6341899999999998</v>
      </c>
      <c r="D13" s="49">
        <v>22.070599999999999</v>
      </c>
      <c r="E13" s="49">
        <v>10</v>
      </c>
      <c r="F13" s="49">
        <v>13.8451</v>
      </c>
      <c r="G13" s="49">
        <v>25</v>
      </c>
      <c r="H13" s="49">
        <v>27.3126</v>
      </c>
      <c r="J13" s="49"/>
    </row>
    <row r="14" spans="1:10">
      <c r="A14" t="s">
        <v>1119</v>
      </c>
      <c r="B14" s="49">
        <v>36.341900000000003</v>
      </c>
      <c r="C14" s="49">
        <v>14.6609</v>
      </c>
      <c r="D14" s="49">
        <v>40.3416</v>
      </c>
      <c r="E14" s="49">
        <v>10</v>
      </c>
      <c r="F14" s="49">
        <v>2.2991899999999998</v>
      </c>
      <c r="G14" s="49">
        <v>50</v>
      </c>
      <c r="H14" s="49">
        <v>41.941000000000003</v>
      </c>
    </row>
    <row r="15" spans="1:10">
      <c r="A15" t="s">
        <v>1120</v>
      </c>
      <c r="B15" s="49">
        <v>-0.14092399999999999</v>
      </c>
      <c r="C15" s="49">
        <v>0</v>
      </c>
      <c r="D15" s="49">
        <v>0</v>
      </c>
      <c r="E15" s="49">
        <v>0</v>
      </c>
      <c r="F15" s="49">
        <v>0</v>
      </c>
      <c r="G15" s="49">
        <v>0</v>
      </c>
      <c r="H15" s="49">
        <v>0</v>
      </c>
    </row>
    <row r="16" spans="1:10">
      <c r="A16" t="s">
        <v>1121</v>
      </c>
      <c r="B16" s="49">
        <v>-0.16869100000000001</v>
      </c>
      <c r="C16" s="49">
        <v>0</v>
      </c>
      <c r="D16" s="49">
        <v>0</v>
      </c>
      <c r="E16" s="49">
        <v>0</v>
      </c>
      <c r="F16" s="49">
        <v>0</v>
      </c>
      <c r="G16" s="49">
        <v>0</v>
      </c>
      <c r="H16" s="49">
        <v>0</v>
      </c>
    </row>
    <row r="17" spans="1:8">
      <c r="A17" t="s">
        <v>1122</v>
      </c>
      <c r="B17" s="49">
        <v>16.982700000000001</v>
      </c>
      <c r="C17" s="49">
        <v>0</v>
      </c>
      <c r="D17" s="49">
        <v>0</v>
      </c>
      <c r="E17" s="49">
        <v>0</v>
      </c>
      <c r="F17" s="49">
        <v>0</v>
      </c>
      <c r="G17" s="49">
        <v>0</v>
      </c>
      <c r="H17" s="49">
        <v>0</v>
      </c>
    </row>
    <row r="18" spans="1:8">
      <c r="A18" t="s">
        <v>1123</v>
      </c>
      <c r="B18" s="49">
        <v>0.89817499999999995</v>
      </c>
      <c r="C18" s="49">
        <v>0</v>
      </c>
      <c r="D18" s="49">
        <v>0</v>
      </c>
      <c r="E18" s="49">
        <v>0</v>
      </c>
      <c r="F18" s="49">
        <v>0</v>
      </c>
      <c r="G18" s="49">
        <v>0</v>
      </c>
      <c r="H18" s="49">
        <v>0</v>
      </c>
    </row>
    <row r="19" spans="1:8">
      <c r="A19" t="s">
        <v>1124</v>
      </c>
      <c r="B19" s="49">
        <v>0.70949099999999998</v>
      </c>
      <c r="C19" s="49">
        <v>0</v>
      </c>
      <c r="D19" s="49">
        <v>0</v>
      </c>
      <c r="E19" s="49">
        <v>0</v>
      </c>
      <c r="F19" s="49">
        <v>0</v>
      </c>
      <c r="G19" s="49">
        <v>0</v>
      </c>
      <c r="H19" s="49">
        <v>0</v>
      </c>
    </row>
    <row r="20" spans="1:8">
      <c r="A20" t="s">
        <v>1125</v>
      </c>
      <c r="B20" s="49">
        <v>6.3222E-3</v>
      </c>
      <c r="C20" s="49">
        <v>7.9737899999999997E-3</v>
      </c>
      <c r="D20" s="49">
        <v>1.2612399999999999</v>
      </c>
      <c r="E20" s="49">
        <v>0</v>
      </c>
      <c r="F20" s="49">
        <v>4.5583100000000003E-3</v>
      </c>
      <c r="G20" s="49">
        <v>0</v>
      </c>
      <c r="H20" s="49">
        <v>4.2178E-2</v>
      </c>
    </row>
    <row r="21" spans="1:8">
      <c r="A21" t="s">
        <v>1126</v>
      </c>
      <c r="B21" s="49">
        <v>2.2777200000000001E-2</v>
      </c>
      <c r="C21" s="49">
        <v>0.121646</v>
      </c>
      <c r="D21" s="49">
        <v>5.3406799999999999</v>
      </c>
      <c r="E21" s="49">
        <v>0</v>
      </c>
      <c r="F21" s="49">
        <v>6.5667700000000004E-3</v>
      </c>
      <c r="G21" s="49">
        <v>0</v>
      </c>
      <c r="H21" s="49">
        <v>0.62151999999999996</v>
      </c>
    </row>
    <row r="22" spans="1:8">
      <c r="A22" t="s">
        <v>1127</v>
      </c>
      <c r="B22" s="49">
        <v>31.666799999999999</v>
      </c>
      <c r="C22" s="49">
        <v>38.2393</v>
      </c>
      <c r="D22" s="49">
        <v>1.2075499999999999</v>
      </c>
      <c r="E22" s="49">
        <v>0</v>
      </c>
      <c r="F22" s="49">
        <v>17.7624</v>
      </c>
      <c r="G22" s="49">
        <v>0</v>
      </c>
      <c r="H22" s="49">
        <v>159.44300000000001</v>
      </c>
    </row>
    <row r="23" spans="1:8">
      <c r="A23" t="s">
        <v>1128</v>
      </c>
      <c r="B23" s="49">
        <v>38.630699999999997</v>
      </c>
      <c r="C23" s="49">
        <v>0.22240299999999999</v>
      </c>
      <c r="D23" s="49">
        <v>5.7571499999999999E-3</v>
      </c>
      <c r="E23" s="49">
        <v>0</v>
      </c>
      <c r="F23" s="49">
        <v>37.746200000000002</v>
      </c>
      <c r="G23" s="49">
        <v>0</v>
      </c>
      <c r="H23" s="49">
        <v>38.786200000000001</v>
      </c>
    </row>
    <row r="24" spans="1:8">
      <c r="A24" t="s">
        <v>1129</v>
      </c>
      <c r="B24" s="49">
        <v>7.0493300000000004E-3</v>
      </c>
      <c r="C24" s="49">
        <v>8.1096899999999993E-3</v>
      </c>
      <c r="D24" s="49">
        <v>1.15042</v>
      </c>
      <c r="E24" s="49">
        <v>0</v>
      </c>
      <c r="F24" s="49">
        <v>5.1050899999999996E-3</v>
      </c>
      <c r="G24" s="49">
        <v>0</v>
      </c>
      <c r="H24" s="49">
        <v>5.4757500000000001E-2</v>
      </c>
    </row>
    <row r="25" spans="1:8">
      <c r="A25" t="s">
        <v>1130</v>
      </c>
      <c r="B25" s="49">
        <v>2.2957000000000002E-2</v>
      </c>
      <c r="C25" s="49">
        <v>0.72315499999999999</v>
      </c>
      <c r="D25" s="49">
        <v>31.500399999999999</v>
      </c>
      <c r="E25" s="49">
        <v>0</v>
      </c>
      <c r="F25" s="49">
        <v>1.3343300000000001E-2</v>
      </c>
      <c r="G25" s="49">
        <v>0</v>
      </c>
      <c r="H25" s="49">
        <v>2.5841400000000001</v>
      </c>
    </row>
    <row r="26" spans="1:8">
      <c r="A26" t="s">
        <v>1131</v>
      </c>
      <c r="B26" s="49">
        <v>1.2062500000000001E-3</v>
      </c>
      <c r="C26" s="49">
        <v>9.5778900000000001E-4</v>
      </c>
      <c r="D26" s="49">
        <v>0.79402499999999998</v>
      </c>
      <c r="E26" s="49">
        <v>0</v>
      </c>
      <c r="F26" s="173">
        <v>8.5435600000000002E-4</v>
      </c>
      <c r="G26" s="49">
        <v>0</v>
      </c>
      <c r="H26" s="49">
        <v>5.3007200000000001E-3</v>
      </c>
    </row>
    <row r="27" spans="1:8">
      <c r="A27" t="s">
        <v>1132</v>
      </c>
      <c r="B27" s="173">
        <v>-1.6367000000000001E-5</v>
      </c>
      <c r="C27" s="49">
        <v>3.4534399999999998E-4</v>
      </c>
      <c r="D27" s="49">
        <v>-21.1</v>
      </c>
      <c r="E27" s="49">
        <v>0</v>
      </c>
      <c r="F27" s="49">
        <v>-1.2624400000000001E-3</v>
      </c>
      <c r="G27" s="49">
        <v>0</v>
      </c>
      <c r="H27" s="49">
        <v>1.1958800000000001E-3</v>
      </c>
    </row>
    <row r="28" spans="1:8">
      <c r="A28" t="s">
        <v>1133</v>
      </c>
      <c r="B28" s="49">
        <v>2.7050799999999999E-3</v>
      </c>
      <c r="C28" s="49">
        <v>6.9817400000000002E-3</v>
      </c>
      <c r="D28" s="49">
        <v>2.5809799999999998</v>
      </c>
      <c r="E28" s="49">
        <v>0</v>
      </c>
      <c r="F28" s="49">
        <v>1.25651E-3</v>
      </c>
      <c r="G28" s="49">
        <v>0</v>
      </c>
      <c r="H28" s="49">
        <v>3.4751499999999998E-2</v>
      </c>
    </row>
    <row r="29" spans="1:8">
      <c r="A29" t="s">
        <v>1134</v>
      </c>
      <c r="B29" s="49">
        <v>58.319899999999997</v>
      </c>
      <c r="C29" s="49">
        <v>7.2812700000000001</v>
      </c>
      <c r="D29" s="49">
        <v>0.12485</v>
      </c>
      <c r="E29" s="49">
        <v>0</v>
      </c>
      <c r="F29" s="49">
        <v>49.692300000000003</v>
      </c>
      <c r="G29" s="49">
        <v>0</v>
      </c>
      <c r="H29" s="49">
        <v>81.085400000000007</v>
      </c>
    </row>
    <row r="30" spans="1:8">
      <c r="A30" t="s">
        <v>1135</v>
      </c>
      <c r="B30" s="49">
        <v>24.744900000000001</v>
      </c>
      <c r="C30" s="49">
        <v>0.24201700000000001</v>
      </c>
      <c r="D30" s="49">
        <v>9.7804999999999993E-3</v>
      </c>
      <c r="E30" s="49">
        <v>0</v>
      </c>
      <c r="F30" s="49">
        <v>24.352599999999999</v>
      </c>
      <c r="G30" s="49">
        <v>0</v>
      </c>
      <c r="H30" s="49">
        <v>25.0945</v>
      </c>
    </row>
    <row r="31" spans="1:8">
      <c r="A31" t="s">
        <v>1136</v>
      </c>
      <c r="B31" s="49">
        <v>132.85</v>
      </c>
      <c r="C31" s="49">
        <v>0.59569700000000003</v>
      </c>
      <c r="D31" s="49">
        <v>4.4839700000000003E-3</v>
      </c>
      <c r="E31" s="49">
        <v>0</v>
      </c>
      <c r="F31" s="49">
        <v>128.785</v>
      </c>
      <c r="G31" s="49">
        <v>0</v>
      </c>
      <c r="H31" s="49">
        <v>132.85</v>
      </c>
    </row>
    <row r="32" spans="1:8">
      <c r="A32" t="s">
        <v>1137</v>
      </c>
      <c r="B32" s="49">
        <v>0.27514499999999997</v>
      </c>
      <c r="C32" s="49">
        <v>0.136741</v>
      </c>
      <c r="D32" s="49">
        <v>0.49697999999999998</v>
      </c>
      <c r="E32" s="49">
        <v>0.15</v>
      </c>
      <c r="F32" s="49">
        <v>5.4659399999999997E-2</v>
      </c>
      <c r="G32" s="49">
        <v>0.4</v>
      </c>
      <c r="H32" s="49">
        <v>0.45782099999999998</v>
      </c>
    </row>
    <row r="33" spans="1:8">
      <c r="A33" t="s">
        <v>1138</v>
      </c>
      <c r="B33" s="49">
        <v>0.31253599999999998</v>
      </c>
      <c r="C33" s="49">
        <v>1.6909399999999999E-3</v>
      </c>
      <c r="D33" s="49">
        <v>5.4104000000000001E-3</v>
      </c>
      <c r="E33" s="49">
        <v>0</v>
      </c>
      <c r="F33" s="49">
        <v>0.30509999999999998</v>
      </c>
      <c r="G33" s="49">
        <v>0</v>
      </c>
      <c r="H33" s="49">
        <v>0.31298300000000001</v>
      </c>
    </row>
    <row r="34" spans="1:8">
      <c r="A34" t="s">
        <v>1139</v>
      </c>
      <c r="B34" s="49">
        <v>0.164662</v>
      </c>
      <c r="C34" s="49">
        <v>3.6341900000000003E-2</v>
      </c>
      <c r="D34" s="49">
        <v>0.22070600000000001</v>
      </c>
      <c r="E34" s="49">
        <v>0.1</v>
      </c>
      <c r="F34" s="49">
        <v>0.13845099999999999</v>
      </c>
      <c r="G34" s="49">
        <v>0.25</v>
      </c>
      <c r="H34" s="49">
        <v>0.27312599999999998</v>
      </c>
    </row>
    <row r="35" spans="1:8">
      <c r="A35" t="s">
        <v>1140</v>
      </c>
      <c r="B35" s="49">
        <v>9.1056499999999999E-2</v>
      </c>
      <c r="C35" s="49">
        <v>3.6750999999999999E-2</v>
      </c>
      <c r="D35" s="49">
        <v>0.40360600000000002</v>
      </c>
      <c r="E35" s="49">
        <v>0</v>
      </c>
      <c r="F35" s="49">
        <v>2.02128E-2</v>
      </c>
      <c r="G35" s="49">
        <v>0</v>
      </c>
      <c r="H35" s="49">
        <v>0.15589600000000001</v>
      </c>
    </row>
    <row r="36" spans="1:8">
      <c r="A36" t="s">
        <v>1141</v>
      </c>
      <c r="B36" s="49">
        <v>0.126864</v>
      </c>
      <c r="C36" s="49">
        <v>8.94813E-2</v>
      </c>
      <c r="D36" s="49">
        <v>0.70533299999999999</v>
      </c>
      <c r="E36" s="49">
        <v>0</v>
      </c>
      <c r="F36" s="49">
        <v>4.7894300000000001E-2</v>
      </c>
      <c r="G36" s="49">
        <v>0</v>
      </c>
      <c r="H36" s="49">
        <v>0.486039</v>
      </c>
    </row>
    <row r="37" spans="1:8">
      <c r="A37" t="s">
        <v>1142</v>
      </c>
      <c r="B37" s="49">
        <v>0.36341899999999999</v>
      </c>
      <c r="C37" s="49">
        <v>0.14660899999999999</v>
      </c>
      <c r="D37" s="49">
        <v>0.403416</v>
      </c>
      <c r="E37" s="49">
        <v>0.1</v>
      </c>
      <c r="F37" s="49">
        <v>2.2991899999999999E-2</v>
      </c>
      <c r="G37" s="49">
        <v>0.5</v>
      </c>
      <c r="H37" s="49">
        <v>0.41941000000000001</v>
      </c>
    </row>
    <row r="38" spans="1:8">
      <c r="A38" t="s">
        <v>1143</v>
      </c>
      <c r="B38" s="49">
        <v>-23.663399999999999</v>
      </c>
      <c r="C38" s="49">
        <v>86.608500000000006</v>
      </c>
      <c r="D38" s="49">
        <v>-3.6600199999999998</v>
      </c>
      <c r="E38" s="49">
        <v>0</v>
      </c>
      <c r="F38" s="49">
        <v>-278.62799999999999</v>
      </c>
      <c r="G38" s="49">
        <v>0</v>
      </c>
      <c r="H38" s="49">
        <v>139.10599999999999</v>
      </c>
    </row>
    <row r="39" spans="1:8">
      <c r="A39" t="s">
        <v>1144</v>
      </c>
      <c r="B39" s="49">
        <v>-20.294699999999999</v>
      </c>
      <c r="C39" s="49">
        <v>17.309799999999999</v>
      </c>
      <c r="D39" s="49">
        <v>-0.85292000000000001</v>
      </c>
      <c r="E39" s="49">
        <v>0</v>
      </c>
      <c r="F39" s="49">
        <v>-66.5929</v>
      </c>
      <c r="G39" s="49">
        <v>0</v>
      </c>
      <c r="H39" s="49">
        <v>3.2156699999999998</v>
      </c>
    </row>
    <row r="40" spans="1:8">
      <c r="A40" t="s">
        <v>1145</v>
      </c>
      <c r="B40" s="49">
        <v>-14.2849</v>
      </c>
      <c r="C40" s="49">
        <v>8.8914900000000005E-2</v>
      </c>
      <c r="D40" s="49">
        <v>-6.2243999999999997E-3</v>
      </c>
      <c r="E40" s="49">
        <v>0</v>
      </c>
      <c r="F40" s="49">
        <v>-14.4291</v>
      </c>
      <c r="G40" s="49">
        <v>0</v>
      </c>
      <c r="H40" s="49">
        <v>-13.8772</v>
      </c>
    </row>
    <row r="41" spans="1:8">
      <c r="A41" t="s">
        <v>1146</v>
      </c>
      <c r="B41" s="49">
        <v>-0.17429900000000001</v>
      </c>
      <c r="C41" s="49">
        <v>0.46265499999999998</v>
      </c>
      <c r="D41" s="49">
        <v>-2.6543700000000001</v>
      </c>
      <c r="E41" s="49">
        <v>0</v>
      </c>
      <c r="F41" s="49">
        <v>-1</v>
      </c>
      <c r="G41" s="49">
        <v>0</v>
      </c>
      <c r="H41" s="49">
        <v>1</v>
      </c>
    </row>
    <row r="42" spans="1:8">
      <c r="A42" t="s">
        <v>1147</v>
      </c>
      <c r="B42" s="49">
        <v>-0.36161399999999999</v>
      </c>
      <c r="C42" s="49">
        <v>0.19140599999999999</v>
      </c>
      <c r="D42" s="49">
        <v>-0.52930999999999995</v>
      </c>
      <c r="E42" s="49">
        <v>0</v>
      </c>
      <c r="F42" s="49">
        <v>-0.69350400000000001</v>
      </c>
      <c r="G42" s="49">
        <v>0</v>
      </c>
      <c r="H42" s="49">
        <v>-4.2130099999999997E-3</v>
      </c>
    </row>
    <row r="43" spans="1:8">
      <c r="A43" t="s">
        <v>1148</v>
      </c>
      <c r="B43" s="49">
        <v>-0.22658700000000001</v>
      </c>
      <c r="C43" s="49">
        <v>2.4218999999999998E-3</v>
      </c>
      <c r="D43" s="49">
        <v>-1.0688599999999999E-2</v>
      </c>
      <c r="E43" s="49">
        <v>0</v>
      </c>
      <c r="F43" s="49">
        <v>-0.22778799999999999</v>
      </c>
      <c r="G43" s="49">
        <v>0</v>
      </c>
      <c r="H43" s="49">
        <v>-0.21596899999999999</v>
      </c>
    </row>
    <row r="44" spans="1:8">
      <c r="A44" t="s">
        <v>1149</v>
      </c>
      <c r="B44" s="49">
        <v>-9.2596699999999998</v>
      </c>
      <c r="C44" s="49">
        <v>0.59569700000000003</v>
      </c>
      <c r="D44" s="49">
        <v>-6.4332500000000001E-2</v>
      </c>
      <c r="E44" s="49">
        <v>0</v>
      </c>
      <c r="F44" s="49">
        <v>-9.2596699999999998</v>
      </c>
      <c r="G44" s="49">
        <v>0</v>
      </c>
      <c r="H44" s="49">
        <v>-5.1939000000000002</v>
      </c>
    </row>
    <row r="45" spans="1:8">
      <c r="A45" t="s">
        <v>1150</v>
      </c>
      <c r="B45" s="49">
        <v>47.204000000000001</v>
      </c>
      <c r="C45" s="49">
        <v>7.3814500000000001</v>
      </c>
      <c r="D45" s="49">
        <v>0.15637400000000001</v>
      </c>
      <c r="E45" s="49">
        <v>0</v>
      </c>
      <c r="F45" s="49">
        <v>34.054900000000004</v>
      </c>
      <c r="G45" s="49">
        <v>0</v>
      </c>
      <c r="H45" s="49">
        <v>66.276799999999994</v>
      </c>
    </row>
    <row r="46" spans="1:8">
      <c r="A46" t="s">
        <v>1151</v>
      </c>
      <c r="B46" s="49">
        <v>13.555300000000001</v>
      </c>
      <c r="C46" s="49">
        <v>0.72606700000000002</v>
      </c>
      <c r="D46" s="49">
        <v>5.35635E-2</v>
      </c>
      <c r="E46" s="49">
        <v>0</v>
      </c>
      <c r="F46" s="49">
        <v>13.0937</v>
      </c>
      <c r="G46" s="49">
        <v>0</v>
      </c>
      <c r="H46" s="49">
        <v>15.7464</v>
      </c>
    </row>
    <row r="47" spans="1:8">
      <c r="A47" t="s">
        <v>1152</v>
      </c>
      <c r="B47" s="49">
        <v>0.50895000000000001</v>
      </c>
      <c r="C47" s="49">
        <v>0.46749499999999999</v>
      </c>
      <c r="D47" s="49">
        <v>0.91854800000000003</v>
      </c>
      <c r="E47" s="49">
        <v>0</v>
      </c>
      <c r="F47" s="49">
        <v>0.29624600000000001</v>
      </c>
      <c r="G47" s="49">
        <v>0</v>
      </c>
      <c r="H47" s="49">
        <v>1.80491</v>
      </c>
    </row>
    <row r="48" spans="1:8">
      <c r="A48" t="s">
        <v>1153</v>
      </c>
      <c r="B48" s="49">
        <v>1.2605500000000001</v>
      </c>
      <c r="C48" s="49">
        <v>0.12148100000000001</v>
      </c>
      <c r="D48" s="49">
        <v>9.6372100000000002E-2</v>
      </c>
      <c r="E48" s="49">
        <v>0</v>
      </c>
      <c r="F48" s="49">
        <v>1.1178900000000001</v>
      </c>
      <c r="G48" s="49">
        <v>0</v>
      </c>
      <c r="H48" s="49">
        <v>1.53261</v>
      </c>
    </row>
    <row r="50" spans="1:4">
      <c r="A50" t="str">
        <f>lang!B7</f>
        <v>긍정감정</v>
      </c>
      <c r="B50" s="134">
        <f>SUM(B9:B12)</f>
        <v>229.94319999999999</v>
      </c>
      <c r="C50" s="134"/>
      <c r="D50" s="134">
        <f t="shared" ref="D50" si="0">SUM(D9:D12)</f>
        <v>25.752208</v>
      </c>
    </row>
    <row r="51" spans="1:4">
      <c r="A51" t="str">
        <f>lang!B8</f>
        <v>부정감정</v>
      </c>
      <c r="B51" s="134">
        <f>SUM(B5:B8)</f>
        <v>92.277799999999999</v>
      </c>
      <c r="C51" s="134"/>
      <c r="D51" s="134">
        <f t="shared" ref="D51" si="1">SUM(D5:D8)</f>
        <v>81.662800000000004</v>
      </c>
    </row>
    <row r="52" spans="1:4">
      <c r="A52" t="str">
        <f>lang!B9</f>
        <v>생리감정</v>
      </c>
      <c r="B52" s="134">
        <f>SUM(B13:B14)</f>
        <v>52.808100000000003</v>
      </c>
      <c r="C52" s="134"/>
      <c r="D52" s="134">
        <f t="shared" ref="D52" si="2">SUM(D13:D14)</f>
        <v>62.412199999999999</v>
      </c>
    </row>
    <row r="53" spans="1:4">
      <c r="B53" s="50">
        <f>SUM(B50:B52)</f>
        <v>375.02910000000003</v>
      </c>
      <c r="D53" s="50">
        <f>SUM(D50:D52)</f>
        <v>169.82720799999998</v>
      </c>
    </row>
    <row r="54" spans="1:4">
      <c r="A54" t="str">
        <f>lang!B7</f>
        <v>긍정감정</v>
      </c>
      <c r="B54" s="135">
        <f>IF(B$53&lt;&gt;0,B50/B$53,0)</f>
        <v>0.61313428744596077</v>
      </c>
      <c r="C54" s="135"/>
      <c r="D54" s="135">
        <f>IF(D$53&lt;&gt;0,D50/D$53,0)</f>
        <v>0.1516377046014912</v>
      </c>
    </row>
    <row r="55" spans="1:4">
      <c r="A55" t="str">
        <f>lang!B8</f>
        <v>부정감정</v>
      </c>
      <c r="B55" s="135">
        <f>IF(B$53&lt;&gt;0,B51/B$53,0)</f>
        <v>0.24605503946227103</v>
      </c>
      <c r="C55" s="135"/>
      <c r="D55" s="135">
        <f>IF(D$53&lt;&gt;0,D51/D$53,0)</f>
        <v>0.48085816732028008</v>
      </c>
    </row>
    <row r="56" spans="1:4">
      <c r="A56" t="str">
        <f>lang!B9</f>
        <v>생리감정</v>
      </c>
      <c r="B56" s="135">
        <f>IF(B$53&lt;&gt;0,B52/B$53,0)</f>
        <v>0.14081067309176809</v>
      </c>
      <c r="C56" s="135"/>
      <c r="D56" s="135">
        <f>IF(D$53&lt;&gt;0,D52/D$53,0)</f>
        <v>0.3675041280782288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59.726700000000001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0.13200000000000001</v>
      </c>
      <c r="B18" s="49">
        <v>0.13200000000000001</v>
      </c>
    </row>
    <row r="19" spans="1:2">
      <c r="A19" s="49">
        <v>0</v>
      </c>
      <c r="B19" s="49">
        <v>0</v>
      </c>
    </row>
    <row r="20" spans="1:2">
      <c r="A20" s="49">
        <v>0</v>
      </c>
      <c r="B20" s="49">
        <v>0</v>
      </c>
    </row>
    <row r="21" spans="1:2">
      <c r="A21" s="49">
        <v>0.24</v>
      </c>
      <c r="B21" s="49">
        <v>0.24</v>
      </c>
    </row>
    <row r="22" spans="1:2">
      <c r="A22" s="49">
        <v>0</v>
      </c>
      <c r="B22" s="49">
        <v>0</v>
      </c>
    </row>
    <row r="23" spans="1:2">
      <c r="A23" s="49">
        <v>0</v>
      </c>
      <c r="B23" s="49">
        <v>0</v>
      </c>
    </row>
    <row r="24" spans="1:2">
      <c r="A24" s="49">
        <v>0</v>
      </c>
      <c r="B24" s="49">
        <v>0</v>
      </c>
    </row>
    <row r="25" spans="1:2">
      <c r="A25" s="49">
        <v>0</v>
      </c>
      <c r="B25" s="49">
        <v>0</v>
      </c>
    </row>
    <row r="26" spans="1:2">
      <c r="A26" s="49">
        <v>0.104</v>
      </c>
      <c r="B26" s="49">
        <v>0.104</v>
      </c>
    </row>
    <row r="27" spans="1:2">
      <c r="A27" s="49">
        <v>0</v>
      </c>
      <c r="B27" s="49">
        <v>0</v>
      </c>
    </row>
    <row r="28" spans="1:2">
      <c r="A28" s="49">
        <v>1</v>
      </c>
      <c r="B28" s="49">
        <v>1</v>
      </c>
    </row>
    <row r="29" spans="1:2">
      <c r="A29" s="49">
        <v>0</v>
      </c>
      <c r="B29" s="49">
        <v>0</v>
      </c>
    </row>
    <row r="30" spans="1:2">
      <c r="A30" s="49">
        <v>0</v>
      </c>
      <c r="B30" s="49">
        <v>0</v>
      </c>
    </row>
    <row r="31" spans="1:2">
      <c r="A31" s="49">
        <v>3.7959999999999998</v>
      </c>
      <c r="B31" s="49">
        <v>3.7959999999999998</v>
      </c>
    </row>
    <row r="32" spans="1:2">
      <c r="A32" s="49">
        <v>0</v>
      </c>
      <c r="B32" s="49">
        <v>0</v>
      </c>
    </row>
    <row r="33" spans="1:2">
      <c r="A33" s="49">
        <v>4.7173299999999996</v>
      </c>
      <c r="B33" s="49">
        <v>4.7173299999999996</v>
      </c>
    </row>
    <row r="34" spans="1:2">
      <c r="A34" s="49">
        <v>0</v>
      </c>
      <c r="B34" s="49">
        <v>0</v>
      </c>
    </row>
    <row r="35" spans="1:2">
      <c r="A35" s="49">
        <v>0</v>
      </c>
      <c r="B35" s="49">
        <v>0</v>
      </c>
    </row>
    <row r="36" spans="1:2">
      <c r="A36" s="49">
        <v>9.98</v>
      </c>
      <c r="B36" s="49">
        <v>9.98</v>
      </c>
    </row>
    <row r="37" spans="1:2">
      <c r="A37" s="49">
        <v>0</v>
      </c>
      <c r="B37" s="49">
        <v>0</v>
      </c>
    </row>
    <row r="38" spans="1:2">
      <c r="A38" s="49">
        <v>0</v>
      </c>
      <c r="B38" s="49">
        <v>0</v>
      </c>
    </row>
    <row r="39" spans="1:2">
      <c r="A39" s="49">
        <v>10.098699999999999</v>
      </c>
      <c r="B39" s="49">
        <v>10.098699999999999</v>
      </c>
    </row>
    <row r="40" spans="1:2">
      <c r="A40" s="49">
        <v>0</v>
      </c>
      <c r="B40" s="49">
        <v>0</v>
      </c>
    </row>
    <row r="41" spans="1:2">
      <c r="A41" s="49">
        <v>13.064</v>
      </c>
      <c r="B41" s="49">
        <v>13.064</v>
      </c>
    </row>
    <row r="42" spans="1:2">
      <c r="A42" s="49">
        <v>0</v>
      </c>
      <c r="B42" s="49">
        <v>0</v>
      </c>
    </row>
    <row r="43" spans="1:2">
      <c r="A43" s="49">
        <v>0</v>
      </c>
      <c r="B43" s="49">
        <v>0</v>
      </c>
    </row>
    <row r="44" spans="1:2">
      <c r="A44" s="49">
        <v>14.310700000000001</v>
      </c>
      <c r="B44" s="49">
        <v>14.310700000000001</v>
      </c>
    </row>
    <row r="45" spans="1:2">
      <c r="A45" s="49">
        <v>0</v>
      </c>
      <c r="B45" s="49">
        <v>0</v>
      </c>
    </row>
    <row r="46" spans="1:2">
      <c r="A46" s="49">
        <v>29.867999999999999</v>
      </c>
      <c r="B46" s="49">
        <v>29.867999999999999</v>
      </c>
    </row>
    <row r="47" spans="1:2">
      <c r="A47" s="49">
        <v>0</v>
      </c>
      <c r="B47" s="49">
        <v>0</v>
      </c>
    </row>
    <row r="48" spans="1:2">
      <c r="A48" s="49">
        <v>0</v>
      </c>
      <c r="B48" s="49">
        <v>0</v>
      </c>
    </row>
    <row r="49" spans="1:2">
      <c r="A49" s="49">
        <v>40.5413</v>
      </c>
      <c r="B49" s="49">
        <v>40.5413</v>
      </c>
    </row>
    <row r="50" spans="1:2">
      <c r="A50" s="49">
        <v>0</v>
      </c>
      <c r="B50" s="49">
        <v>0</v>
      </c>
    </row>
    <row r="51" spans="1:2">
      <c r="A51" s="49">
        <v>59.726700000000001</v>
      </c>
      <c r="B51" s="49">
        <v>59.726700000000001</v>
      </c>
    </row>
    <row r="52" spans="1:2">
      <c r="A52" s="49">
        <v>0</v>
      </c>
      <c r="B52" s="49">
        <v>0</v>
      </c>
    </row>
    <row r="53" spans="1:2">
      <c r="A53" s="49">
        <v>0</v>
      </c>
      <c r="B53" s="49">
        <v>0</v>
      </c>
    </row>
    <row r="54" spans="1:2">
      <c r="A54" s="49">
        <v>51.758699999999997</v>
      </c>
      <c r="B54" s="49">
        <v>51.758699999999997</v>
      </c>
    </row>
    <row r="55" spans="1:2">
      <c r="A55" s="49">
        <v>0</v>
      </c>
      <c r="B55" s="49">
        <v>0</v>
      </c>
    </row>
    <row r="56" spans="1:2">
      <c r="A56" s="49">
        <v>0</v>
      </c>
      <c r="B56" s="49">
        <v>0</v>
      </c>
    </row>
    <row r="57" spans="1:2">
      <c r="A57" s="49">
        <v>50.070700000000002</v>
      </c>
      <c r="B57" s="49">
        <v>50.070700000000002</v>
      </c>
    </row>
    <row r="58" spans="1:2">
      <c r="A58" s="49">
        <v>0</v>
      </c>
      <c r="B58" s="49">
        <v>0</v>
      </c>
    </row>
    <row r="59" spans="1:2">
      <c r="A59" s="49">
        <v>50.533299999999997</v>
      </c>
      <c r="B59" s="49">
        <v>50.533299999999997</v>
      </c>
    </row>
    <row r="60" spans="1:2">
      <c r="A60" s="49">
        <v>0</v>
      </c>
      <c r="B60" s="49">
        <v>0</v>
      </c>
    </row>
    <row r="61" spans="1:2">
      <c r="A61" s="49">
        <v>0</v>
      </c>
      <c r="B61" s="49">
        <v>0</v>
      </c>
    </row>
    <row r="62" spans="1:2">
      <c r="A62" s="49">
        <v>43.606699999999996</v>
      </c>
      <c r="B62" s="49">
        <v>43.606699999999996</v>
      </c>
    </row>
    <row r="63" spans="1:2">
      <c r="A63" s="49">
        <v>0</v>
      </c>
      <c r="B63" s="49">
        <v>0</v>
      </c>
    </row>
    <row r="64" spans="1:2">
      <c r="A64" s="49">
        <v>39.04</v>
      </c>
      <c r="B64" s="49">
        <v>39.04</v>
      </c>
    </row>
    <row r="65" spans="1:2">
      <c r="A65" s="49">
        <v>0</v>
      </c>
      <c r="B65" s="49">
        <v>0</v>
      </c>
    </row>
    <row r="66" spans="1:2">
      <c r="A66" s="49">
        <v>0</v>
      </c>
      <c r="B66" s="49">
        <v>0</v>
      </c>
    </row>
    <row r="67" spans="1:2">
      <c r="A67" s="49">
        <v>39.700000000000003</v>
      </c>
      <c r="B67" s="49">
        <v>39.700000000000003</v>
      </c>
    </row>
    <row r="68" spans="1:2">
      <c r="A68" s="49">
        <v>0</v>
      </c>
      <c r="B68" s="49">
        <v>0</v>
      </c>
    </row>
    <row r="69" spans="1:2">
      <c r="A69" s="49">
        <v>25.262699999999999</v>
      </c>
      <c r="B69" s="49">
        <v>25.262699999999999</v>
      </c>
    </row>
    <row r="70" spans="1:2">
      <c r="A70" s="49">
        <v>0</v>
      </c>
      <c r="B70" s="49">
        <v>0</v>
      </c>
    </row>
    <row r="71" spans="1:2">
      <c r="A71" s="49">
        <v>0</v>
      </c>
      <c r="B71" s="49">
        <v>0</v>
      </c>
    </row>
    <row r="72" spans="1:2">
      <c r="A72" s="49">
        <v>18.7227</v>
      </c>
      <c r="B72" s="49">
        <v>18.7227</v>
      </c>
    </row>
    <row r="73" spans="1:2">
      <c r="A73" s="49">
        <v>0</v>
      </c>
      <c r="B73" s="49">
        <v>0</v>
      </c>
    </row>
    <row r="74" spans="1:2">
      <c r="A74" s="49">
        <v>0</v>
      </c>
      <c r="B74" s="49">
        <v>0</v>
      </c>
    </row>
    <row r="75" spans="1:2">
      <c r="A75" s="49">
        <v>21.365300000000001</v>
      </c>
      <c r="B75" s="49">
        <v>21.365300000000001</v>
      </c>
    </row>
    <row r="76" spans="1:2">
      <c r="A76" s="49">
        <v>0</v>
      </c>
      <c r="B76" s="49">
        <v>0</v>
      </c>
    </row>
    <row r="77" spans="1:2">
      <c r="A77" s="49">
        <v>20.648</v>
      </c>
      <c r="B77" s="49">
        <v>20.648</v>
      </c>
    </row>
    <row r="78" spans="1:2">
      <c r="A78" s="49">
        <v>0</v>
      </c>
      <c r="B78" s="49">
        <v>0</v>
      </c>
    </row>
    <row r="79" spans="1:2">
      <c r="A79" s="49">
        <v>0</v>
      </c>
      <c r="B79" s="49">
        <v>0</v>
      </c>
    </row>
    <row r="80" spans="1:2">
      <c r="A80" s="49">
        <v>17.1693</v>
      </c>
      <c r="B80" s="49">
        <v>17.1693</v>
      </c>
    </row>
    <row r="81" spans="1:2">
      <c r="A81" s="49">
        <v>0</v>
      </c>
      <c r="B81" s="49">
        <v>0</v>
      </c>
    </row>
    <row r="82" spans="1:2">
      <c r="A82" s="49">
        <v>15.9293</v>
      </c>
      <c r="B82" s="49">
        <v>15.9293</v>
      </c>
    </row>
    <row r="83" spans="1:2">
      <c r="A83" s="49">
        <v>0</v>
      </c>
      <c r="B83" s="49">
        <v>0</v>
      </c>
    </row>
    <row r="84" spans="1:2">
      <c r="A84" s="49">
        <v>0</v>
      </c>
      <c r="B84" s="49">
        <v>0</v>
      </c>
    </row>
    <row r="85" spans="1:2">
      <c r="A85" s="49">
        <v>10.224</v>
      </c>
      <c r="B85" s="49">
        <v>10.224</v>
      </c>
    </row>
    <row r="86" spans="1:2">
      <c r="A86" s="49">
        <v>0</v>
      </c>
      <c r="B86" s="49">
        <v>0</v>
      </c>
    </row>
    <row r="87" spans="1:2">
      <c r="A87" s="49">
        <v>0</v>
      </c>
      <c r="B87" s="49">
        <v>0</v>
      </c>
    </row>
    <row r="88" spans="1:2">
      <c r="A88" s="49">
        <v>6.1879999999999997</v>
      </c>
      <c r="B88" s="49">
        <v>6.1879999999999997</v>
      </c>
    </row>
    <row r="89" spans="1:2">
      <c r="A89" s="49">
        <v>0</v>
      </c>
      <c r="B89" s="49">
        <v>0</v>
      </c>
    </row>
    <row r="90" spans="1:2">
      <c r="A90" s="49">
        <v>13.6227</v>
      </c>
      <c r="B90" s="49">
        <v>13.6227</v>
      </c>
    </row>
    <row r="91" spans="1:2">
      <c r="A91" s="49">
        <v>0</v>
      </c>
      <c r="B91" s="49">
        <v>0</v>
      </c>
    </row>
    <row r="92" spans="1:2">
      <c r="A92" s="49">
        <v>0</v>
      </c>
      <c r="B92" s="49">
        <v>0</v>
      </c>
    </row>
    <row r="93" spans="1:2">
      <c r="A93" s="49">
        <v>7.2173299999999996</v>
      </c>
      <c r="B93" s="49">
        <v>7.2173299999999996</v>
      </c>
    </row>
    <row r="94" spans="1:2">
      <c r="A94" s="49">
        <v>0</v>
      </c>
      <c r="B94" s="49">
        <v>0</v>
      </c>
    </row>
    <row r="95" spans="1:2">
      <c r="A95" s="49">
        <v>4.9906699999999997</v>
      </c>
      <c r="B95" s="49">
        <v>4.9906699999999997</v>
      </c>
    </row>
    <row r="96" spans="1:2">
      <c r="A96" s="49">
        <v>0</v>
      </c>
      <c r="B96" s="49">
        <v>0</v>
      </c>
    </row>
    <row r="97" spans="1:2">
      <c r="A97" s="49">
        <v>0</v>
      </c>
      <c r="B97" s="49">
        <v>0</v>
      </c>
    </row>
    <row r="98" spans="1:2">
      <c r="A98" s="49">
        <v>5.12</v>
      </c>
      <c r="B98" s="49">
        <v>5.12</v>
      </c>
    </row>
    <row r="99" spans="1:2">
      <c r="A99" s="49">
        <v>0</v>
      </c>
      <c r="B99" s="49">
        <v>0</v>
      </c>
    </row>
    <row r="100" spans="1:2">
      <c r="A100" s="49">
        <v>1</v>
      </c>
      <c r="B100" s="49">
        <v>1</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0.21998400000000001</v>
      </c>
      <c r="B2" s="49">
        <v>0.72060299999999999</v>
      </c>
      <c r="C2">
        <v>0</v>
      </c>
      <c r="D2">
        <v>0</v>
      </c>
      <c r="E2" t="s">
        <v>1161</v>
      </c>
      <c r="F2" s="49">
        <f>IF(A2&lt;&gt;"",1,"")</f>
        <v>1</v>
      </c>
      <c r="G2">
        <f>IF($H8&gt;0,LOOKUP(COUNT(A2:A1000)*$H8,F2:F1000,A2:A1000),LOOKUP(1,F2:F1000,A2:A1000))</f>
        <v>0.220856</v>
      </c>
      <c r="H2">
        <f>IF($H8&gt;0,LOOKUP(COUNT(B2:B1000)*$H8,F2:F1000,B2:B1000),LOOKUP(1,F2:F1000,B2:B1000))</f>
        <v>0.72089999999999999</v>
      </c>
      <c r="J2" s="49">
        <f>IF(A2&lt;&gt;"",A2*10,"")</f>
        <v>2.19984</v>
      </c>
      <c r="K2" s="49">
        <f>IF(B2&lt;&gt;"",B2*100,"")</f>
        <v>72.060299999999998</v>
      </c>
      <c r="L2" s="49">
        <f>IF(F2&lt;&gt;"",IF(K2&lt;&gt;0,K2/J2,0),"")</f>
        <v>32.757064150120009</v>
      </c>
    </row>
    <row r="3" spans="1:12">
      <c r="A3" s="49">
        <v>0.220856</v>
      </c>
      <c r="B3" s="49">
        <v>0.72089999999999999</v>
      </c>
      <c r="C3">
        <v>0.319245</v>
      </c>
      <c r="D3">
        <v>0</v>
      </c>
      <c r="E3" t="s">
        <v>2560</v>
      </c>
      <c r="F3" s="49">
        <f>IF(A3&lt;&gt;"",F2+1,"")</f>
        <v>2</v>
      </c>
      <c r="G3">
        <f>IF($H9&gt;0,LOOKUP(COUNT(A2:A1000)*$H9,F2:F1000,A2:A1000),LOOKUP(1,F2:F1000,A2:A1000))</f>
        <v>0.24291699999999999</v>
      </c>
      <c r="H3">
        <f>IF($H9&gt;0,LOOKUP(COUNT(B2:B1000)*$H9,F2:F1000,B2:B1000),LOOKUP(1,F2:F1000,B2:B1000))</f>
        <v>0.707148</v>
      </c>
      <c r="J3" s="49">
        <f t="shared" ref="J3:J66" si="0">IF(A3&lt;&gt;"",A3*10,"")</f>
        <v>2.2085599999999999</v>
      </c>
      <c r="K3" s="49">
        <f t="shared" ref="K3:K66" si="1">IF(B3&lt;&gt;"",B3*100,"")</f>
        <v>72.09</v>
      </c>
      <c r="L3" s="49">
        <f t="shared" ref="L3:L66" si="2">IF(F3&lt;&gt;"",IF(K3&lt;&gt;0,K3/J3,0),"")</f>
        <v>32.641177962111065</v>
      </c>
    </row>
    <row r="4" spans="1:12">
      <c r="A4" s="49">
        <v>0.22170000000000001</v>
      </c>
      <c r="B4" s="49">
        <v>0.72159399999999996</v>
      </c>
      <c r="C4">
        <v>0.72928000000000004</v>
      </c>
      <c r="D4">
        <v>0</v>
      </c>
      <c r="E4" t="s">
        <v>2561</v>
      </c>
      <c r="F4" s="49">
        <f t="shared" ref="F4:F67" si="3">IF(A4&lt;&gt;"",F3+1,"")</f>
        <v>3</v>
      </c>
      <c r="G4" s="71" t="s">
        <v>209</v>
      </c>
      <c r="H4" s="23">
        <f>IF(ISERROR(G3-G2)=FALSE,(G3-G2)*10,0)</f>
        <v>0.22060999999999997</v>
      </c>
      <c r="J4" s="49">
        <f t="shared" si="0"/>
        <v>2.2170000000000001</v>
      </c>
      <c r="K4" s="49">
        <f t="shared" si="1"/>
        <v>72.159399999999991</v>
      </c>
      <c r="L4" s="49">
        <f t="shared" si="2"/>
        <v>32.548218313035626</v>
      </c>
    </row>
    <row r="5" spans="1:12">
      <c r="A5" s="49">
        <v>0.222501</v>
      </c>
      <c r="B5" s="49">
        <v>0.72261500000000001</v>
      </c>
      <c r="C5">
        <v>1.13592</v>
      </c>
      <c r="D5">
        <v>0</v>
      </c>
      <c r="E5" t="s">
        <v>2562</v>
      </c>
      <c r="F5" s="49">
        <f t="shared" si="3"/>
        <v>4</v>
      </c>
      <c r="G5" s="71" t="s">
        <v>210</v>
      </c>
      <c r="H5" s="23">
        <f>IF(ISERROR(H3-H2)=FALSE,H3-H2,0)</f>
        <v>-1.3751999999999986E-2</v>
      </c>
      <c r="J5" s="49">
        <f t="shared" si="0"/>
        <v>2.2250100000000002</v>
      </c>
      <c r="K5" s="49">
        <f t="shared" si="1"/>
        <v>72.261499999999998</v>
      </c>
      <c r="L5" s="49">
        <f t="shared" si="2"/>
        <v>32.47693268794297</v>
      </c>
    </row>
    <row r="6" spans="1:12">
      <c r="A6" s="49">
        <v>0.223361</v>
      </c>
      <c r="B6" s="49">
        <v>0.723638</v>
      </c>
      <c r="C6">
        <v>1.5577300000000001</v>
      </c>
      <c r="D6">
        <v>0</v>
      </c>
      <c r="E6" t="s">
        <v>2563</v>
      </c>
      <c r="F6" s="49">
        <f t="shared" si="3"/>
        <v>5</v>
      </c>
      <c r="G6" s="71" t="s">
        <v>211</v>
      </c>
      <c r="H6" s="23">
        <f>IF(H4&lt;&gt;0,H5/H4,0)</f>
        <v>-6.2336249490050261E-2</v>
      </c>
      <c r="J6" s="49">
        <f t="shared" si="0"/>
        <v>2.2336100000000001</v>
      </c>
      <c r="K6" s="49">
        <f t="shared" si="1"/>
        <v>72.363799999999998</v>
      </c>
      <c r="L6" s="49">
        <f t="shared" si="2"/>
        <v>32.39768804760007</v>
      </c>
    </row>
    <row r="7" spans="1:12">
      <c r="A7" s="49">
        <v>0.22417200000000001</v>
      </c>
      <c r="B7" s="49">
        <v>0.72450800000000004</v>
      </c>
      <c r="C7">
        <v>1.9381299999999999</v>
      </c>
      <c r="D7">
        <v>0</v>
      </c>
      <c r="E7" t="s">
        <v>2564</v>
      </c>
      <c r="F7" s="49">
        <f t="shared" si="3"/>
        <v>6</v>
      </c>
      <c r="G7" s="71" t="s">
        <v>212</v>
      </c>
      <c r="H7" s="23">
        <f>DEGREES(ATAN(H6))</f>
        <v>-3.5669885733562494</v>
      </c>
      <c r="J7" s="49">
        <f t="shared" si="0"/>
        <v>2.2417199999999999</v>
      </c>
      <c r="K7" s="49">
        <f t="shared" si="1"/>
        <v>72.450800000000001</v>
      </c>
      <c r="L7" s="49">
        <f t="shared" si="2"/>
        <v>32.319290544760271</v>
      </c>
    </row>
    <row r="8" spans="1:12">
      <c r="A8" s="49">
        <v>0.22503799999999999</v>
      </c>
      <c r="B8" s="49">
        <v>0.725302</v>
      </c>
      <c r="C8">
        <v>2.3467600000000002</v>
      </c>
      <c r="D8">
        <v>0</v>
      </c>
      <c r="E8" t="s">
        <v>2565</v>
      </c>
      <c r="F8" s="49">
        <f t="shared" si="3"/>
        <v>7</v>
      </c>
      <c r="G8" s="71" t="s">
        <v>213</v>
      </c>
      <c r="H8" s="72">
        <v>0.1</v>
      </c>
      <c r="J8" s="49">
        <f t="shared" si="0"/>
        <v>2.2503799999999998</v>
      </c>
      <c r="K8" s="49">
        <f t="shared" si="1"/>
        <v>72.530199999999994</v>
      </c>
      <c r="L8" s="49">
        <f t="shared" si="2"/>
        <v>32.230201121588351</v>
      </c>
    </row>
    <row r="9" spans="1:12">
      <c r="A9" s="49">
        <v>0.225996</v>
      </c>
      <c r="B9" s="49">
        <v>0.72583900000000001</v>
      </c>
      <c r="C9">
        <v>2.7629999999999999</v>
      </c>
      <c r="D9">
        <v>0</v>
      </c>
      <c r="E9" t="s">
        <v>2566</v>
      </c>
      <c r="F9" s="49">
        <f t="shared" si="3"/>
        <v>8</v>
      </c>
      <c r="G9" s="71" t="s">
        <v>214</v>
      </c>
      <c r="H9" s="72">
        <v>0.9</v>
      </c>
      <c r="J9" s="49">
        <f t="shared" si="0"/>
        <v>2.25996</v>
      </c>
      <c r="K9" s="49">
        <f t="shared" si="1"/>
        <v>72.5839</v>
      </c>
      <c r="L9" s="49">
        <f t="shared" si="2"/>
        <v>32.117338359970972</v>
      </c>
    </row>
    <row r="10" spans="1:12">
      <c r="A10" s="49">
        <v>0.22701499999999999</v>
      </c>
      <c r="B10" s="49">
        <v>0.72612399999999999</v>
      </c>
      <c r="C10">
        <v>3.1603400000000001</v>
      </c>
      <c r="D10">
        <v>0</v>
      </c>
      <c r="E10" t="s">
        <v>2567</v>
      </c>
      <c r="F10" s="49">
        <f t="shared" si="3"/>
        <v>9</v>
      </c>
      <c r="G10" t="s">
        <v>215</v>
      </c>
      <c r="J10" s="49">
        <f t="shared" si="0"/>
        <v>2.2701500000000001</v>
      </c>
      <c r="K10" s="49">
        <f t="shared" si="1"/>
        <v>72.612399999999994</v>
      </c>
      <c r="L10" s="49">
        <f t="shared" si="2"/>
        <v>31.985727815342596</v>
      </c>
    </row>
    <row r="11" spans="1:12">
      <c r="A11" s="49">
        <v>0.22809199999999999</v>
      </c>
      <c r="B11" s="49">
        <v>0.72649600000000003</v>
      </c>
      <c r="C11">
        <v>3.5688599999999999</v>
      </c>
      <c r="D11">
        <v>0</v>
      </c>
      <c r="E11" t="s">
        <v>2568</v>
      </c>
      <c r="F11" s="49">
        <f t="shared" si="3"/>
        <v>10</v>
      </c>
      <c r="G11" s="71" t="s">
        <v>216</v>
      </c>
      <c r="H11" s="73">
        <f>MIN(B2:B1000)</f>
        <v>0.70186700000000002</v>
      </c>
      <c r="J11" s="49">
        <f t="shared" si="0"/>
        <v>2.2809200000000001</v>
      </c>
      <c r="K11" s="49">
        <f t="shared" si="1"/>
        <v>72.649600000000007</v>
      </c>
      <c r="L11" s="49">
        <f t="shared" si="2"/>
        <v>31.851007488206516</v>
      </c>
    </row>
    <row r="12" spans="1:12">
      <c r="A12" s="49">
        <v>0.229189</v>
      </c>
      <c r="B12" s="49">
        <v>0.72655400000000003</v>
      </c>
      <c r="C12">
        <v>3.9752000000000001</v>
      </c>
      <c r="D12">
        <v>0</v>
      </c>
      <c r="E12" t="s">
        <v>2569</v>
      </c>
      <c r="F12" s="49">
        <f t="shared" si="3"/>
        <v>11</v>
      </c>
      <c r="G12" s="71" t="s">
        <v>218</v>
      </c>
      <c r="H12" s="73">
        <f>MAX(B2:B1000)</f>
        <v>0.72655400000000003</v>
      </c>
      <c r="J12" s="49">
        <f t="shared" si="0"/>
        <v>2.29189</v>
      </c>
      <c r="K12" s="49">
        <f t="shared" si="1"/>
        <v>72.6554</v>
      </c>
      <c r="L12" s="49">
        <f t="shared" si="2"/>
        <v>31.701085130612725</v>
      </c>
    </row>
    <row r="13" spans="1:12">
      <c r="A13" s="49">
        <v>0.23039399999999999</v>
      </c>
      <c r="B13" s="49">
        <v>0.72598099999999999</v>
      </c>
      <c r="C13">
        <v>4.3875500000000001</v>
      </c>
      <c r="D13">
        <v>0</v>
      </c>
      <c r="E13" t="s">
        <v>2570</v>
      </c>
      <c r="F13" s="49">
        <f t="shared" si="3"/>
        <v>12</v>
      </c>
      <c r="G13" s="71" t="s">
        <v>220</v>
      </c>
      <c r="H13">
        <f>MATCH($H$11,B2:B1000,0)</f>
        <v>25</v>
      </c>
      <c r="J13" s="49">
        <f t="shared" si="0"/>
        <v>2.3039399999999999</v>
      </c>
      <c r="K13" s="49">
        <f t="shared" si="1"/>
        <v>72.598100000000002</v>
      </c>
      <c r="L13" s="49">
        <f t="shared" si="2"/>
        <v>31.510412597550285</v>
      </c>
    </row>
    <row r="14" spans="1:12">
      <c r="A14" s="49">
        <v>0.23172200000000001</v>
      </c>
      <c r="B14" s="49">
        <v>0.72498600000000002</v>
      </c>
      <c r="C14">
        <v>4.78132</v>
      </c>
      <c r="D14">
        <v>0</v>
      </c>
      <c r="E14" t="s">
        <v>2571</v>
      </c>
      <c r="F14" s="49">
        <f t="shared" si="3"/>
        <v>13</v>
      </c>
      <c r="G14" s="71" t="s">
        <v>221</v>
      </c>
      <c r="H14">
        <f>MATCH($H$12,B2:B1000,0)</f>
        <v>11</v>
      </c>
      <c r="J14" s="49">
        <f t="shared" si="0"/>
        <v>2.3172200000000003</v>
      </c>
      <c r="K14" s="49">
        <f t="shared" si="1"/>
        <v>72.498599999999996</v>
      </c>
      <c r="L14" s="49">
        <f t="shared" si="2"/>
        <v>31.286886873063406</v>
      </c>
    </row>
    <row r="15" spans="1:12">
      <c r="A15" s="49">
        <v>0.23305300000000001</v>
      </c>
      <c r="B15" s="49">
        <v>0.72384099999999996</v>
      </c>
      <c r="C15">
        <v>5.1871700000000001</v>
      </c>
      <c r="D15">
        <v>0</v>
      </c>
      <c r="E15" t="s">
        <v>2572</v>
      </c>
      <c r="F15" s="49">
        <f t="shared" si="3"/>
        <v>14</v>
      </c>
      <c r="G15">
        <f>LOOKUP($H13,F2:F1000,A2:A1000)</f>
        <v>0.245141</v>
      </c>
      <c r="H15">
        <f>LOOKUP($H13,F2:F1000,B2:B1000)</f>
        <v>0.70186700000000002</v>
      </c>
      <c r="J15" s="49">
        <f t="shared" si="0"/>
        <v>2.33053</v>
      </c>
      <c r="K15" s="49">
        <f t="shared" si="1"/>
        <v>72.384099999999989</v>
      </c>
      <c r="L15" s="49">
        <f t="shared" si="2"/>
        <v>31.059072399840375</v>
      </c>
    </row>
    <row r="16" spans="1:12">
      <c r="A16" s="49">
        <v>0.234484</v>
      </c>
      <c r="B16" s="49">
        <v>0.72237899999999999</v>
      </c>
      <c r="C16">
        <v>5.6036599999999996</v>
      </c>
      <c r="D16">
        <v>0</v>
      </c>
      <c r="E16" t="s">
        <v>2573</v>
      </c>
      <c r="F16" s="49">
        <f t="shared" si="3"/>
        <v>15</v>
      </c>
      <c r="G16">
        <f>LOOKUP($H14,F2:F1000,A2:A1000)</f>
        <v>0.229189</v>
      </c>
      <c r="H16">
        <f>LOOKUP($H14,F2:F1000,B2:B1000)</f>
        <v>0.72655400000000003</v>
      </c>
      <c r="J16" s="49">
        <f t="shared" si="0"/>
        <v>2.34484</v>
      </c>
      <c r="K16" s="49">
        <f t="shared" si="1"/>
        <v>72.237899999999996</v>
      </c>
      <c r="L16" s="49">
        <f t="shared" si="2"/>
        <v>30.80717660906501</v>
      </c>
    </row>
    <row r="17" spans="1:12">
      <c r="A17" s="49">
        <v>0.23594999999999999</v>
      </c>
      <c r="B17" s="49">
        <v>0.72001499999999996</v>
      </c>
      <c r="C17">
        <v>6.0101199999999997</v>
      </c>
      <c r="D17">
        <v>0</v>
      </c>
      <c r="E17" t="s">
        <v>2574</v>
      </c>
      <c r="F17" s="49">
        <f t="shared" si="3"/>
        <v>16</v>
      </c>
      <c r="J17" s="49">
        <f t="shared" si="0"/>
        <v>2.3594999999999997</v>
      </c>
      <c r="K17" s="49">
        <f t="shared" si="1"/>
        <v>72.001499999999993</v>
      </c>
      <c r="L17" s="49">
        <f t="shared" si="2"/>
        <v>30.515575333757152</v>
      </c>
    </row>
    <row r="18" spans="1:12">
      <c r="A18" s="49">
        <v>0.23755299999999999</v>
      </c>
      <c r="B18" s="49">
        <v>0.71733499999999994</v>
      </c>
      <c r="C18">
        <v>6.4092200000000004</v>
      </c>
      <c r="D18">
        <v>0</v>
      </c>
      <c r="E18" t="s">
        <v>2575</v>
      </c>
      <c r="F18" s="49">
        <f t="shared" si="3"/>
        <v>17</v>
      </c>
      <c r="J18" s="49">
        <f t="shared" si="0"/>
        <v>2.3755299999999999</v>
      </c>
      <c r="K18" s="49">
        <f t="shared" si="1"/>
        <v>71.733499999999992</v>
      </c>
      <c r="L18" s="49">
        <f t="shared" si="2"/>
        <v>30.196840284062922</v>
      </c>
    </row>
    <row r="19" spans="1:12">
      <c r="A19" s="49">
        <v>0.23916599999999999</v>
      </c>
      <c r="B19" s="49">
        <v>0.71450100000000005</v>
      </c>
      <c r="C19">
        <v>6.8253500000000003</v>
      </c>
      <c r="D19">
        <v>0</v>
      </c>
      <c r="E19" t="s">
        <v>2576</v>
      </c>
      <c r="F19" s="49">
        <f t="shared" si="3"/>
        <v>18</v>
      </c>
      <c r="J19" s="49">
        <f t="shared" si="0"/>
        <v>2.3916599999999999</v>
      </c>
      <c r="K19" s="49">
        <f t="shared" si="1"/>
        <v>71.450100000000006</v>
      </c>
      <c r="L19" s="49">
        <f t="shared" si="2"/>
        <v>29.874689546172956</v>
      </c>
    </row>
    <row r="20" spans="1:12">
      <c r="A20" s="49">
        <v>0.24045800000000001</v>
      </c>
      <c r="B20" s="49">
        <v>0.71237300000000003</v>
      </c>
      <c r="C20">
        <v>7.2209700000000003</v>
      </c>
      <c r="D20">
        <v>0</v>
      </c>
      <c r="E20" t="s">
        <v>2577</v>
      </c>
      <c r="F20" s="49">
        <f t="shared" si="3"/>
        <v>19</v>
      </c>
      <c r="J20" s="49">
        <f t="shared" si="0"/>
        <v>2.4045800000000002</v>
      </c>
      <c r="K20" s="49">
        <f t="shared" si="1"/>
        <v>71.237300000000005</v>
      </c>
      <c r="L20" s="49">
        <f t="shared" si="2"/>
        <v>29.625672674645884</v>
      </c>
    </row>
    <row r="21" spans="1:12">
      <c r="A21" s="49">
        <v>0.24124899999999999</v>
      </c>
      <c r="B21" s="49">
        <v>0.71113999999999999</v>
      </c>
      <c r="C21">
        <v>7.6316800000000002</v>
      </c>
      <c r="D21">
        <v>0</v>
      </c>
      <c r="E21" t="s">
        <v>2578</v>
      </c>
      <c r="F21" s="49">
        <f t="shared" si="3"/>
        <v>20</v>
      </c>
      <c r="J21" s="49">
        <f t="shared" si="0"/>
        <v>2.41249</v>
      </c>
      <c r="K21" s="49">
        <f t="shared" si="1"/>
        <v>71.114000000000004</v>
      </c>
      <c r="L21" s="49">
        <f t="shared" si="2"/>
        <v>29.477427885711446</v>
      </c>
    </row>
    <row r="22" spans="1:12">
      <c r="A22" s="49">
        <v>0.242035</v>
      </c>
      <c r="B22" s="49">
        <v>0.70948199999999995</v>
      </c>
      <c r="C22">
        <v>8.0329300000000003</v>
      </c>
      <c r="D22">
        <v>0</v>
      </c>
      <c r="E22" t="s">
        <v>2579</v>
      </c>
      <c r="F22" s="49">
        <f t="shared" si="3"/>
        <v>21</v>
      </c>
      <c r="J22" s="49">
        <f t="shared" si="0"/>
        <v>2.42035</v>
      </c>
      <c r="K22" s="49">
        <f t="shared" si="1"/>
        <v>70.9482</v>
      </c>
      <c r="L22" s="49">
        <f t="shared" si="2"/>
        <v>29.313198504348545</v>
      </c>
    </row>
    <row r="23" spans="1:12">
      <c r="A23" s="49">
        <v>0.24291699999999999</v>
      </c>
      <c r="B23" s="49">
        <v>0.707148</v>
      </c>
      <c r="C23">
        <v>8.4431200000000004</v>
      </c>
      <c r="D23">
        <v>0</v>
      </c>
      <c r="E23" t="s">
        <v>2580</v>
      </c>
      <c r="F23" s="49">
        <f t="shared" si="3"/>
        <v>22</v>
      </c>
      <c r="J23" s="49">
        <f t="shared" si="0"/>
        <v>2.4291700000000001</v>
      </c>
      <c r="K23" s="49">
        <f t="shared" si="1"/>
        <v>70.714799999999997</v>
      </c>
      <c r="L23" s="49">
        <f t="shared" si="2"/>
        <v>29.110683896145595</v>
      </c>
    </row>
    <row r="24" spans="1:12">
      <c r="A24" s="49">
        <v>0.24368400000000001</v>
      </c>
      <c r="B24" s="49">
        <v>0.70494500000000004</v>
      </c>
      <c r="C24">
        <v>8.8482599999999998</v>
      </c>
      <c r="D24">
        <v>0</v>
      </c>
      <c r="E24" t="s">
        <v>2581</v>
      </c>
      <c r="F24" s="49">
        <f t="shared" si="3"/>
        <v>23</v>
      </c>
      <c r="G24" t="s">
        <v>245</v>
      </c>
      <c r="H24">
        <f>COUNT(A2:A2000)</f>
        <v>25</v>
      </c>
      <c r="J24" s="49">
        <f t="shared" si="0"/>
        <v>2.4368400000000001</v>
      </c>
      <c r="K24" s="49">
        <f t="shared" si="1"/>
        <v>70.494500000000002</v>
      </c>
      <c r="L24" s="49">
        <f t="shared" si="2"/>
        <v>28.928653502076457</v>
      </c>
    </row>
    <row r="25" spans="1:12">
      <c r="A25" s="49">
        <v>0.244478</v>
      </c>
      <c r="B25" s="49">
        <v>0.70332499999999998</v>
      </c>
      <c r="C25">
        <v>9.2736800000000006</v>
      </c>
      <c r="D25">
        <v>0</v>
      </c>
      <c r="E25" t="s">
        <v>2582</v>
      </c>
      <c r="F25" s="49">
        <f t="shared" si="3"/>
        <v>24</v>
      </c>
      <c r="J25" s="49">
        <f t="shared" si="0"/>
        <v>2.4447800000000002</v>
      </c>
      <c r="K25" s="49">
        <f t="shared" si="1"/>
        <v>70.332499999999996</v>
      </c>
      <c r="L25" s="49">
        <f t="shared" si="2"/>
        <v>28.768437241796804</v>
      </c>
    </row>
    <row r="26" spans="1:12">
      <c r="A26" s="49">
        <v>0.245141</v>
      </c>
      <c r="B26" s="49">
        <v>0.70186700000000002</v>
      </c>
      <c r="C26">
        <v>9.6738900000000001</v>
      </c>
      <c r="D26">
        <v>0</v>
      </c>
      <c r="E26" t="s">
        <v>2583</v>
      </c>
      <c r="F26" s="49">
        <f t="shared" si="3"/>
        <v>25</v>
      </c>
      <c r="J26" s="49">
        <f t="shared" si="0"/>
        <v>2.4514100000000001</v>
      </c>
      <c r="K26" s="49">
        <f t="shared" si="1"/>
        <v>70.186700000000002</v>
      </c>
      <c r="L26" s="49">
        <f t="shared" si="2"/>
        <v>28.631155131128615</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45779.706134259257</v>
      </c>
      <c r="B2" t="s">
        <v>2584</v>
      </c>
      <c r="C2" s="49"/>
      <c r="D2" s="49"/>
      <c r="E2" s="49">
        <v>4.9234099999999996</v>
      </c>
      <c r="F2" s="49">
        <v>1.14086</v>
      </c>
      <c r="G2" s="49">
        <v>0.27080100000000001</v>
      </c>
      <c r="H2" s="49">
        <v>0</v>
      </c>
      <c r="I2" s="49">
        <v>59.726700000000001</v>
      </c>
      <c r="J2" s="49">
        <v>49</v>
      </c>
      <c r="K2" s="49">
        <v>49</v>
      </c>
      <c r="L2" s="49">
        <v>100</v>
      </c>
      <c r="M2" s="521" t="s">
        <v>1549</v>
      </c>
      <c r="O2" s="565" t="str">
        <f>IF(FH_info!B2="","",TRIM(MID(SUBSTITUTE(FH_info!B2,"^",REPT(" ",LEN(FH_info!B2))),LEN(FH_info!B2)*2-LEN(FH_info!B2)+1,LEN(FH_info!B2))))</f>
        <v>MXPI</v>
      </c>
      <c r="P2" s="565" t="str">
        <f>IF(FH_info!O2="","",TRIM(MID(SUBSTITUTE(FH_info!O2," ",REPT(" ",LEN(FH_info!O2))),LEN(FH_info!O2)*1-LEN(FH_info!O2)+1,LEN(FH_info!O2))))</f>
        <v>MXPI</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59.726664999999997</v>
      </c>
      <c r="D2">
        <f>MAX(B2:B257)</f>
        <v>452.49600199999998</v>
      </c>
      <c r="G2" t="s">
        <v>1590</v>
      </c>
      <c r="H2">
        <v>4.9234140000000002</v>
      </c>
      <c r="I2">
        <v>59.726664999999997</v>
      </c>
      <c r="J2">
        <v>0</v>
      </c>
      <c r="K2">
        <v>49</v>
      </c>
      <c r="L2">
        <v>49</v>
      </c>
      <c r="M2">
        <v>1.1408640000000001</v>
      </c>
      <c r="N2">
        <v>0.27080100000000001</v>
      </c>
      <c r="O2">
        <v>7.3332999999999995E-2</v>
      </c>
    </row>
    <row r="3" spans="1:15">
      <c r="A3">
        <v>0</v>
      </c>
      <c r="B3">
        <v>0</v>
      </c>
      <c r="G3" t="s">
        <v>1591</v>
      </c>
      <c r="H3">
        <v>4.9234140000000002</v>
      </c>
      <c r="I3">
        <v>452.49600199999998</v>
      </c>
      <c r="J3">
        <v>0</v>
      </c>
      <c r="K3">
        <v>13</v>
      </c>
      <c r="L3">
        <v>13</v>
      </c>
      <c r="M3">
        <v>0.50728600000000001</v>
      </c>
      <c r="N3">
        <v>0.29276400000000002</v>
      </c>
      <c r="O3">
        <v>8.5710999999999996E-2</v>
      </c>
    </row>
    <row r="4" spans="1:15">
      <c r="A4">
        <v>0</v>
      </c>
      <c r="B4">
        <v>0</v>
      </c>
    </row>
    <row r="5" spans="1:15">
      <c r="A5">
        <v>0.14399999999999999</v>
      </c>
      <c r="B5">
        <v>214.61599699999999</v>
      </c>
    </row>
    <row r="6" spans="1:15">
      <c r="A6">
        <v>0</v>
      </c>
      <c r="B6">
        <v>0</v>
      </c>
    </row>
    <row r="7" spans="1:15">
      <c r="A7">
        <v>0</v>
      </c>
      <c r="B7">
        <v>0</v>
      </c>
    </row>
    <row r="8" spans="1:15">
      <c r="A8">
        <v>0</v>
      </c>
      <c r="B8">
        <v>261.48400900000001</v>
      </c>
    </row>
    <row r="9" spans="1:15">
      <c r="A9">
        <v>0</v>
      </c>
      <c r="B9">
        <v>0</v>
      </c>
    </row>
    <row r="10" spans="1:15">
      <c r="A10">
        <v>0</v>
      </c>
      <c r="B10">
        <v>309.49200400000001</v>
      </c>
    </row>
    <row r="11" spans="1:15">
      <c r="A11">
        <v>0</v>
      </c>
      <c r="B11">
        <v>0</v>
      </c>
    </row>
    <row r="12" spans="1:15">
      <c r="A12">
        <v>0</v>
      </c>
      <c r="B12">
        <v>0</v>
      </c>
    </row>
    <row r="13" spans="1:15">
      <c r="A13">
        <v>0</v>
      </c>
      <c r="B13">
        <v>414.67867999999999</v>
      </c>
    </row>
    <row r="14" spans="1:15">
      <c r="A14">
        <v>0</v>
      </c>
      <c r="B14">
        <v>0</v>
      </c>
    </row>
    <row r="15" spans="1:15">
      <c r="A15">
        <v>0</v>
      </c>
      <c r="B15">
        <v>452.49600199999998</v>
      </c>
    </row>
    <row r="16" spans="1:15">
      <c r="A16">
        <v>0</v>
      </c>
      <c r="B16">
        <v>0</v>
      </c>
    </row>
    <row r="17" spans="1:2">
      <c r="A17">
        <v>0</v>
      </c>
      <c r="B17">
        <v>0</v>
      </c>
    </row>
    <row r="18" spans="1:2">
      <c r="A18">
        <v>0.13200000000000001</v>
      </c>
      <c r="B18">
        <v>442.47332799999998</v>
      </c>
    </row>
    <row r="19" spans="1:2">
      <c r="A19">
        <v>0</v>
      </c>
      <c r="B19">
        <v>0</v>
      </c>
    </row>
    <row r="20" spans="1:2">
      <c r="A20">
        <v>0</v>
      </c>
      <c r="B20">
        <v>0</v>
      </c>
    </row>
    <row r="21" spans="1:2">
      <c r="A21">
        <v>0.24</v>
      </c>
      <c r="B21">
        <v>437.19198599999999</v>
      </c>
    </row>
    <row r="22" spans="1:2">
      <c r="A22">
        <v>0</v>
      </c>
      <c r="B22">
        <v>0</v>
      </c>
    </row>
    <row r="23" spans="1:2">
      <c r="A23">
        <v>0</v>
      </c>
      <c r="B23">
        <v>439.72534200000001</v>
      </c>
    </row>
    <row r="24" spans="1:2">
      <c r="A24">
        <v>0</v>
      </c>
      <c r="B24">
        <v>0</v>
      </c>
    </row>
    <row r="25" spans="1:2">
      <c r="A25">
        <v>0</v>
      </c>
      <c r="B25">
        <v>0</v>
      </c>
    </row>
    <row r="26" spans="1:2">
      <c r="A26">
        <v>0.104</v>
      </c>
      <c r="B26">
        <v>431.32266199999998</v>
      </c>
    </row>
    <row r="27" spans="1:2">
      <c r="A27">
        <v>0</v>
      </c>
      <c r="B27">
        <v>0</v>
      </c>
    </row>
    <row r="28" spans="1:2">
      <c r="A28">
        <v>1</v>
      </c>
      <c r="B28">
        <v>424.37734999999998</v>
      </c>
    </row>
    <row r="29" spans="1:2">
      <c r="A29">
        <v>0</v>
      </c>
      <c r="B29">
        <v>0</v>
      </c>
    </row>
    <row r="30" spans="1:2">
      <c r="A30">
        <v>0</v>
      </c>
      <c r="B30">
        <v>0</v>
      </c>
    </row>
    <row r="31" spans="1:2">
      <c r="A31">
        <v>3.7959999999999998</v>
      </c>
      <c r="B31">
        <v>411.63464399999998</v>
      </c>
    </row>
    <row r="32" spans="1:2">
      <c r="A32">
        <v>0</v>
      </c>
      <c r="B32">
        <v>0</v>
      </c>
    </row>
    <row r="33" spans="1:2">
      <c r="A33">
        <v>4.717333</v>
      </c>
      <c r="B33">
        <v>380.97601300000002</v>
      </c>
    </row>
    <row r="34" spans="1:2">
      <c r="A34">
        <v>0</v>
      </c>
      <c r="B34">
        <v>0</v>
      </c>
    </row>
    <row r="35" spans="1:2">
      <c r="A35">
        <v>0</v>
      </c>
      <c r="B35">
        <v>0</v>
      </c>
    </row>
    <row r="36" spans="1:2">
      <c r="A36">
        <v>9.98</v>
      </c>
      <c r="B36">
        <v>339.09066799999999</v>
      </c>
    </row>
    <row r="37" spans="1:2">
      <c r="A37">
        <v>0</v>
      </c>
      <c r="B37">
        <v>0</v>
      </c>
    </row>
    <row r="38" spans="1:2">
      <c r="A38">
        <v>0</v>
      </c>
      <c r="B38">
        <v>0</v>
      </c>
    </row>
    <row r="39" spans="1:2">
      <c r="A39">
        <v>10.098666</v>
      </c>
      <c r="B39">
        <v>302.77600100000001</v>
      </c>
    </row>
    <row r="40" spans="1:2">
      <c r="A40">
        <v>0</v>
      </c>
      <c r="B40">
        <v>0</v>
      </c>
    </row>
    <row r="41" spans="1:2">
      <c r="A41">
        <v>13.064</v>
      </c>
      <c r="B41">
        <v>256.59466600000002</v>
      </c>
    </row>
    <row r="42" spans="1:2">
      <c r="A42">
        <v>0</v>
      </c>
      <c r="B42">
        <v>0</v>
      </c>
    </row>
    <row r="43" spans="1:2">
      <c r="A43">
        <v>0</v>
      </c>
      <c r="B43">
        <v>0</v>
      </c>
    </row>
    <row r="44" spans="1:2">
      <c r="A44">
        <v>14.310665999999999</v>
      </c>
      <c r="B44">
        <v>216.00933800000001</v>
      </c>
    </row>
    <row r="45" spans="1:2">
      <c r="A45">
        <v>0</v>
      </c>
      <c r="B45">
        <v>0</v>
      </c>
    </row>
    <row r="46" spans="1:2">
      <c r="A46">
        <v>29.867999999999999</v>
      </c>
      <c r="B46">
        <v>170.10533100000001</v>
      </c>
    </row>
    <row r="47" spans="1:2">
      <c r="A47">
        <v>0</v>
      </c>
      <c r="B47">
        <v>0</v>
      </c>
    </row>
    <row r="48" spans="1:2">
      <c r="A48">
        <v>0</v>
      </c>
      <c r="B48">
        <v>0</v>
      </c>
    </row>
    <row r="49" spans="1:2">
      <c r="A49">
        <v>40.541331999999997</v>
      </c>
      <c r="B49">
        <v>130.47467</v>
      </c>
    </row>
    <row r="50" spans="1:2">
      <c r="A50">
        <v>0</v>
      </c>
      <c r="B50">
        <v>0</v>
      </c>
    </row>
    <row r="51" spans="1:2">
      <c r="A51">
        <v>59.726664999999997</v>
      </c>
      <c r="B51">
        <v>97.235991999999996</v>
      </c>
    </row>
    <row r="52" spans="1:2">
      <c r="A52">
        <v>0</v>
      </c>
      <c r="B52">
        <v>0</v>
      </c>
    </row>
    <row r="53" spans="1:2">
      <c r="A53">
        <v>0</v>
      </c>
      <c r="B53">
        <v>0</v>
      </c>
    </row>
    <row r="54" spans="1:2">
      <c r="A54">
        <v>51.758667000000003</v>
      </c>
      <c r="B54">
        <v>77.225334000000004</v>
      </c>
    </row>
    <row r="55" spans="1:2">
      <c r="A55">
        <v>0</v>
      </c>
      <c r="B55">
        <v>0</v>
      </c>
    </row>
    <row r="56" spans="1:2">
      <c r="A56">
        <v>0</v>
      </c>
      <c r="B56">
        <v>0</v>
      </c>
    </row>
    <row r="57" spans="1:2">
      <c r="A57">
        <v>50.070667</v>
      </c>
      <c r="B57">
        <v>64.441329999999994</v>
      </c>
    </row>
    <row r="58" spans="1:2">
      <c r="A58">
        <v>0</v>
      </c>
      <c r="B58">
        <v>0</v>
      </c>
    </row>
    <row r="59" spans="1:2">
      <c r="A59">
        <v>50.533337000000003</v>
      </c>
      <c r="B59">
        <v>56.265331000000003</v>
      </c>
    </row>
    <row r="60" spans="1:2">
      <c r="A60">
        <v>0</v>
      </c>
      <c r="B60">
        <v>0</v>
      </c>
    </row>
    <row r="61" spans="1:2">
      <c r="A61">
        <v>0</v>
      </c>
      <c r="B61">
        <v>0</v>
      </c>
    </row>
    <row r="62" spans="1:2">
      <c r="A62">
        <v>43.606667000000002</v>
      </c>
      <c r="B62">
        <v>45.478667999999999</v>
      </c>
    </row>
    <row r="63" spans="1:2">
      <c r="A63">
        <v>0</v>
      </c>
      <c r="B63">
        <v>0</v>
      </c>
    </row>
    <row r="64" spans="1:2">
      <c r="A64">
        <v>39.040000999999997</v>
      </c>
      <c r="B64">
        <v>39.555999999999997</v>
      </c>
    </row>
    <row r="65" spans="1:2">
      <c r="A65">
        <v>0</v>
      </c>
      <c r="B65">
        <v>0</v>
      </c>
    </row>
    <row r="66" spans="1:2">
      <c r="A66">
        <v>0</v>
      </c>
      <c r="B66">
        <v>0</v>
      </c>
    </row>
    <row r="67" spans="1:2">
      <c r="A67">
        <v>39.700001</v>
      </c>
      <c r="B67">
        <v>37.437331999999998</v>
      </c>
    </row>
    <row r="68" spans="1:2">
      <c r="A68">
        <v>0</v>
      </c>
      <c r="B68">
        <v>0</v>
      </c>
    </row>
    <row r="69" spans="1:2">
      <c r="A69">
        <v>25.262667</v>
      </c>
      <c r="B69">
        <v>31.16</v>
      </c>
    </row>
    <row r="70" spans="1:2">
      <c r="A70">
        <v>0</v>
      </c>
      <c r="B70">
        <v>0</v>
      </c>
    </row>
    <row r="71" spans="1:2">
      <c r="A71">
        <v>0</v>
      </c>
      <c r="B71">
        <v>0</v>
      </c>
    </row>
    <row r="72" spans="1:2">
      <c r="A72">
        <v>18.722667999999999</v>
      </c>
      <c r="B72">
        <v>26.360001</v>
      </c>
    </row>
    <row r="73" spans="1:2">
      <c r="A73">
        <v>0</v>
      </c>
      <c r="B73">
        <v>0</v>
      </c>
    </row>
    <row r="74" spans="1:2">
      <c r="A74">
        <v>0</v>
      </c>
      <c r="B74">
        <v>0</v>
      </c>
    </row>
    <row r="75" spans="1:2">
      <c r="A75">
        <v>21.365334000000001</v>
      </c>
      <c r="B75">
        <v>23.042665</v>
      </c>
    </row>
    <row r="76" spans="1:2">
      <c r="A76">
        <v>0</v>
      </c>
      <c r="B76">
        <v>0</v>
      </c>
    </row>
    <row r="77" spans="1:2">
      <c r="A77">
        <v>20.648001000000001</v>
      </c>
      <c r="B77">
        <v>18.590665999999999</v>
      </c>
    </row>
    <row r="78" spans="1:2">
      <c r="A78">
        <v>0</v>
      </c>
      <c r="B78">
        <v>0</v>
      </c>
    </row>
    <row r="79" spans="1:2">
      <c r="A79">
        <v>0</v>
      </c>
      <c r="B79">
        <v>0</v>
      </c>
    </row>
    <row r="80" spans="1:2">
      <c r="A80">
        <v>17.169333999999999</v>
      </c>
      <c r="B80">
        <v>13.502667000000001</v>
      </c>
    </row>
    <row r="81" spans="1:2">
      <c r="A81">
        <v>0</v>
      </c>
      <c r="B81">
        <v>0</v>
      </c>
    </row>
    <row r="82" spans="1:2">
      <c r="A82">
        <v>15.929334000000001</v>
      </c>
      <c r="B82">
        <v>8.0519999999999996</v>
      </c>
    </row>
    <row r="83" spans="1:2">
      <c r="A83">
        <v>0</v>
      </c>
      <c r="B83">
        <v>0</v>
      </c>
    </row>
    <row r="84" spans="1:2">
      <c r="A84">
        <v>0</v>
      </c>
      <c r="B84">
        <v>0</v>
      </c>
    </row>
    <row r="85" spans="1:2">
      <c r="A85">
        <v>10.224</v>
      </c>
      <c r="B85">
        <v>5.1573330000000004</v>
      </c>
    </row>
    <row r="86" spans="1:2">
      <c r="A86">
        <v>0</v>
      </c>
      <c r="B86">
        <v>0</v>
      </c>
    </row>
    <row r="87" spans="1:2">
      <c r="A87">
        <v>0</v>
      </c>
      <c r="B87">
        <v>0</v>
      </c>
    </row>
    <row r="88" spans="1:2">
      <c r="A88">
        <v>6.1879999999999997</v>
      </c>
      <c r="B88">
        <v>2.1920000000000002</v>
      </c>
    </row>
    <row r="89" spans="1:2">
      <c r="A89">
        <v>0</v>
      </c>
      <c r="B89">
        <v>0</v>
      </c>
    </row>
    <row r="90" spans="1:2">
      <c r="A90">
        <v>13.622667</v>
      </c>
      <c r="B90">
        <v>1.1426670000000001</v>
      </c>
    </row>
    <row r="91" spans="1:2">
      <c r="A91">
        <v>0</v>
      </c>
      <c r="B91">
        <v>0</v>
      </c>
    </row>
    <row r="92" spans="1:2">
      <c r="A92">
        <v>0</v>
      </c>
      <c r="B92">
        <v>0</v>
      </c>
    </row>
    <row r="93" spans="1:2">
      <c r="A93">
        <v>7.217333</v>
      </c>
      <c r="B93">
        <v>0.52266699999999999</v>
      </c>
    </row>
    <row r="94" spans="1:2">
      <c r="A94">
        <v>0</v>
      </c>
      <c r="B94">
        <v>0</v>
      </c>
    </row>
    <row r="95" spans="1:2">
      <c r="A95">
        <v>4.9906670000000002</v>
      </c>
      <c r="B95">
        <v>0.22933300000000001</v>
      </c>
    </row>
    <row r="96" spans="1:2">
      <c r="A96">
        <v>0</v>
      </c>
      <c r="B96">
        <v>0</v>
      </c>
    </row>
    <row r="97" spans="1:2">
      <c r="A97">
        <v>0</v>
      </c>
      <c r="B97">
        <v>0</v>
      </c>
    </row>
    <row r="98" spans="1:2">
      <c r="A98">
        <v>5.12</v>
      </c>
      <c r="B98">
        <v>0.14000000000000001</v>
      </c>
    </row>
    <row r="99" spans="1:2">
      <c r="A99">
        <v>0</v>
      </c>
      <c r="B99">
        <v>0</v>
      </c>
    </row>
    <row r="100" spans="1:2">
      <c r="A100">
        <v>1</v>
      </c>
      <c r="B100">
        <v>0.02</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-0.373915519903685
-0.37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-0.37391551990368455</v>
      </c>
      <c r="I4" s="322">
        <f>IF(Measurement!AQ7&lt;&gt;"",NORMSDIST((H6-$B$2)/$B$3)*100,"")</f>
        <v>54.159168026066574</v>
      </c>
      <c r="J4" t="str">
        <f>Measurement!AR7</f>
        <v>보통</v>
      </c>
    </row>
    <row r="5" spans="1:11">
      <c r="B5" s="171">
        <v>-10</v>
      </c>
      <c r="C5" s="171">
        <f>NORMSDIST(($B5-$B$2)/$B$3)*100</f>
        <v>7.1097265868555281E-5</v>
      </c>
      <c r="G5" t="s">
        <v>1539</v>
      </c>
      <c r="H5" s="320">
        <f>IF(Measurement!AQ7&lt;-7,-7,Measurement!AQ7)</f>
        <v>-0.37391551990368455</v>
      </c>
      <c r="I5" s="321">
        <f>IF(Measurement!AQ7&lt;&gt;"",0,"")</f>
        <v>0</v>
      </c>
    </row>
    <row r="6" spans="1:11">
      <c r="B6" s="171">
        <f>B5+0.1</f>
        <v>-9.9</v>
      </c>
      <c r="C6" s="171">
        <f t="shared" ref="C6:C57" si="0">NORMSDIST(($B6-$B$2)/$B$3)*100</f>
        <v>9.1781224195367343E-5</v>
      </c>
      <c r="H6" s="320">
        <f>IF(Measurement!AQ7&lt;-7,-7,Measurement!AQ7)</f>
        <v>-0.37391551990368455</v>
      </c>
      <c r="I6" s="321">
        <f>IF(Measurement!AQ7&lt;&gt;"",NORMSDIST((H6-$B$2)/$B$3)*100,"")</f>
        <v>54.159168026066574</v>
      </c>
    </row>
    <row r="7" spans="1:11">
      <c r="B7" s="171">
        <f t="shared" ref="B7:B70" si="1">B6+0.1</f>
        <v>-9.8000000000000007</v>
      </c>
      <c r="C7" s="171">
        <f t="shared" si="0"/>
        <v>1.1818368021892541E-4</v>
      </c>
      <c r="D7" s="171"/>
      <c r="H7" s="320">
        <f>IF(Measurement!AQ7&lt;&gt;"",-7,"")</f>
        <v>-7</v>
      </c>
      <c r="I7" s="321">
        <f>IF(Measurement!AQ7&lt;&gt;"",NORMSDIST((H6-$B$2)/$B$3)*100,"")</f>
        <v>54.159168026066574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79.69</v>
      </c>
      <c r="V4" t="s">
        <v>1218</v>
      </c>
    </row>
    <row r="5" spans="1:29">
      <c r="B5" s="171">
        <v>0</v>
      </c>
      <c r="C5" s="171">
        <f>NORMSDIST(($B5-$B$2)/$B$3)*100</f>
        <v>1.2153167836658598</v>
      </c>
      <c r="H5">
        <f>info!W36</f>
        <v>79.689925000000002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79.689925000000002</v>
      </c>
      <c r="I6" s="171">
        <f>NORMSDIST((H6-$B$2)/$B$3)*100</f>
        <v>90.945133926159684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90.945133926159684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1.14086</v>
      </c>
    </row>
    <row r="3" spans="1:11" ht="18">
      <c r="A3" s="71" t="s">
        <v>1065</v>
      </c>
      <c r="B3" s="557">
        <v>0.71290976993199895</v>
      </c>
      <c r="C3" s="523"/>
      <c r="H3" s="561" t="s">
        <v>2223</v>
      </c>
      <c r="I3" s="562">
        <f>IF(I2=0,0,NORMSDIST((I2-$B$2)/$B$3)*100)</f>
        <v>14.34725321184718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1.14</v>
      </c>
    </row>
    <row r="6" spans="1:11">
      <c r="B6" s="23">
        <v>0</v>
      </c>
      <c r="C6" s="23">
        <f>NORMSDIST(($B6-$B$2)/$B$3)*100</f>
        <v>0.38478836223957635</v>
      </c>
      <c r="H6" s="205">
        <f>IF(info!V36&gt;I1,I1,info!V36)</f>
        <v>1.14086</v>
      </c>
      <c r="I6" s="560">
        <v>0</v>
      </c>
    </row>
    <row r="7" spans="1:11">
      <c r="B7" s="23">
        <f>B5+0.05</f>
        <v>0</v>
      </c>
      <c r="C7" s="23">
        <f t="shared" ref="C7:E58" si="0">NORMSDIST(($B7-$B$2)/$B$3)*100</f>
        <v>0.38478836223957635</v>
      </c>
      <c r="H7" s="205">
        <f>IF(info!V36&gt;I1,I1,info!V36)</f>
        <v>1.14086</v>
      </c>
      <c r="I7" s="560">
        <f>NORMSDIST((H7-$B$2)/$B$3)*100</f>
        <v>14.34725321184718</v>
      </c>
    </row>
    <row r="8" spans="1:11">
      <c r="B8" s="23">
        <f t="shared" ref="B8:B71" si="1">B7+0.05</f>
        <v>0.05</v>
      </c>
      <c r="C8" s="23">
        <f t="shared" si="0"/>
        <v>0.47295624138584591</v>
      </c>
      <c r="D8" s="171"/>
      <c r="H8" s="205">
        <v>0</v>
      </c>
      <c r="I8" s="560">
        <f>NORMSDIST((H7-$B$2)/$B$3)*100</f>
        <v>14.34725321184718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감정변이도1.14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1.14086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1.14086</v>
      </c>
      <c r="I6" s="171">
        <f>NORMSDIST((H6-$B$2)/$B$3)*100</f>
        <v>3.7335532838001888E-2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3.7335532838001888E-2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45779.706134259257</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MXPI</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7</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2025-05-02T07:57:04Z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