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vision^mj6r^1^1^\"/>
    </mc:Choice>
  </mc:AlternateContent>
  <xr:revisionPtr revIDLastSave="0" documentId="13_ncr:1_{AD382B6C-ADE2-464A-97C8-367E3C622D2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8" i="43"/>
  <c r="H7" i="43"/>
  <c r="H7" i="42"/>
  <c r="L8" i="41"/>
  <c r="H7" i="41"/>
  <c r="H8" i="40"/>
  <c r="H7" i="40"/>
  <c r="H8" i="39"/>
  <c r="H7" i="39"/>
  <c r="H7" i="38"/>
  <c r="L8" i="37"/>
  <c r="H7" i="37"/>
  <c r="H8" i="36"/>
  <c r="H7" i="36"/>
  <c r="H8" i="33"/>
  <c r="H7" i="33"/>
  <c r="V2" i="14"/>
  <c r="L8" i="49" s="1"/>
  <c r="U2" i="14"/>
  <c r="R8" i="49" s="1"/>
  <c r="T2" i="14"/>
  <c r="L7" i="49" s="1"/>
  <c r="R2" i="14"/>
  <c r="O2" i="14"/>
  <c r="L8" i="40" l="1"/>
  <c r="L8" i="44"/>
  <c r="L7" i="30"/>
  <c r="L7" i="42"/>
  <c r="Q8" i="44"/>
  <c r="Q2" i="14"/>
  <c r="H8" i="49"/>
  <c r="H8" i="30"/>
  <c r="Q8" i="33"/>
  <c r="L7" i="37"/>
  <c r="H8" i="38"/>
  <c r="Q8" i="39"/>
  <c r="L7" i="41"/>
  <c r="H8" i="42"/>
  <c r="Q8" i="43"/>
  <c r="L7" i="45"/>
  <c r="H8" i="46"/>
  <c r="L7" i="39"/>
  <c r="Q8" i="41"/>
  <c r="Q8" i="36"/>
  <c r="Q8" i="40"/>
  <c r="L7" i="46"/>
  <c r="L8" i="33"/>
  <c r="L8" i="39"/>
  <c r="L8" i="43"/>
  <c r="P2" i="14"/>
  <c r="L8" i="30"/>
  <c r="L8" i="38"/>
  <c r="L8" i="42"/>
  <c r="L8" i="46"/>
  <c r="L7" i="33"/>
  <c r="Q8" i="37"/>
  <c r="L7" i="43"/>
  <c r="Q8" i="45"/>
  <c r="L8" i="36"/>
  <c r="L7" i="38"/>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8" i="1"/>
  <c r="I33" i="48" s="1"/>
  <c r="L16" i="1"/>
  <c r="I41" i="48" s="1"/>
  <c r="L15" i="1"/>
  <c r="I40" i="48" s="1"/>
  <c r="L14" i="1"/>
  <c r="I39"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BU7" i="1"/>
  <c r="CE7" i="1" s="1"/>
  <c r="B45" i="25"/>
  <c r="G45" i="25" s="1"/>
  <c r="K20" i="18"/>
  <c r="BX7" i="1"/>
  <c r="BV7" i="1"/>
  <c r="CB7" i="1"/>
  <c r="BY7" i="1"/>
  <c r="BW7" i="1"/>
  <c r="B82" i="23"/>
  <c r="E81" i="23"/>
  <c r="B26" i="21"/>
  <c r="C25" i="21"/>
  <c r="C27" i="23"/>
  <c r="K6" i="11"/>
  <c r="K5" i="11"/>
  <c r="K3" i="11"/>
  <c r="F14" i="13"/>
  <c r="L13" i="13"/>
  <c r="N7" i="11"/>
  <c r="N5" i="11"/>
  <c r="AQ7" i="1"/>
  <c r="H20" i="48" s="1"/>
  <c r="J19" i="19"/>
  <c r="D19" i="19"/>
  <c r="L19" i="19"/>
  <c r="N19" i="19"/>
  <c r="Q19" i="19"/>
  <c r="F19" i="19"/>
  <c r="F8" i="11"/>
  <c r="A9" i="11"/>
  <c r="B8" i="11"/>
  <c r="E8" i="11" s="1"/>
  <c r="BZ7" i="1" l="1"/>
  <c r="CA7" i="1"/>
  <c r="DK17" i="1"/>
  <c r="CJ4" i="1" s="1"/>
  <c r="CK5" i="1" s="1"/>
  <c r="CD7" i="1"/>
  <c r="CC7" i="1"/>
  <c r="CC6" i="1" s="1"/>
  <c r="AS7" i="1"/>
  <c r="A71" i="32"/>
  <c r="A67" i="32"/>
  <c r="B53" i="24"/>
  <c r="D53" i="24" s="1"/>
  <c r="H4" i="21"/>
  <c r="H6" i="21"/>
  <c r="I6" i="21" s="1"/>
  <c r="H5" i="21"/>
  <c r="A9" i="17"/>
  <c r="C8" i="17"/>
  <c r="B8" i="17" s="1"/>
  <c r="V21" i="11"/>
  <c r="V52" i="11"/>
  <c r="X52" i="11" s="1"/>
  <c r="B46" i="25"/>
  <c r="G46" i="25" s="1"/>
  <c r="BW6" i="1"/>
  <c r="BY6" i="1"/>
  <c r="CA6" i="1"/>
  <c r="CD6" i="1"/>
  <c r="BV6" i="1"/>
  <c r="CE6" i="1"/>
  <c r="H7" i="21"/>
  <c r="I5" i="21"/>
  <c r="B27" i="21"/>
  <c r="C26" i="21"/>
  <c r="B83" i="23"/>
  <c r="E82" i="23"/>
  <c r="C28" i="23"/>
  <c r="H20" i="18"/>
  <c r="F15" i="13"/>
  <c r="L14" i="13"/>
  <c r="M17" i="1"/>
  <c r="A50" i="6"/>
  <c r="A54" i="6"/>
  <c r="K24" i="1"/>
  <c r="I24" i="1"/>
  <c r="F9" i="11"/>
  <c r="A10" i="11"/>
  <c r="B9" i="11"/>
  <c r="E9" i="11" s="1"/>
  <c r="CB6" i="1" l="1"/>
  <c r="BZ6" i="1"/>
  <c r="BX6" i="1"/>
  <c r="CG4" i="1" s="1"/>
  <c r="CG8" i="1" s="1"/>
  <c r="M12" i="49" s="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4"/>
  <c r="O7" i="40"/>
  <c r="O7" i="45"/>
  <c r="O7" i="41"/>
  <c r="O7" i="37"/>
  <c r="O7" i="46"/>
  <c r="O7" i="42"/>
  <c r="O7" i="38"/>
  <c r="O7" i="30"/>
  <c r="O7" i="43"/>
  <c r="O7" i="39"/>
  <c r="O7" i="33"/>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J4" i="21"/>
  <c r="E20" i="18"/>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Y16" i="1" s="1"/>
  <c r="F209" i="11"/>
  <c r="B209" i="11"/>
  <c r="E209" i="11" s="1"/>
  <c r="A210" i="11"/>
  <c r="L41" i="48" l="1"/>
  <c r="L41" i="18"/>
  <c r="C212" i="17"/>
  <c r="B212" i="17" s="1"/>
  <c r="A213" i="17"/>
  <c r="F210" i="11"/>
  <c r="B210" i="11"/>
  <c r="E210" i="11" s="1"/>
  <c r="A211" i="11"/>
  <c r="Y7" i="1" l="1"/>
  <c r="Y10" i="1"/>
  <c r="Y14" i="1"/>
  <c r="Y12" i="1"/>
  <c r="C213" i="17"/>
  <c r="B213" i="17" s="1"/>
  <c r="A214" i="17"/>
  <c r="F211" i="11"/>
  <c r="A212" i="11"/>
  <c r="B211" i="11"/>
  <c r="E211" i="11" s="1"/>
  <c r="L32" i="48" l="1"/>
  <c r="L32" i="18"/>
  <c r="Y11" i="1"/>
  <c r="Y8" i="1"/>
  <c r="Y9" i="1"/>
  <c r="L39" i="48"/>
  <c r="L39" i="18"/>
  <c r="L37" i="48"/>
  <c r="L37" i="18"/>
  <c r="L35" i="48"/>
  <c r="L35" i="18"/>
  <c r="C214" i="17"/>
  <c r="B214" i="17" s="1"/>
  <c r="A215" i="17"/>
  <c r="F212" i="11"/>
  <c r="A213" i="11"/>
  <c r="B212" i="11"/>
  <c r="E212" i="11" s="1"/>
  <c r="L36" i="48" l="1"/>
  <c r="L36" i="18"/>
  <c r="L33" i="48"/>
  <c r="L33" i="18"/>
  <c r="L34" i="48"/>
  <c r="L34"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7" i="1"/>
  <c r="CG16" i="1"/>
  <c r="CG15" i="1" s="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G10" i="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G11" i="1" l="1"/>
  <c r="CJ11" i="1"/>
  <c r="G13" i="18" s="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G12" i="1" l="1"/>
  <c r="CJ12" i="1"/>
  <c r="D15" i="18" s="1"/>
  <c r="CJ19" i="1"/>
  <c r="D15" i="48" s="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AV23" i="11" s="1"/>
  <c r="F611" i="11"/>
  <c r="AR26" i="11" l="1"/>
  <c r="X21" i="11" s="1"/>
  <c r="AS26" i="11"/>
  <c r="C615" i="17"/>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<sst xmlns="http://schemas.openxmlformats.org/spreadsheetml/2006/main" count="7312" uniqueCount="2586">
  <si>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</si>
  <si>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</si>
  <si>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</si>
  <si>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</si>
  <si>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</si>
  <si>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</si>
  <si>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</si>
  <si>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</si>
  <si>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</si>
  <si>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</si>
  <si>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</si>
  <si>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</si>
  <si>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</si>
  <si>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</si>
  <si>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</si>
  <si>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</si>
  <si>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</si>
  <si>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</si>
  <si>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</si>
  <si>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</si>
  <si>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</si>
  <si>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</si>
  <si>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</si>
  <si>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</si>
  <si>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</si>
  <si>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</si>
  <si>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</si>
  <si>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</si>
  <si>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</si>
  <si>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</si>
  <si>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</si>
  <si>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</si>
  <si>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</si>
  <si>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</si>
  <si>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</si>
  <si>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</si>
  <si>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</si>
  <si>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</si>
  <si>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</si>
  <si>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</si>
  <si>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</si>
  <si>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</si>
  <si>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</si>
  <si>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</si>
  <si>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</si>
  <si>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</si>
  <si>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</si>
  <si>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</si>
  <si>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</si>
  <si>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</si>
  <si>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</si>
  <si>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</si>
  <si>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</si>
  <si>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</si>
  <si>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</si>
  <si>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</si>
  <si>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</si>
  <si>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</si>
  <si>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</si>
  <si>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</si>
  <si>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</si>
  <si>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</si>
  <si>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</si>
  <si>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</si>
  <si>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</si>
  <si>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</si>
  <si>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</si>
  <si>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</si>
  <si>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</si>
  <si>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</si>
  <si>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</si>
  <si>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</si>
  <si>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</si>
  <si>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</si>
  <si>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</si>
  <si>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</si>
  <si>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</si>
  <si>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</si>
  <si>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</si>
  <si>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</si>
  <si>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</si>
  <si>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</si>
  <si>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</si>
  <si>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</si>
  <si>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</si>
  <si>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</si>
  <si>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</si>
  <si>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</si>
  <si>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</si>
  <si>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</si>
  <si>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</si>
  <si>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</si>
  <si>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</si>
  <si>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</si>
  <si>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</si>
  <si>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</si>
  <si>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</si>
  <si>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</si>
  <si>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</si>
  <si>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</si>
  <si>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</si>
  <si>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</si>
  <si>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</si>
  <si>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</si>
  <si>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</si>
  <si>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</si>
  <si>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</si>
  <si>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</si>
  <si>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</si>
  <si>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</si>
  <si>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</si>
  <si>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</si>
  <si>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</si>
  <si>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</si>
  <si>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</si>
  <si>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</si>
  <si>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</si>
  <si>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</si>
  <si>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</si>
  <si>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</si>
  <si>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</si>
  <si>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</si>
  <si>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</si>
  <si>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</si>
  <si>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</si>
  <si>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</si>
  <si>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</si>
  <si>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</si>
  <si>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</si>
  <si>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</si>
  <si>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</si>
  <si>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</si>
  <si>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</si>
  <si>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</si>
  <si>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</si>
  <si>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</si>
  <si>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</si>
  <si>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</si>
  <si>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</si>
  <si>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</si>
  <si>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</si>
  <si>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</si>
  <si>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</si>
  <si>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</si>
  <si>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</si>
  <si>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</si>
  <si>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</si>
  <si>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</si>
  <si>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</si>
  <si>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</si>
  <si>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</si>
  <si>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</si>
  <si>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</si>
  <si>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</si>
  <si>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</si>
  <si>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</si>
  <si>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</si>
  <si>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</si>
  <si>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</si>
  <si>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</si>
  <si>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</si>
  <si>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</si>
  <si>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</si>
  <si>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</si>
  <si>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</si>
  <si>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</si>
  <si>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</si>
  <si>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</si>
  <si>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</si>
  <si>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</si>
  <si>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</si>
  <si>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</si>
  <si>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</si>
  <si>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</si>
  <si>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</si>
  <si>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</si>
  <si>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</si>
  <si>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</si>
  <si>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</si>
  <si>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</si>
  <si>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</si>
  <si>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</si>
  <si>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</si>
  <si>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</si>
  <si>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</si>
  <si>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</si>
  <si>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</si>
  <si>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</si>
  <si>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</si>
  <si>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</si>
  <si>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</si>
  <si>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</si>
  <si>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</si>
  <si>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</si>
  <si>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</si>
  <si>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</si>
  <si>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</si>
  <si>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</si>
  <si>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</si>
  <si>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</si>
  <si>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</si>
  <si>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</si>
  <si>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</si>
  <si>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</si>
  <si>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</si>
  <si>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</si>
  <si>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</si>
  <si>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</si>
  <si>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</si>
  <si>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</si>
  <si>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</si>
  <si>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</si>
  <si>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</si>
  <si>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</si>
  <si>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</si>
  <si>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</si>
  <si>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</si>
  <si>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</si>
  <si>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</si>
  <si>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</si>
  <si>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</si>
  <si>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</si>
  <si>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</si>
  <si>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</si>
  <si>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</si>
  <si>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</si>
  <si>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</si>
  <si>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</si>
  <si>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</si>
  <si>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</si>
  <si>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</si>
  <si>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</si>
  <si>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</si>
  <si>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</si>
  <si>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</si>
  <si>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</si>
  <si>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</si>
  <si>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</si>
  <si>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</si>
  <si>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</si>
  <si>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</si>
  <si>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</si>
  <si>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</si>
  <si>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</si>
  <si>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</si>
  <si>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</si>
  <si>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</si>
  <si>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</si>
  <si>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</si>
  <si>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</si>
  <si>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</si>
  <si>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</si>
  <si>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</si>
  <si>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</si>
  <si>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</si>
  <si>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</si>
  <si>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</si>
  <si>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</si>
  <si>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</si>
  <si>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</si>
  <si>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</si>
  <si>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</si>
  <si>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</si>
  <si>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</si>
  <si>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</si>
  <si>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</si>
  <si>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</si>
  <si>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</si>
  <si>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</si>
  <si>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</si>
  <si>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</si>
  <si>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</si>
  <si>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</si>
  <si>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</si>
  <si>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</si>
  <si>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</si>
  <si>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</si>
  <si>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</si>
  <si>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</si>
  <si>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</si>
  <si>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</si>
  <si>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</si>
  <si>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</si>
  <si>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</si>
  <si>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</si>
  <si>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</si>
  <si>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</si>
  <si>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</si>
  <si>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</si>
  <si>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</si>
  <si>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</si>
  <si>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</si>
  <si>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</si>
  <si>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</si>
  <si>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</si>
  <si>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</si>
  <si>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</si>
  <si>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</si>
  <si>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</si>
  <si>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</si>
  <si>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</si>
  <si>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</si>
  <si>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</si>
  <si>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</si>
  <si>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</si>
  <si>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</si>
  <si>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</si>
  <si>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</si>
  <si>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</si>
  <si>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</si>
  <si>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</si>
  <si>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</si>
  <si>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</si>
  <si>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</si>
  <si>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</si>
  <si>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</si>
  <si>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</si>
  <si>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</si>
  <si>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</si>
  <si>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</si>
  <si>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</si>
  <si>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</si>
  <si>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</si>
  <si>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</si>
  <si>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</si>
  <si>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</si>
  <si>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</si>
  <si>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</si>
  <si>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</si>
  <si>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</si>
  <si>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</si>
  <si>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</si>
  <si>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</si>
  <si>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</si>
  <si>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</si>
  <si>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</si>
  <si>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</si>
  <si>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</si>
  <si>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</si>
  <si>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</si>
  <si>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</si>
  <si>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</si>
  <si>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</si>
  <si>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</si>
  <si>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</si>
  <si>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</si>
  <si>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</si>
  <si>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</si>
  <si>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</si>
  <si>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</si>
  <si>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</si>
  <si>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</si>
  <si>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</si>
  <si>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</si>
  <si>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</si>
  <si>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</si>
  <si>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</si>
  <si>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</si>
  <si>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</si>
  <si>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</si>
  <si>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</si>
  <si>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</si>
  <si>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</si>
  <si>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</si>
  <si>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</si>
  <si>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</si>
  <si>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</si>
  <si>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</si>
  <si>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</si>
  <si>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</si>
  <si>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</si>
  <si>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</si>
  <si>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</si>
  <si>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</si>
  <si>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</si>
  <si>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</si>
  <si>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</si>
  <si>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</si>
  <si>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</si>
  <si>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</si>
  <si>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</si>
  <si>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</si>
  <si>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</si>
  <si>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</si>
  <si>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</si>
  <si>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</si>
  <si>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</si>
  <si>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</si>
  <si>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</si>
  <si>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</si>
  <si>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</si>
  <si>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</si>
  <si>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</si>
  <si>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</si>
  <si>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</si>
  <si>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</si>
  <si>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</si>
  <si>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</si>
  <si>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</si>
  <si>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</si>
  <si>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</si>
  <si>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</si>
  <si>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</si>
  <si>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</si>
  <si>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</si>
  <si>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</si>
  <si>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</si>
  <si>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</si>
  <si>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</si>
  <si>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</si>
  <si>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</si>
  <si>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</si>
  <si>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</si>
  <si>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</si>
  <si>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</si>
  <si>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</si>
  <si>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</si>
  <si>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</si>
  <si>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</si>
  <si>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</si>
  <si>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</si>
  <si>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</si>
  <si>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</si>
  <si>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</si>
  <si>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</si>
  <si>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</si>
  <si>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</si>
  <si>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</si>
  <si>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</si>
  <si>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</si>
  <si>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</si>
  <si>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</si>
  <si>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</si>
  <si>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</si>
  <si>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</si>
  <si>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</si>
  <si>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</si>
  <si>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</si>
  <si>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</si>
  <si>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</si>
  <si>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</si>
  <si>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</si>
  <si>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</si>
  <si>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</si>
  <si>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</si>
  <si>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</si>
  <si>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</si>
  <si>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</si>
  <si>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</si>
  <si>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</si>
  <si>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</si>
  <si>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</si>
  <si>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</si>
  <si>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</si>
  <si>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</si>
  <si>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</si>
  <si>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</si>
  <si>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</si>
  <si>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</si>
  <si>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</si>
  <si>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</si>
  <si>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</si>
  <si>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</si>
  <si>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</si>
  <si>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</si>
  <si>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</si>
  <si>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</si>
  <si>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</si>
  <si>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</si>
  <si>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</si>
  <si>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</si>
  <si>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</si>
  <si>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</si>
  <si>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</si>
  <si>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</si>
  <si>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</si>
  <si>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</si>
  <si>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</si>
  <si>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</si>
  <si>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</si>
  <si>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</si>
  <si>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</si>
  <si>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</si>
  <si>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</si>
  <si>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</si>
  <si>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</si>
  <si>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</si>
  <si>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</si>
  <si>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</si>
  <si>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</si>
  <si>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</si>
  <si>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</si>
  <si>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</si>
  <si>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</si>
  <si>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</si>
  <si>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</si>
  <si>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</si>
  <si>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</si>
  <si>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</si>
  <si>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</si>
  <si>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</si>
  <si>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</si>
  <si>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</si>
  <si>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</si>
  <si>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</si>
  <si>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</si>
  <si>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</si>
  <si>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</si>
  <si>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</si>
  <si>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</si>
  <si>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</si>
  <si>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</si>
  <si>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</si>
  <si>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</si>
  <si>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</si>
  <si>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</si>
  <si>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</si>
  <si>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</si>
  <si>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</si>
  <si>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</si>
  <si>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</si>
  <si>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</si>
  <si>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</si>
  <si>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</si>
  <si>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</si>
  <si>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</si>
  <si>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</si>
  <si>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</si>
  <si>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</si>
  <si>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</si>
  <si>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</si>
  <si>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</si>
  <si>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</si>
  <si>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</si>
  <si>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</si>
  <si>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</si>
  <si>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</si>
  <si>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</si>
  <si>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</si>
  <si>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</si>
  <si>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</si>
  <si>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</si>
  <si>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</si>
  <si>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</si>
  <si>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</si>
  <si>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</si>
  <si>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</si>
  <si>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</si>
  <si>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</si>
  <si>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</si>
  <si>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</si>
  <si>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</si>
  <si>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</si>
  <si>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</si>
  <si>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</si>
  <si>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</si>
  <si>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</si>
  <si>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</si>
  <si>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</si>
  <si>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</si>
  <si>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</si>
  <si>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</si>
  <si>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</si>
  <si>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</si>
  <si>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</si>
  <si>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</si>
  <si>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</si>
  <si>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</si>
  <si>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</si>
  <si>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</si>
  <si>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</si>
  <si>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</si>
  <si>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</si>
  <si>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</si>
  <si>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</si>
  <si>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</si>
  <si>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</si>
  <si>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</si>
  <si>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</si>
  <si>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</si>
  <si>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</si>
  <si>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</si>
  <si>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</si>
  <si>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</si>
  <si>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</si>
  <si>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</si>
  <si>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</si>
  <si>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</si>
  <si>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</si>
  <si>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</si>
  <si>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</si>
  <si>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</si>
  <si>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</si>
  <si>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</si>
  <si>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</si>
  <si>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</si>
  <si>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</si>
  <si>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</si>
  <si>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</si>
  <si>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</si>
  <si>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</si>
  <si>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</si>
  <si>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</si>
  <si>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</si>
  <si>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</si>
  <si>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</si>
  <si>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</si>
  <si>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</si>
  <si>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</si>
  <si>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</si>
  <si>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</si>
  <si>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</si>
  <si>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</si>
  <si>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</si>
  <si>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</si>
  <si>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</si>
  <si>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</si>
  <si>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</si>
  <si>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</si>
  <si>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</si>
  <si>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</si>
  <si>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</si>
  <si>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</si>
  <si>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</si>
  <si>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</si>
  <si>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</si>
  <si>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</si>
  <si>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</si>
  <si>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</si>
  <si>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</si>
  <si>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</si>
  <si>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</si>
  <si>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</si>
  <si>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</si>
  <si>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</si>
  <si>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</si>
  <si>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</si>
  <si>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</si>
  <si>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</si>
  <si>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</si>
  <si>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</si>
  <si>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</si>
  <si>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</si>
  <si>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</si>
  <si>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</si>
  <si>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</si>
  <si>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</si>
  <si>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</si>
  <si>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</si>
  <si>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</si>
  <si>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</si>
  <si>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</si>
  <si>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</si>
  <si>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</si>
  <si>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</si>
  <si>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</si>
  <si>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</si>
  <si>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</si>
  <si>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</si>
  <si>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</si>
  <si>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</si>
  <si>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</si>
  <si>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</si>
  <si>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</si>
  <si>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</si>
  <si>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</si>
  <si>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</si>
  <si>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</si>
  <si>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</si>
  <si>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</si>
  <si>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</si>
  <si>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</si>
  <si>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</si>
  <si>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</si>
  <si>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</si>
  <si>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</si>
  <si>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</si>
  <si>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</si>
  <si>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</si>
  <si>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</si>
  <si>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</si>
  <si>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</si>
  <si>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</si>
  <si>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</si>
  <si>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</si>
  <si>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</si>
  <si>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</si>
  <si>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</si>
  <si>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</si>
  <si>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</si>
  <si>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</si>
  <si>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</si>
  <si>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</si>
  <si>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</si>
  <si>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</si>
  <si>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</si>
  <si>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</si>
  <si>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</si>
  <si>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</si>
  <si>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</si>
  <si>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</si>
  <si>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</si>
  <si>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</si>
  <si>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</si>
  <si>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</si>
  <si>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</si>
  <si>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</si>
  <si>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</si>
  <si>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</si>
  <si>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</si>
  <si>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</si>
  <si>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</si>
  <si>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</si>
  <si>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</si>
  <si>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</si>
  <si>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</si>
  <si>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</si>
  <si>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</si>
  <si>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</si>
  <si>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</si>
  <si>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</si>
  <si>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</si>
  <si>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</si>
  <si>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</si>
  <si>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</si>
  <si>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</si>
  <si>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</si>
  <si>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</si>
  <si>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</si>
  <si>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</si>
  <si>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</si>
  <si>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</si>
  <si>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</si>
  <si>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</si>
  <si>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</si>
  <si>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</si>
  <si>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</si>
  <si>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</si>
  <si>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</si>
  <si>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</si>
  <si>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</si>
  <si>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</si>
  <si>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</si>
  <si>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</si>
  <si>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</si>
  <si>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</si>
  <si>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</si>
  <si>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</si>
  <si>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</si>
  <si>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</si>
  <si>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</si>
  <si>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</si>
  <si>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</si>
  <si>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</si>
  <si>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</si>
  <si>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</si>
  <si>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</si>
  <si>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</si>
  <si>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</si>
  <si>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</si>
  <si>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</si>
  <si>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</si>
  <si>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</si>
  <si>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</si>
  <si>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</si>
  <si>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</si>
  <si>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</si>
  <si>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</si>
  <si>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</si>
  <si>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</si>
  <si>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</si>
  <si>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</si>
  <si>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</si>
  <si>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</si>
  <si>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</si>
  <si>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</si>
  <si>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</si>
  <si>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</si>
  <si>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</si>
  <si>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</si>
  <si>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</si>
  <si>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</si>
  <si>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</si>
  <si>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</si>
  <si>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</si>
  <si>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</si>
  <si>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</si>
  <si>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</si>
  <si>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</si>
  <si>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</si>
  <si>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</si>
  <si>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</si>
  <si>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</si>
  <si>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</si>
  <si>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</si>
  <si>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</si>
  <si>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</si>
  <si>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</si>
  <si>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</si>
  <si>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</si>
  <si>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</si>
  <si>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</si>
  <si>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</si>
  <si>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</si>
  <si>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</si>
  <si>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</si>
  <si>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</si>
  <si>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</si>
  <si>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</si>
  <si>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</si>
  <si>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</si>
  <si>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</si>
  <si>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</si>
  <si>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</si>
  <si>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</si>
  <si>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</si>
  <si>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</si>
  <si>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</si>
  <si>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</si>
  <si>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</si>
  <si>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</si>
  <si>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</si>
  <si>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</si>
  <si>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</si>
  <si>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</si>
  <si>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</si>
  <si>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</si>
  <si>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</si>
  <si>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</si>
  <si>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</si>
  <si>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</si>
  <si>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</si>
  <si>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</si>
  <si>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</si>
  <si>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</si>
  <si>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</si>
  <si>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</si>
  <si>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</si>
  <si>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</si>
  <si>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</si>
  <si>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</si>
  <si>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</si>
  <si>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</si>
  <si>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</si>
  <si>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</si>
  <si>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</si>
  <si>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</si>
  <si>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</si>
  <si>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</si>
  <si>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</si>
  <si>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</si>
  <si>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</si>
  <si>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</si>
  <si>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</si>
  <si>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</si>
  <si>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</si>
  <si>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</si>
  <si>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</si>
  <si>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</si>
  <si>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</si>
  <si>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</si>
  <si>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</si>
  <si>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</si>
  <si>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</si>
  <si>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</si>
  <si>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</si>
  <si>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</si>
  <si>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</si>
  <si>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</si>
  <si>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</si>
  <si>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</si>
  <si>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</si>
  <si>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</si>
  <si>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</si>
  <si>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</si>
  <si>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</si>
  <si>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</si>
  <si>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</si>
  <si>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</si>
  <si>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</si>
  <si>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</si>
  <si>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</si>
  <si>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</si>
  <si>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</si>
  <si>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</si>
  <si>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</si>
  <si>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</si>
  <si>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</si>
  <si>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</si>
  <si>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</si>
  <si>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</si>
  <si>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</si>
  <si>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</si>
  <si>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</si>
  <si>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</si>
  <si>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</si>
  <si>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</si>
  <si>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</si>
  <si>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</si>
  <si>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</si>
  <si>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</si>
  <si>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</si>
  <si>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</si>
  <si>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</si>
  <si>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</si>
  <si>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</si>
  <si>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</si>
  <si>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</si>
  <si>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</si>
  <si>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</si>
  <si>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</si>
  <si>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</si>
  <si>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</si>
  <si>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</si>
  <si>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</si>
  <si>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</si>
  <si>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</si>
  <si>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</si>
  <si>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</si>
  <si>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</si>
  <si>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</si>
  <si>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</si>
  <si>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</si>
  <si>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</si>
  <si>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</si>
  <si>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</si>
  <si>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</si>
  <si>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</si>
  <si>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</si>
  <si>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</si>
  <si>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</si>
  <si>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</si>
  <si>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</si>
  <si>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</si>
  <si>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</si>
  <si>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</si>
  <si>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</si>
  <si>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</si>
  <si>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</si>
  <si>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</si>
  <si>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</si>
  <si>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</si>
  <si>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</si>
  <si>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</si>
  <si>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</si>
  <si>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</si>
  <si>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</si>
  <si>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</si>
  <si>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</si>
  <si>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</si>
  <si>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</si>
  <si>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</si>
  <si>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</si>
  <si>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</si>
  <si>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</si>
  <si>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</si>
  <si>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</si>
  <si>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</si>
  <si>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</si>
  <si>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</si>
  <si>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</si>
  <si>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</si>
  <si>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</si>
  <si>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</si>
  <si>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</si>
  <si>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</si>
  <si>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</si>
  <si>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</si>
  <si>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</si>
  <si>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</si>
  <si>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</si>
  <si>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</si>
  <si>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</si>
  <si>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</si>
  <si>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</si>
  <si>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</si>
  <si>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</si>
  <si>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</si>
  <si>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</si>
  <si>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</si>
  <si>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</si>
  <si>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</si>
  <si>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</si>
  <si>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</si>
  <si>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</si>
  <si>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</si>
  <si>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</si>
  <si>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</si>
  <si>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</si>
  <si>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</si>
  <si>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</si>
  <si>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</si>
  <si>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</si>
  <si>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</si>
  <si>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</si>
  <si>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</si>
  <si>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</si>
  <si>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</si>
  <si>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</si>
  <si>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</si>
  <si>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</si>
  <si>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</si>
  <si>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</si>
  <si>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</si>
  <si>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</si>
  <si>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</si>
  <si>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</si>
  <si>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</si>
  <si>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</si>
  <si>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</si>
  <si>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</si>
  <si>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</si>
  <si>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</si>
  <si>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</si>
  <si>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</si>
  <si>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</si>
  <si>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</si>
  <si>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</si>
  <si>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</si>
  <si>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</si>
  <si>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</si>
  <si>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</si>
  <si>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</si>
  <si>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</si>
  <si>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</si>
  <si>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</si>
  <si>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</si>
  <si>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</si>
  <si>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</si>
  <si>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</si>
  <si>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</si>
  <si>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</si>
  <si>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</si>
  <si>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</si>
  <si>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</si>
  <si>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</si>
  <si>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</si>
  <si>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</si>
  <si>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</si>
  <si>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</si>
  <si>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</si>
  <si>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</si>
  <si>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</si>
  <si>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</si>
  <si>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</si>
  <si>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</si>
  <si>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</si>
  <si>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</si>
  <si>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</si>
  <si>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</si>
  <si>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</si>
  <si>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</si>
  <si>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</si>
  <si>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</si>
  <si>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</si>
  <si>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</si>
  <si>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</si>
  <si>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</si>
  <si>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</si>
  <si>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</si>
  <si>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</si>
  <si>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</si>
  <si>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</si>
  <si>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</si>
  <si>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</si>
  <si>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</si>
  <si>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</si>
  <si>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</si>
  <si>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</si>
  <si>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</si>
  <si>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</si>
  <si>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</si>
  <si>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</si>
  <si>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</si>
  <si>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</si>
  <si>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</si>
  <si>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</si>
  <si>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</si>
  <si>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</si>
  <si>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</si>
  <si>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</si>
  <si>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</si>
  <si>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</si>
  <si>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</si>
  <si>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</si>
  <si>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</si>
  <si>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</si>
  <si>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</si>
  <si>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</si>
  <si>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</si>
  <si>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</si>
  <si>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</si>
  <si>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</si>
  <si>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</si>
  <si>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</si>
  <si>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</si>
  <si>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</si>
  <si>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</si>
  <si>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</si>
  <si>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</si>
  <si>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</si>
  <si>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</si>
  <si>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</si>
  <si>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</si>
  <si>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</si>
  <si>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</si>
  <si>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</si>
  <si>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</si>
  <si>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</si>
  <si>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</si>
  <si>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</si>
  <si>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</si>
  <si>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</si>
  <si>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</si>
  <si>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</si>
  <si>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</si>
  <si>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</si>
  <si>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</si>
  <si>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</si>
  <si>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</si>
  <si>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</si>
  <si>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</si>
  <si>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</si>
  <si>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</si>
  <si>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</si>
  <si>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</si>
  <si>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</si>
  <si>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</si>
  <si>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</si>
  <si>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</si>
  <si>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</si>
  <si>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</si>
  <si>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</si>
  <si>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</si>
  <si>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</si>
  <si>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</si>
  <si>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</si>
  <si>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</si>
  <si>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</si>
  <si>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</si>
  <si>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</si>
  <si>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</si>
  <si>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</si>
  <si>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</si>
  <si>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</si>
  <si>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</si>
  <si>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</si>
  <si>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</si>
  <si>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</si>
  <si>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</si>
  <si>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</si>
  <si>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</si>
  <si>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</si>
  <si>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</si>
  <si>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</si>
  <si>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</si>
  <si>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</si>
  <si>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</si>
  <si>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</si>
  <si>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</si>
  <si>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</si>
  <si>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</si>
  <si>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</si>
  <si>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</si>
  <si>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</si>
  <si>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</si>
  <si>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</si>
  <si>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</si>
  <si>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</si>
  <si>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</si>
  <si>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</si>
  <si>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</si>
  <si>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</si>
  <si>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</si>
  <si>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</si>
  <si>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</si>
  <si>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</si>
  <si>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</si>
  <si>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</si>
  <si>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</si>
  <si>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</si>
  <si>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</si>
  <si>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</si>
  <si>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</si>
  <si>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</si>
  <si>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</si>
  <si>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</si>
  <si>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</si>
  <si>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</si>
  <si>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</si>
  <si>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</si>
  <si>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</si>
  <si>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</si>
  <si>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</si>
  <si>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</si>
  <si>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</si>
  <si>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</si>
  <si>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</si>
  <si>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</si>
  <si>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</si>
  <si>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</si>
  <si>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</si>
  <si>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</si>
  <si>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</si>
  <si>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</si>
  <si>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</si>
  <si>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</si>
  <si>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</si>
  <si>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</si>
  <si>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</si>
  <si>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</si>
  <si>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</si>
  <si>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</si>
  <si>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</si>
  <si>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</si>
  <si>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</si>
  <si>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</si>
  <si>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</si>
  <si>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</si>
  <si>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</si>
  <si>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</si>
  <si>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</si>
  <si>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</si>
  <si>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</si>
  <si>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</si>
  <si>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</si>
  <si>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</si>
  <si>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</si>
  <si>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</si>
  <si>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</si>
  <si>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</si>
  <si>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</si>
  <si>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</si>
  <si>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</si>
  <si>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</si>
  <si>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</si>
  <si>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</si>
  <si>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</si>
  <si>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</si>
  <si>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</si>
  <si>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</si>
  <si>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</si>
  <si>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</si>
  <si>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</si>
  <si>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</si>
  <si>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</si>
  <si>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</si>
  <si>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</si>
  <si>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</si>
  <si>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</si>
  <si>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</si>
  <si>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</si>
  <si>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</si>
  <si>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</si>
  <si>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</si>
  <si>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</si>
  <si>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</si>
  <si>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</si>
  <si>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</si>
  <si>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</si>
  <si>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</si>
  <si>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</si>
  <si>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</si>
  <si>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</si>
  <si>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</si>
  <si>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</si>
  <si>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</si>
  <si>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</si>
  <si>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</si>
  <si>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</si>
  <si>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</si>
  <si>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</si>
  <si>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</si>
  <si>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</si>
  <si>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</si>
  <si>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</si>
  <si>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</si>
  <si>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</si>
  <si>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</si>
  <si>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</si>
  <si>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</si>
  <si>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</si>
  <si>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</si>
  <si>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</si>
  <si>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</si>
  <si>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</si>
  <si>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</si>
  <si>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</si>
  <si>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</si>
  <si>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</si>
  <si>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</si>
  <si>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</si>
  <si>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</si>
  <si>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</si>
  <si>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</si>
  <si>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</si>
  <si>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</si>
  <si>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</si>
  <si>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</si>
  <si>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</si>
  <si>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</si>
  <si>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</si>
  <si>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</si>
  <si>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</si>
  <si>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</si>
  <si>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</si>
  <si>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</si>
  <si>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</si>
  <si>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</si>
  <si>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</si>
  <si>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</si>
  <si>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</si>
  <si>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</si>
  <si>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</si>
  <si>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</si>
  <si>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</si>
  <si>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</si>
  <si>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</si>
  <si>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</si>
  <si>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</si>
  <si>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</si>
  <si>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</si>
  <si>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</si>
  <si>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</si>
  <si>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</si>
  <si>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</si>
  <si>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</si>
  <si>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</si>
  <si>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</si>
  <si>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</si>
  <si>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</si>
  <si>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</si>
  <si>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</si>
  <si>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</si>
  <si>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</si>
  <si>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</si>
  <si>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</si>
  <si>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</si>
  <si>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</si>
  <si>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</si>
  <si>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</si>
  <si>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</si>
  <si>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</si>
  <si>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</si>
  <si>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</si>
  <si>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</si>
  <si>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</si>
  <si>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</si>
  <si>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</si>
  <si>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</si>
  <si>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</si>
  <si>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</si>
  <si>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</si>
  <si>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</si>
  <si>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</si>
  <si>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</si>
  <si>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</si>
  <si>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</si>
  <si>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</si>
  <si>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</si>
  <si>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</si>
  <si>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</si>
  <si>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</si>
  <si>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</si>
  <si>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</si>
  <si>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</si>
  <si>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</si>
  <si>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</si>
  <si>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</si>
  <si>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</si>
  <si>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</si>
  <si>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</si>
  <si>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</si>
  <si>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</si>
  <si>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</si>
  <si>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</si>
  <si>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</si>
  <si>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</si>
  <si>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</si>
  <si>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</si>
  <si>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</si>
  <si>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</si>
  <si>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</si>
  <si>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</si>
  <si>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</si>
  <si>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</si>
  <si>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</si>
  <si>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</si>
  <si>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</si>
  <si>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</si>
  <si>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</si>
  <si>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</si>
  <si>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</si>
  <si>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</si>
  <si>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</si>
  <si>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</si>
  <si>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</si>
  <si>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</si>
  <si>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</si>
  <si>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</si>
  <si>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</si>
  <si>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</si>
  <si>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</si>
  <si>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</si>
  <si>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</si>
  <si>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</si>
  <si>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</si>
  <si>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</si>
  <si>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</si>
  <si>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</si>
  <si>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</si>
  <si>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</si>
  <si>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</si>
  <si>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</si>
  <si>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</si>
  <si>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</si>
  <si>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</si>
  <si>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</si>
  <si>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</si>
  <si>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</si>
  <si>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</si>
  <si>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</si>
  <si>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</si>
  <si>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</si>
  <si>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</si>
  <si>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</si>
  <si>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</si>
  <si>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</si>
  <si>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</si>
  <si>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</si>
  <si>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</si>
  <si>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</si>
  <si>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</si>
  <si>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</si>
  <si>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</si>
  <si>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</si>
  <si>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</si>
  <si>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</si>
  <si>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</si>
  <si>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</si>
  <si>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</si>
  <si>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</si>
  <si>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</si>
  <si>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</si>
  <si>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</si>
  <si>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</si>
  <si>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</si>
  <si>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</si>
  <si>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</si>
  <si>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</si>
  <si>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</si>
  <si>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</si>
  <si>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</si>
  <si>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</si>
  <si>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</si>
  <si>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</si>
  <si>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</si>
  <si>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</si>
  <si>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</si>
  <si>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</si>
  <si>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</si>
  <si>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</si>
  <si>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</si>
  <si>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</si>
  <si>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</si>
  <si>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</si>
  <si>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</si>
  <si>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</si>
  <si>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</si>
  <si>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</si>
  <si>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</si>
  <si>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</si>
  <si>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</si>
  <si>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</si>
  <si>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</si>
  <si>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</si>
  <si>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</si>
  <si>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</si>
  <si>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</si>
  <si>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</si>
  <si>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</si>
  <si>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</si>
  <si>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</si>
  <si>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</si>
  <si>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</si>
  <si>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</si>
  <si>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</si>
  <si>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</si>
  <si>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</si>
  <si>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</si>
  <si>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</si>
  <si>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</si>
  <si>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</si>
  <si>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</si>
  <si>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</si>
  <si>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</si>
  <si>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</si>
  <si>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</si>
  <si>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</si>
  <si>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</si>
  <si>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</si>
  <si>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</si>
  <si>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</si>
  <si>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</si>
  <si>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</si>
  <si>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</si>
  <si>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</si>
  <si>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</si>
  <si>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</si>
  <si>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</si>
  <si>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</si>
  <si>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</si>
  <si>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</si>
  <si>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</si>
  <si>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</si>
  <si>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</si>
  <si>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</si>
  <si>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</si>
  <si>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</si>
  <si>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</si>
  <si>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</si>
  <si>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</si>
  <si>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</si>
  <si>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</si>
  <si>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</si>
  <si>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</si>
  <si>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</si>
  <si>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</si>
  <si>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</si>
  <si>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</si>
  <si>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</si>
  <si>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</si>
  <si>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</si>
  <si>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</si>
  <si>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</si>
  <si>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</si>
  <si>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</si>
  <si>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</si>
  <si>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</si>
  <si>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</si>
  <si>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</si>
  <si>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</si>
  <si>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</si>
  <si>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</si>
  <si>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</si>
  <si>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</si>
  <si>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</si>
  <si>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</si>
  <si>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</si>
  <si>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</si>
  <si>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</si>
  <si>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</si>
  <si>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</si>
  <si>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</si>
  <si>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</si>
  <si>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</si>
  <si>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</si>
  <si>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</si>
  <si>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</si>
  <si>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</si>
  <si>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</si>
  <si>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</si>
  <si>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</si>
  <si>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</si>
  <si>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</si>
  <si>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</si>
  <si>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</si>
  <si>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</si>
  <si>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</si>
  <si>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</si>
  <si>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</si>
  <si>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</si>
  <si>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</si>
  <si>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</si>
  <si>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</si>
  <si>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</si>
  <si>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</si>
  <si>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</si>
  <si>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</si>
  <si>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</si>
  <si>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</si>
  <si>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</si>
  <si>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</si>
  <si>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</si>
  <si>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</si>
  <si>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</si>
  <si>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</si>
  <si>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</si>
  <si>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</si>
  <si>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</si>
  <si>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</si>
  <si>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</si>
  <si>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</si>
  <si>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</si>
  <si>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</si>
  <si>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</si>
  <si>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</si>
  <si>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</si>
  <si>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</si>
  <si>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</si>
  <si>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</si>
  <si>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</si>
  <si>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</si>
  <si>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</si>
  <si>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</si>
  <si>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</si>
  <si>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</si>
  <si>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</si>
  <si>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</si>
  <si>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</si>
  <si>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</si>
  <si>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</si>
  <si>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</si>
  <si>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</si>
  <si>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</si>
  <si>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</si>
  <si>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</si>
  <si>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</si>
  <si>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</si>
  <si>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</si>
  <si>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</si>
  <si>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</si>
  <si>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</si>
  <si>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</si>
  <si>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</si>
  <si>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</si>
  <si>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</si>
  <si>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</si>
  <si>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</si>
  <si>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</si>
  <si>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</si>
  <si>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</si>
  <si>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</si>
  <si>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</si>
  <si>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</si>
  <si>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</si>
  <si>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</si>
  <si>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</si>
  <si>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</si>
  <si>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</si>
  <si>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</si>
  <si>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</si>
  <si>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</si>
  <si>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</si>
  <si>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</si>
  <si>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</si>
  <si>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</si>
  <si>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</si>
  <si>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</si>
  <si>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</si>
  <si>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</si>
  <si>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</si>
  <si>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</si>
  <si>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</si>
  <si>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</si>
  <si>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</si>
  <si>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</si>
  <si>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</si>
  <si>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</si>
  <si>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</si>
  <si>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</si>
  <si>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</si>
  <si>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</si>
  <si>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</si>
  <si>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</si>
  <si>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</si>
  <si>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</si>
  <si>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</si>
  <si>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</si>
  <si>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</si>
  <si>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</si>
  <si>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</si>
  <si>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</si>
  <si>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</si>
  <si>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</si>
  <si>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</si>
  <si>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</si>
  <si>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</si>
  <si>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</si>
  <si>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</si>
  <si>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</si>
  <si>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</si>
  <si>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</si>
  <si>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</si>
  <si>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</si>
  <si>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</si>
  <si>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</si>
  <si>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</si>
  <si>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</si>
  <si>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</si>
  <si>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</si>
  <si>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</si>
  <si>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</si>
  <si>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</si>
  <si>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</si>
  <si>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</si>
  <si>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</si>
  <si>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</si>
  <si>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</si>
  <si>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</si>
  <si>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</si>
  <si>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</si>
  <si>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</si>
  <si>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</si>
  <si>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</si>
  <si>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</si>
  <si>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</si>
  <si>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</si>
  <si>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</si>
  <si>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</si>
  <si>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</si>
  <si>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</si>
  <si>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</si>
  <si>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</si>
  <si>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</si>
  <si>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</si>
  <si>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</si>
  <si>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</si>
  <si>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</si>
  <si>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</si>
  <si>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</si>
  <si>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</si>
  <si>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</si>
  <si>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</si>
  <si>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</si>
  <si>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</si>
  <si>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</si>
  <si>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</si>
  <si>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</si>
  <si>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</si>
  <si>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</si>
  <si>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</si>
  <si>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</si>
  <si>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</si>
  <si>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</si>
  <si>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</si>
  <si>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</si>
  <si>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</si>
  <si>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</si>
  <si>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</si>
  <si>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</si>
  <si>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</si>
  <si>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</si>
  <si>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</si>
  <si>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</si>
  <si>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</si>
  <si>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</si>
  <si>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</si>
  <si>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</si>
  <si>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</si>
  <si>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</si>
  <si>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</si>
  <si>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</si>
  <si>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</si>
  <si>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</si>
  <si>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</si>
  <si>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</si>
  <si>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</si>
  <si>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</si>
  <si>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</si>
  <si>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</si>
  <si>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</si>
  <si>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</si>
  <si>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</si>
  <si>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</si>
  <si>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</si>
  <si>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</si>
  <si>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</si>
  <si>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</si>
  <si>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</si>
  <si>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</si>
  <si>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</si>
  <si>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</si>
  <si>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</si>
  <si>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</si>
  <si>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</si>
  <si>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</si>
  <si>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</si>
  <si>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</si>
  <si>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</si>
  <si>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</si>
  <si>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</si>
  <si>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</si>
  <si>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</si>
  <si>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</si>
  <si>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</si>
  <si>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</si>
  <si>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</si>
  <si>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</si>
  <si>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</si>
  <si>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</si>
  <si>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</si>
  <si>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</si>
  <si>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</si>
  <si>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</si>
  <si>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</si>
  <si>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</si>
  <si>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</si>
  <si>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</si>
  <si>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</si>
  <si>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</si>
  <si>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</si>
  <si>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</si>
  <si>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</si>
  <si>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</si>
  <si>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</si>
  <si>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</si>
  <si>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</si>
  <si>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</si>
  <si>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</si>
  <si>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</si>
  <si>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</si>
  <si>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</si>
  <si>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</si>
  <si>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</si>
  <si>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</si>
  <si>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</si>
  <si>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</si>
  <si>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</si>
  <si>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</si>
  <si>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</si>
  <si>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</si>
  <si>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</si>
  <si>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</si>
  <si>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</si>
  <si>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</si>
  <si>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</si>
  <si>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</si>
  <si>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</si>
  <si>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</si>
  <si>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</si>
  <si>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</si>
  <si>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</si>
  <si>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</si>
  <si>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</si>
  <si>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</si>
  <si>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</si>
  <si>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</si>
  <si>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</si>
  <si>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</si>
  <si>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</si>
  <si>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</si>
  <si>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</si>
  <si>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</si>
  <si>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</si>
  <si>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</si>
  <si>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</si>
  <si>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</si>
  <si>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</si>
  <si>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</si>
  <si>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</si>
  <si>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</si>
  <si>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</si>
  <si>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</si>
  <si>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</si>
  <si>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</si>
  <si>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</si>
  <si>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</si>
  <si>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</si>
  <si>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</si>
  <si>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</si>
  <si>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</si>
  <si>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</si>
  <si>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</si>
  <si>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</si>
  <si>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</si>
  <si>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</si>
  <si>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</si>
  <si>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</si>
  <si>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</si>
  <si>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</si>
  <si>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</si>
  <si>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</si>
  <si>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</si>
  <si>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</si>
  <si>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</si>
  <si>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</si>
  <si>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</si>
  <si>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</si>
  <si>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</si>
  <si>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</si>
  <si>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</si>
  <si>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</si>
  <si>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</si>
  <si>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</si>
  <si>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</si>
  <si>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</si>
  <si>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</si>
  <si>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</si>
  <si>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</si>
  <si>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</si>
  <si>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</si>
  <si>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</si>
  <si>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</si>
  <si>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</si>
  <si>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</si>
  <si>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</si>
  <si>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</si>
  <si>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</si>
  <si>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</si>
  <si>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</si>
  <si>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</si>
  <si>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</si>
  <si>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</si>
  <si>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</si>
  <si>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</si>
  <si>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</si>
  <si>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</si>
  <si>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</si>
  <si>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</si>
  <si>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</si>
  <si>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</si>
  <si>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</si>
  <si>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</si>
  <si>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</si>
  <si>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</si>
  <si>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</si>
  <si>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</si>
  <si>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</si>
  <si>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</si>
  <si>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</si>
  <si>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</si>
  <si>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</si>
  <si>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</si>
  <si>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</si>
  <si>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</si>
  <si>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</si>
  <si>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</si>
  <si>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</si>
  <si>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</si>
  <si>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</si>
  <si>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</si>
  <si>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</si>
  <si>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</si>
  <si>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</si>
  <si>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</si>
  <si>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</si>
  <si>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</si>
  <si>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</si>
  <si>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</si>
  <si>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</si>
  <si>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</si>
  <si>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</si>
  <si>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</si>
  <si>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</si>
  <si>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</si>
  <si>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</si>
  <si>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</si>
  <si>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</si>
  <si>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</si>
  <si>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</si>
  <si>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</si>
  <si>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</si>
  <si>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</si>
  <si>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</si>
  <si>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</si>
  <si>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</si>
  <si>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</si>
  <si>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</si>
  <si>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</si>
  <si>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</si>
  <si>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</si>
  <si>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</si>
  <si>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</si>
  <si>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</si>
  <si>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</si>
  <si>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</si>
  <si>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</si>
  <si>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</si>
  <si>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</si>
  <si>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</si>
  <si>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</si>
  <si>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</si>
  <si>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</si>
  <si>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</si>
  <si>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</si>
  <si>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</si>
  <si>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</si>
  <si>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</si>
  <si>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</si>
  <si>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</si>
  <si>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</si>
  <si>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</si>
  <si>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</si>
  <si>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</si>
  <si>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</si>
  <si>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</si>
  <si>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</si>
  <si>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</si>
  <si>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</si>
  <si>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</si>
  <si>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</si>
  <si>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</si>
  <si>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</si>
  <si>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</si>
  <si>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</si>
  <si>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</si>
  <si>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</si>
  <si>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</si>
  <si>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</si>
  <si>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</si>
  <si>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</si>
  <si>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</si>
  <si>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</si>
  <si>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</si>
  <si>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</si>
  <si>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</si>
  <si>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</si>
  <si>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</si>
  <si>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</si>
  <si>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</si>
  <si>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</si>
  <si>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</si>
  <si>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</si>
  <si>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</si>
  <si>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</si>
  <si>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</si>
  <si>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</si>
  <si>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</si>
  <si>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</si>
  <si>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</si>
  <si>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</si>
  <si>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</si>
  <si>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</si>
  <si>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</si>
  <si>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</si>
  <si>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</si>
  <si>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</si>
  <si>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</si>
  <si>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</si>
  <si>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</si>
  <si>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</si>
  <si>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</si>
  <si>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</si>
  <si>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</si>
  <si>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</si>
  <si>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</si>
  <si>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</si>
  <si>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</si>
  <si>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</si>
  <si>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</si>
  <si>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</si>
  <si>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</si>
  <si>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</si>
  <si>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</si>
  <si>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</si>
  <si>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</si>
  <si>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</si>
  <si>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</si>
  <si>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</si>
  <si>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</si>
  <si>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</si>
  <si>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</si>
  <si>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</si>
  <si>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</si>
  <si>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</si>
  <si>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</si>
  <si>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</si>
  <si>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</si>
  <si>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</si>
  <si>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</si>
  <si>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</si>
  <si>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</si>
  <si>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</si>
  <si>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</si>
  <si>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</si>
  <si>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</si>
  <si>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</si>
  <si>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</si>
  <si>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</si>
  <si>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</si>
  <si>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</si>
  <si>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</si>
  <si>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</si>
  <si>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</si>
  <si>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</si>
  <si>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</si>
  <si>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</si>
  <si>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</si>
  <si>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</si>
  <si>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</si>
  <si>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</si>
  <si>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</si>
  <si>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</si>
  <si>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</si>
  <si>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</si>
  <si>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</si>
  <si>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</si>
  <si>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</si>
  <si>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</si>
  <si>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</si>
  <si>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</si>
  <si>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</si>
  <si>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</si>
  <si>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</si>
  <si>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</si>
  <si>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</si>
  <si>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</si>
  <si>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</si>
  <si>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</si>
  <si>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</si>
  <si>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</si>
  <si>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</si>
  <si>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</si>
  <si>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</si>
  <si>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</si>
  <si>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</si>
  <si>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</si>
  <si>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</si>
  <si>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</si>
  <si>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</si>
  <si>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</si>
  <si>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</si>
  <si>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</si>
  <si>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</si>
  <si>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</si>
  <si>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</si>
  <si>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</si>
  <si>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</si>
  <si>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</si>
  <si>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</si>
  <si>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</si>
  <si>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</si>
  <si>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</si>
  <si>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</si>
  <si>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</si>
  <si>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</si>
  <si>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</si>
  <si>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</si>
  <si>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</si>
  <si>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</si>
  <si>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</si>
  <si>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</si>
  <si>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</si>
  <si>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</si>
  <si>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</si>
  <si>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</si>
  <si>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</si>
  <si>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</si>
  <si>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</si>
  <si>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</si>
  <si>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</si>
  <si>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</si>
  <si>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</si>
  <si>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</si>
  <si>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</si>
  <si>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</si>
  <si>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</si>
  <si>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</si>
  <si>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</si>
  <si>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</si>
  <si>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</si>
  <si>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</si>
  <si>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</si>
  <si>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</si>
  <si>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</si>
  <si>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</si>
  <si>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</si>
  <si>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</si>
  <si>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</si>
  <si>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</si>
  <si>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</si>
  <si>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</si>
  <si>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</si>
  <si>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</si>
  <si>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</si>
  <si>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</si>
  <si>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</si>
  <si>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</si>
  <si>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</si>
  <si>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</si>
  <si>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</si>
  <si>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</si>
  <si>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</si>
  <si>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</si>
  <si>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</si>
  <si>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</si>
  <si>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</si>
  <si>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</si>
  <si>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</si>
  <si>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</si>
  <si>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</si>
  <si>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</si>
  <si>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</si>
  <si>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</si>
  <si>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</si>
  <si>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</si>
  <si>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</si>
  <si>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</si>
  <si>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</si>
  <si>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</si>
  <si>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</si>
  <si>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</si>
  <si>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</si>
  <si>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</si>
  <si>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</si>
  <si>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</si>
  <si>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</si>
  <si>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</si>
  <si>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</si>
  <si>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</si>
  <si>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</si>
  <si>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</si>
  <si>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</si>
  <si>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</si>
  <si>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</si>
  <si>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</si>
  <si>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</si>
  <si>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</si>
  <si>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</si>
  <si>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</si>
  <si>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</si>
  <si>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</si>
  <si>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</si>
  <si>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</si>
  <si>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</si>
  <si>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</si>
  <si>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</si>
  <si>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</si>
  <si>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</si>
  <si>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</si>
  <si>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</si>
  <si>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</si>
  <si>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</si>
  <si>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</si>
  <si>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</si>
  <si>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</si>
  <si>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</si>
  <si>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</si>
  <si>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</si>
  <si>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</si>
  <si>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</si>
  <si>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</si>
  <si>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</si>
  <si>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</si>
  <si>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</si>
  <si>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</si>
  <si>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</si>
  <si>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</si>
  <si>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</si>
  <si>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</si>
  <si>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</si>
  <si>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</si>
  <si>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</si>
  <si>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</si>
  <si>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</si>
  <si>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</si>
  <si>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</si>
  <si>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</si>
  <si>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</si>
  <si>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</si>
  <si>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</si>
  <si>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</si>
  <si>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</si>
  <si>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</si>
  <si>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</si>
  <si>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</si>
  <si>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</si>
  <si>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</si>
  <si>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</si>
  <si>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</si>
  <si>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</si>
  <si>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</si>
  <si>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</si>
  <si>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</si>
  <si>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</si>
  <si>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</si>
  <si>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</si>
  <si>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</si>
  <si>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</si>
  <si>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</si>
  <si>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</si>
  <si>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</si>
  <si>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</si>
  <si>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</si>
  <si>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</si>
  <si>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</si>
  <si>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</si>
  <si>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</si>
  <si>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</si>
  <si>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</si>
  <si>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</si>
  <si>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</si>
  <si>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</si>
  <si>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</si>
  <si>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</si>
  <si>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</si>
  <si>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</si>
  <si>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</si>
  <si>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</si>
  <si>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</si>
  <si>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</si>
  <si>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</si>
  <si>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</si>
  <si>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</si>
  <si>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</si>
  <si>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</si>
  <si>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</si>
  <si>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</si>
  <si>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</si>
  <si>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</si>
  <si>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</si>
  <si>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</si>
  <si>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</si>
  <si>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</si>
  <si>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</si>
  <si>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</si>
  <si>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</si>
  <si>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</si>
  <si>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</si>
  <si>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</si>
  <si>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</si>
  <si>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</si>
  <si>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</si>
  <si>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</si>
  <si>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</si>
  <si>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</si>
  <si>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</si>
  <si>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</si>
  <si>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</si>
  <si>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</si>
  <si>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</si>
  <si>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</si>
  <si>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</si>
  <si>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</si>
  <si>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</si>
  <si>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</si>
  <si>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</si>
  <si>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</si>
  <si>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</si>
  <si>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</si>
  <si>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</si>
  <si>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</si>
  <si>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</si>
  <si>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</si>
  <si>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</si>
  <si>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</si>
  <si>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</si>
  <si>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</si>
  <si>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</si>
  <si>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</si>
  <si>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</si>
  <si>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</si>
  <si>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</si>
  <si>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</si>
  <si>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</si>
  <si>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</si>
  <si>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</si>
  <si>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</si>
  <si>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</si>
  <si>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</si>
  <si>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</si>
  <si>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</si>
  <si>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</si>
  <si>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</si>
  <si>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</si>
  <si>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</si>
  <si>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</si>
  <si>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</si>
  <si>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</si>
  <si>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</si>
  <si>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</si>
  <si>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</si>
  <si>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</si>
  <si>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</si>
  <si>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</si>
  <si>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</si>
  <si>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</si>
  <si>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</si>
  <si>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</si>
  <si>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</si>
  <si>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</si>
  <si>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</si>
  <si>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</si>
  <si>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</si>
  <si>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</si>
  <si>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</si>
  <si>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</si>
  <si>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</si>
  <si>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</si>
  <si>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</si>
  <si>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</si>
  <si>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</si>
  <si>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</si>
  <si>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</si>
  <si>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</si>
  <si>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</si>
  <si>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</si>
  <si>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</si>
  <si>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</si>
  <si>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</si>
  <si>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</si>
  <si>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</si>
  <si>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</si>
  <si>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</si>
  <si>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</si>
  <si>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</si>
  <si>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</si>
  <si>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</si>
  <si>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</si>
  <si>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</si>
  <si>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</si>
  <si>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</si>
  <si>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</si>
  <si>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</si>
  <si>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</si>
  <si>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</si>
  <si>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</si>
  <si>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</si>
  <si>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</si>
  <si>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</si>
  <si>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</si>
  <si>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</si>
  <si>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</si>
  <si>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</si>
  <si>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</si>
  <si>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</si>
  <si>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</si>
  <si>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</si>
  <si>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</si>
  <si>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</si>
  <si>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</si>
  <si>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</si>
  <si>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</si>
  <si>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</si>
  <si>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</si>
  <si>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</si>
  <si>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</si>
  <si>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</si>
  <si>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</si>
  <si>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</si>
  <si>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</si>
  <si>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</si>
  <si>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</si>
  <si>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</si>
  <si>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</si>
  <si>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</si>
  <si>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</si>
  <si>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</si>
  <si>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</si>
  <si>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</si>
  <si>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</si>
  <si>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</si>
  <si>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</si>
  <si>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</si>
  <si>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</si>
  <si>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</si>
  <si>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</si>
  <si>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</si>
  <si>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</si>
  <si>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</si>
  <si>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</si>
  <si>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</si>
  <si>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</si>
  <si>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</si>
  <si>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</si>
  <si>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</si>
  <si>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</si>
  <si>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</si>
  <si>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</si>
  <si>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</si>
  <si>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</si>
  <si>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</si>
  <si>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</si>
  <si>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</si>
  <si>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</si>
  <si>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</si>
  <si>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</si>
  <si>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</si>
  <si>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</si>
  <si>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</si>
  <si>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</si>
  <si>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</si>
  <si>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</si>
  <si>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</si>
  <si>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</si>
  <si>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</si>
  <si>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</si>
  <si>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</si>
  <si>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</si>
  <si>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</si>
  <si>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</si>
  <si>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</si>
  <si>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</si>
  <si>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</si>
  <si>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</si>
  <si>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</si>
  <si>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</si>
  <si>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</si>
  <si>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</si>
  <si>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</si>
  <si>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</si>
  <si>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</si>
  <si>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</si>
  <si>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</si>
  <si>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</si>
  <si>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</si>
  <si>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</si>
  <si>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</si>
  <si>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</si>
  <si>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</si>
  <si>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</si>
  <si>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</si>
  <si>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</si>
  <si>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</si>
  <si>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</si>
  <si>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</si>
  <si>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</si>
  <si>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</si>
  <si>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</si>
  <si>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</si>
  <si>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</si>
  <si>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</si>
  <si>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</si>
  <si>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</si>
  <si>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</si>
  <si>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</si>
  <si>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</si>
  <si>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</si>
  <si>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</si>
  <si>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</si>
  <si>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</si>
  <si>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</si>
  <si>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</si>
  <si>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</si>
  <si>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</si>
  <si>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</si>
  <si>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</si>
  <si>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</si>
  <si>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</si>
  <si>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</si>
  <si>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</si>
  <si>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</si>
  <si>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</si>
  <si>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</si>
  <si>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</si>
  <si>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</si>
  <si>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</si>
  <si>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</si>
  <si>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</si>
  <si>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</si>
  <si>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</si>
  <si>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</si>
  <si>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</si>
  <si>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</si>
  <si>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</si>
  <si>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</si>
  <si>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</si>
  <si>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</si>
  <si>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</si>
  <si>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</si>
  <si>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</si>
  <si>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</si>
  <si>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</si>
  <si>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</si>
  <si>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</si>
  <si>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</si>
  <si>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</si>
  <si>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</si>
  <si>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</si>
  <si>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[0.352360]</t>
  </si>
  <si>
    <t>0 [0.775129]</t>
  </si>
  <si>
    <t>0 [1.199980]</t>
  </si>
  <si>
    <t>0 [1.596200]</t>
  </si>
  <si>
    <t>0 [1.978308]</t>
  </si>
  <si>
    <t>0 [2.384438]</t>
  </si>
  <si>
    <t>0 [2.790368]</t>
  </si>
  <si>
    <t>0 [3.191749]</t>
  </si>
  <si>
    <t>0 [3.605008]</t>
  </si>
  <si>
    <t>0 [4.005473]</t>
  </si>
  <si>
    <t>0 [4.432920]</t>
  </si>
  <si>
    <t>0 [4.823222]</t>
  </si>
  <si>
    <t>0 [5.231226]</t>
  </si>
  <si>
    <t>0 [5.638632]</t>
  </si>
  <si>
    <t>0 [6.060344]</t>
  </si>
  <si>
    <t>0 [6.485393]</t>
  </si>
  <si>
    <t>0 [6.879254]</t>
  </si>
  <si>
    <t>0 [7.285474]</t>
  </si>
  <si>
    <t>0 [7.698868]</t>
  </si>
  <si>
    <t>0 [8.097560]</t>
  </si>
  <si>
    <t>0 [8.540108]</t>
  </si>
  <si>
    <t>0 [8.925329]</t>
  </si>
  <si>
    <t>0 [9.346545]</t>
  </si>
  <si>
    <t>0 [9.744100]</t>
  </si>
  <si>
    <t>0 [10.146582]</t>
  </si>
  <si>
    <t>vision^mj6r^1^1^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</si>
</sst>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0" xfId="0" applyFont="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10"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27" fillId="0" borderId="51" xfId="0" applyNumberFormat="1"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46" fillId="0" borderId="7" xfId="0" applyFont="1" applyBorder="1" applyAlignment="1">
      <alignment horizontal="left" vertical="top"/>
    </xf>
    <xf numFmtId="0" fontId="46" fillId="0" borderId="0" xfId="0" applyFont="1" applyAlignment="1">
      <alignment horizontal="left" vertical="top"/>
    </xf>
    <xf numFmtId="0" fontId="94" fillId="0" borderId="9" xfId="0" applyFont="1" applyBorder="1" applyAlignment="1">
      <alignment horizontal="center" vertical="center"/>
    </xf>
    <xf numFmtId="0" fontId="67" fillId="0" borderId="0" xfId="0" applyFont="1">
      <alignment vertical="center"/>
    </xf>
    <xf numFmtId="0" fontId="67" fillId="0" borderId="0" xfId="0" applyFont="1" applyAlignment="1">
      <alignment horizontal="center" vertical="center" textRotation="180" wrapText="1"/>
    </xf>
    <xf numFmtId="0" fontId="95" fillId="34" borderId="78" xfId="0" applyFont="1" applyFill="1" applyBorder="1" applyAlignment="1">
      <alignment horizontal="center" vertical="center" shrinkToFi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67" fillId="0" borderId="0" xfId="0" applyFont="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0" fontId="92" fillId="0" borderId="3" xfId="5" applyFont="1" applyBorder="1" applyAlignment="1">
      <alignment horizontal="left" wrapText="1"/>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29" fillId="0" borderId="37" xfId="0" applyFont="1" applyBorder="1" applyAlignment="1">
      <alignment horizontal="center" vertical="center"/>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29" borderId="0" xfId="0" applyFont="1" applyFill="1" applyAlignment="1">
      <alignment horizontal="center" vertical="center" wrapText="1"/>
    </xf>
    <xf numFmtId="0" fontId="73" fillId="28" borderId="0" xfId="0" applyFont="1" applyFill="1" applyAlignment="1">
      <alignment horizontal="center" vertical="center" wrapText="1"/>
    </xf>
    <xf numFmtId="0" fontId="73" fillId="31" borderId="0" xfId="0" applyFont="1" applyFill="1" applyAlignment="1">
      <alignment horizontal="center" vertical="center" wrapText="1"/>
    </xf>
    <xf numFmtId="180" fontId="73" fillId="0" borderId="3"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80" fillId="26" borderId="3" xfId="0" applyFont="1" applyFill="1" applyBorder="1" applyAlignment="1">
      <alignment horizontal="center" vertical="center" shrinkToFi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53.94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53.935840000000006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1.68953</c:v>
                </c:pt>
                <c:pt idx="1">
                  <c:v>1.72295</c:v>
                </c:pt>
                <c:pt idx="2">
                  <c:v>1.7630100000000002</c:v>
                </c:pt>
                <c:pt idx="3">
                  <c:v>1.8008899999999999</c:v>
                </c:pt>
                <c:pt idx="4">
                  <c:v>1.8374599999999999</c:v>
                </c:pt>
                <c:pt idx="5">
                  <c:v>1.8750500000000001</c:v>
                </c:pt>
                <c:pt idx="6">
                  <c:v>1.91337</c:v>
                </c:pt>
                <c:pt idx="7">
                  <c:v>1.9496199999999999</c:v>
                </c:pt>
                <c:pt idx="8">
                  <c:v>1.9850999999999999</c:v>
                </c:pt>
                <c:pt idx="9">
                  <c:v>2.0225999999999997</c:v>
                </c:pt>
                <c:pt idx="10">
                  <c:v>2.0629900000000001</c:v>
                </c:pt>
                <c:pt idx="11">
                  <c:v>2.1038000000000001</c:v>
                </c:pt>
                <c:pt idx="12">
                  <c:v>2.1415000000000002</c:v>
                </c:pt>
                <c:pt idx="13">
                  <c:v>2.1764600000000001</c:v>
                </c:pt>
                <c:pt idx="14">
                  <c:v>2.2101500000000001</c:v>
                </c:pt>
                <c:pt idx="15">
                  <c:v>2.2454900000000002</c:v>
                </c:pt>
                <c:pt idx="16">
                  <c:v>2.2835000000000001</c:v>
                </c:pt>
                <c:pt idx="17">
                  <c:v>2.3230899999999997</c:v>
                </c:pt>
                <c:pt idx="18">
                  <c:v>2.3635299999999999</c:v>
                </c:pt>
                <c:pt idx="19">
                  <c:v>2.3832100000000001</c:v>
                </c:pt>
                <c:pt idx="20">
                  <c:v>2.4045199999999998</c:v>
                </c:pt>
                <c:pt idx="21">
                  <c:v>2.4282900000000001</c:v>
                </c:pt>
                <c:pt idx="22">
                  <c:v>2.4537300000000002</c:v>
                </c:pt>
                <c:pt idx="23">
                  <c:v>2.4790799999999997</c:v>
                </c:pt>
                <c:pt idx="24">
                  <c:v>2.50061</c:v>
                </c:pt>
                <c:pt idx="25">
                  <c:v>2.5216100000000004</c:v>
                </c:pt>
              </c:numCache>
            </c:numRef>
          </c:xVal>
          <c:yVal>
            <c:numRef>
              <c:f>[0]!FT_PH</c:f>
              <c:numCache>
                <c:formatCode>0.00</c:formatCode>
                <c:ptCount val="26"/>
                <c:pt idx="0">
                  <c:v>64.014499999999998</c:v>
                </c:pt>
                <c:pt idx="1">
                  <c:v>63.063000000000002</c:v>
                </c:pt>
                <c:pt idx="2">
                  <c:v>61.763900000000007</c:v>
                </c:pt>
                <c:pt idx="3">
                  <c:v>60.544600000000003</c:v>
                </c:pt>
                <c:pt idx="4">
                  <c:v>59.319999999999993</c:v>
                </c:pt>
                <c:pt idx="5">
                  <c:v>57.972100000000005</c:v>
                </c:pt>
                <c:pt idx="6">
                  <c:v>56.527400000000007</c:v>
                </c:pt>
                <c:pt idx="7">
                  <c:v>55.203199999999995</c:v>
                </c:pt>
                <c:pt idx="8">
                  <c:v>53.889200000000002</c:v>
                </c:pt>
                <c:pt idx="9">
                  <c:v>52.520599999999995</c:v>
                </c:pt>
                <c:pt idx="10">
                  <c:v>51.0533</c:v>
                </c:pt>
                <c:pt idx="11">
                  <c:v>49.586999999999996</c:v>
                </c:pt>
                <c:pt idx="12">
                  <c:v>48.309200000000004</c:v>
                </c:pt>
                <c:pt idx="13">
                  <c:v>47.119199999999999</c:v>
                </c:pt>
                <c:pt idx="14">
                  <c:v>45.976399999999998</c:v>
                </c:pt>
                <c:pt idx="15">
                  <c:v>44.763500000000001</c:v>
                </c:pt>
                <c:pt idx="16">
                  <c:v>43.428100000000001</c:v>
                </c:pt>
                <c:pt idx="17">
                  <c:v>42.055700000000002</c:v>
                </c:pt>
                <c:pt idx="18">
                  <c:v>40.7057</c:v>
                </c:pt>
                <c:pt idx="19">
                  <c:v>40.1173</c:v>
                </c:pt>
                <c:pt idx="20">
                  <c:v>39.459699999999998</c:v>
                </c:pt>
                <c:pt idx="21">
                  <c:v>38.703700000000005</c:v>
                </c:pt>
                <c:pt idx="22">
                  <c:v>37.868299999999998</c:v>
                </c:pt>
                <c:pt idx="23">
                  <c:v>37.029499999999999</c:v>
                </c:pt>
                <c:pt idx="24">
                  <c:v>36.4193</c:v>
                </c:pt>
                <c:pt idx="25">
                  <c:v>35.696300000000001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1.72295</c:v>
                </c:pt>
                <c:pt idx="1">
                  <c:v>2.4537300000000002</c:v>
                </c:pt>
              </c:numCache>
            </c:numRef>
          </c:xVal>
          <c:yVal>
            <c:numRef>
              <c:f>info!$W$2:$W$3</c:f>
              <c:numCache>
                <c:formatCode>0.00</c:formatCode>
                <c:ptCount val="2"/>
                <c:pt idx="0">
                  <c:v>63.063000000000002</c:v>
                </c:pt>
                <c:pt idx="1">
                  <c:v>37.868299999999998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2.5216100000000004</c:v>
                </c:pt>
                <c:pt idx="1">
                  <c:v>1.68953</c:v>
                </c:pt>
              </c:numCache>
            </c:numRef>
          </c:xVal>
          <c:yVal>
            <c:numRef>
              <c:f>info!$W$15:$W$16</c:f>
              <c:numCache>
                <c:formatCode>0.00_ </c:formatCode>
                <c:ptCount val="2"/>
                <c:pt idx="0">
                  <c:v>35.696300000000001</c:v>
                </c:pt>
                <c:pt idx="1">
                  <c:v>64.014499999999998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2.140043846153846</c:v>
                </c:pt>
              </c:numCache>
            </c:numRef>
          </c:xVal>
          <c:yVal>
            <c:numRef>
              <c:f>info!$N$9</c:f>
              <c:numCache>
                <c:formatCode>0.0</c:formatCode>
                <c:ptCount val="1"/>
                <c:pt idx="0">
                  <c:v>48.581180769230777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25.583400000000001</c:v>
                </c:pt>
                <c:pt idx="1">
                  <c:v>39.966099999999997</c:v>
                </c:pt>
                <c:pt idx="2">
                  <c:v>35.196800000000003</c:v>
                </c:pt>
                <c:pt idx="3">
                  <c:v>32.251399999999997</c:v>
                </c:pt>
                <c:pt idx="4">
                  <c:v>74.331500000000005</c:v>
                </c:pt>
                <c:pt idx="5">
                  <c:v>66.790400000000005</c:v>
                </c:pt>
                <c:pt idx="6">
                  <c:v>10.7736</c:v>
                </c:pt>
                <c:pt idx="7">
                  <c:v>70.715299999999999</c:v>
                </c:pt>
                <c:pt idx="8">
                  <c:v>13.9268</c:v>
                </c:pt>
                <c:pt idx="9">
                  <c:v>14.3598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53.94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53.935840000000006</c:v>
                </c:pt>
                <c:pt idx="1">
                  <c:v>53.935840000000006</c:v>
                </c:pt>
                <c:pt idx="2">
                  <c:v>0</c:v>
                </c:pt>
              </c:numCache>
            </c:numRef>
          </c:xVal>
          <c:yVal>
            <c:numRef>
              <c:f>'R2'!$I$5:$I$7</c:f>
              <c:numCache>
                <c:formatCode>0.0_ </c:formatCode>
                <c:ptCount val="3"/>
                <c:pt idx="0">
                  <c:v>0</c:v>
                </c:pt>
                <c:pt idx="1">
                  <c:v>57.035973277116689</c:v>
                </c:pt>
                <c:pt idx="2">
                  <c:v>57.035973277116689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35.420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35.420333333333339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1.06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1.0626100000000001</c:v>
                </c:pt>
                <c:pt idx="1">
                  <c:v>1.0626100000000001</c:v>
                </c:pt>
                <c:pt idx="2">
                  <c:v>0</c:v>
                </c:pt>
              </c:numCache>
            </c:numRef>
          </c:xVal>
          <c:yVal>
            <c:numRef>
              <c:f>'R3'!$I$6:$I$8</c:f>
              <c:numCache>
                <c:formatCode>0.0_ </c:formatCode>
                <c:ptCount val="3"/>
                <c:pt idx="0">
                  <c:v>0</c:v>
                </c:pt>
                <c:pt idx="1">
                  <c:v>12.007565559540772</c:v>
                </c:pt>
                <c:pt idx="2">
                  <c:v>12.007565559540772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-0.33432424800337945</c:v>
                </c:pt>
                <c:pt idx="1">
                  <c:v>-0.33432424800337945</c:v>
                </c:pt>
                <c:pt idx="2">
                  <c:v>-7</c:v>
                </c:pt>
              </c:numCache>
            </c:numRef>
          </c:xVal>
          <c:yVal>
            <c:numRef>
              <c:f>'R'!$I$5:$I$7</c:f>
              <c:numCache>
                <c:formatCode>0.0_ </c:formatCode>
                <c:ptCount val="3"/>
                <c:pt idx="0">
                  <c:v>0</c:v>
                </c:pt>
                <c:pt idx="1">
                  <c:v>54.962189260221386</c:v>
                </c:pt>
                <c:pt idx="2">
                  <c:v>54.962189260221386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-0.33432424800337945</c:v>
                </c:pt>
              </c:numCache>
            </c:numRef>
          </c:xVal>
          <c:yVal>
            <c:numRef>
              <c:f>'R'!$I$4</c:f>
              <c:numCache>
                <c:formatCode>0.00_ </c:formatCode>
                <c:ptCount val="1"/>
                <c:pt idx="0">
                  <c:v>54.962189260221386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53.94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53.935840000000006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1.68953</c:v>
                </c:pt>
                <c:pt idx="1">
                  <c:v>1.72295</c:v>
                </c:pt>
                <c:pt idx="2">
                  <c:v>1.7630100000000002</c:v>
                </c:pt>
                <c:pt idx="3">
                  <c:v>1.8008899999999999</c:v>
                </c:pt>
                <c:pt idx="4">
                  <c:v>1.8374599999999999</c:v>
                </c:pt>
                <c:pt idx="5">
                  <c:v>1.8750500000000001</c:v>
                </c:pt>
                <c:pt idx="6">
                  <c:v>1.91337</c:v>
                </c:pt>
                <c:pt idx="7">
                  <c:v>1.9496199999999999</c:v>
                </c:pt>
                <c:pt idx="8">
                  <c:v>1.9850999999999999</c:v>
                </c:pt>
                <c:pt idx="9">
                  <c:v>2.0225999999999997</c:v>
                </c:pt>
                <c:pt idx="10">
                  <c:v>2.0629900000000001</c:v>
                </c:pt>
                <c:pt idx="11">
                  <c:v>2.1038000000000001</c:v>
                </c:pt>
                <c:pt idx="12">
                  <c:v>2.1415000000000002</c:v>
                </c:pt>
                <c:pt idx="13">
                  <c:v>2.1764600000000001</c:v>
                </c:pt>
                <c:pt idx="14">
                  <c:v>2.2101500000000001</c:v>
                </c:pt>
                <c:pt idx="15">
                  <c:v>2.2454900000000002</c:v>
                </c:pt>
                <c:pt idx="16">
                  <c:v>2.2835000000000001</c:v>
                </c:pt>
                <c:pt idx="17">
                  <c:v>2.3230899999999997</c:v>
                </c:pt>
                <c:pt idx="18">
                  <c:v>2.3635299999999999</c:v>
                </c:pt>
                <c:pt idx="19">
                  <c:v>2.3832100000000001</c:v>
                </c:pt>
                <c:pt idx="20">
                  <c:v>2.4045199999999998</c:v>
                </c:pt>
                <c:pt idx="21">
                  <c:v>2.4282900000000001</c:v>
                </c:pt>
                <c:pt idx="22">
                  <c:v>2.4537300000000002</c:v>
                </c:pt>
                <c:pt idx="23">
                  <c:v>2.4790799999999997</c:v>
                </c:pt>
                <c:pt idx="24">
                  <c:v>2.50061</c:v>
                </c:pt>
                <c:pt idx="25">
                  <c:v>2.5216100000000004</c:v>
                </c:pt>
              </c:numCache>
            </c:numRef>
          </c:xVal>
          <c:yVal>
            <c:numRef>
              <c:f>[0]!FT_PH</c:f>
              <c:numCache>
                <c:formatCode>0.00</c:formatCode>
                <c:ptCount val="26"/>
                <c:pt idx="0">
                  <c:v>64.014499999999998</c:v>
                </c:pt>
                <c:pt idx="1">
                  <c:v>63.063000000000002</c:v>
                </c:pt>
                <c:pt idx="2">
                  <c:v>61.763900000000007</c:v>
                </c:pt>
                <c:pt idx="3">
                  <c:v>60.544600000000003</c:v>
                </c:pt>
                <c:pt idx="4">
                  <c:v>59.319999999999993</c:v>
                </c:pt>
                <c:pt idx="5">
                  <c:v>57.972100000000005</c:v>
                </c:pt>
                <c:pt idx="6">
                  <c:v>56.527400000000007</c:v>
                </c:pt>
                <c:pt idx="7">
                  <c:v>55.203199999999995</c:v>
                </c:pt>
                <c:pt idx="8">
                  <c:v>53.889200000000002</c:v>
                </c:pt>
                <c:pt idx="9">
                  <c:v>52.520599999999995</c:v>
                </c:pt>
                <c:pt idx="10">
                  <c:v>51.0533</c:v>
                </c:pt>
                <c:pt idx="11">
                  <c:v>49.586999999999996</c:v>
                </c:pt>
                <c:pt idx="12">
                  <c:v>48.309200000000004</c:v>
                </c:pt>
                <c:pt idx="13">
                  <c:v>47.119199999999999</c:v>
                </c:pt>
                <c:pt idx="14">
                  <c:v>45.976399999999998</c:v>
                </c:pt>
                <c:pt idx="15">
                  <c:v>44.763500000000001</c:v>
                </c:pt>
                <c:pt idx="16">
                  <c:v>43.428100000000001</c:v>
                </c:pt>
                <c:pt idx="17">
                  <c:v>42.055700000000002</c:v>
                </c:pt>
                <c:pt idx="18">
                  <c:v>40.7057</c:v>
                </c:pt>
                <c:pt idx="19">
                  <c:v>40.1173</c:v>
                </c:pt>
                <c:pt idx="20">
                  <c:v>39.459699999999998</c:v>
                </c:pt>
                <c:pt idx="21">
                  <c:v>38.703700000000005</c:v>
                </c:pt>
                <c:pt idx="22">
                  <c:v>37.868299999999998</c:v>
                </c:pt>
                <c:pt idx="23">
                  <c:v>37.029499999999999</c:v>
                </c:pt>
                <c:pt idx="24">
                  <c:v>36.4193</c:v>
                </c:pt>
                <c:pt idx="25">
                  <c:v>35.696300000000001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1.72295</c:v>
                </c:pt>
                <c:pt idx="1">
                  <c:v>2.4537300000000002</c:v>
                </c:pt>
              </c:numCache>
            </c:numRef>
          </c:xVal>
          <c:yVal>
            <c:numRef>
              <c:f>info!$W$2:$W$3</c:f>
              <c:numCache>
                <c:formatCode>0.00</c:formatCode>
                <c:ptCount val="2"/>
                <c:pt idx="0">
                  <c:v>63.063000000000002</c:v>
                </c:pt>
                <c:pt idx="1">
                  <c:v>37.868299999999998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2.5216100000000004</c:v>
                </c:pt>
                <c:pt idx="1">
                  <c:v>1.68953</c:v>
                </c:pt>
              </c:numCache>
            </c:numRef>
          </c:xVal>
          <c:yVal>
            <c:numRef>
              <c:f>info!$W$15:$W$16</c:f>
              <c:numCache>
                <c:formatCode>0.00_ </c:formatCode>
                <c:ptCount val="2"/>
                <c:pt idx="0">
                  <c:v>35.696300000000001</c:v>
                </c:pt>
                <c:pt idx="1">
                  <c:v>64.014499999999998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2.140043846153846</c:v>
                </c:pt>
              </c:numCache>
            </c:numRef>
          </c:xVal>
          <c:yVal>
            <c:numRef>
              <c:f>info!$N$9</c:f>
              <c:numCache>
                <c:formatCode>0.0</c:formatCode>
                <c:ptCount val="1"/>
                <c:pt idx="0">
                  <c:v>48.581180769230777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25.583400000000001</c:v>
                </c:pt>
                <c:pt idx="1">
                  <c:v>39.966099999999997</c:v>
                </c:pt>
                <c:pt idx="2">
                  <c:v>35.196800000000003</c:v>
                </c:pt>
                <c:pt idx="3">
                  <c:v>32.251399999999997</c:v>
                </c:pt>
                <c:pt idx="4">
                  <c:v>74.331500000000005</c:v>
                </c:pt>
                <c:pt idx="5">
                  <c:v>66.790400000000005</c:v>
                </c:pt>
                <c:pt idx="6">
                  <c:v>10.7736</c:v>
                </c:pt>
                <c:pt idx="7">
                  <c:v>70.715299999999999</c:v>
                </c:pt>
                <c:pt idx="8">
                  <c:v>13.9268</c:v>
                </c:pt>
                <c:pt idx="9">
                  <c:v>14.3598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53.94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53.935840000000006</c:v>
                </c:pt>
                <c:pt idx="1">
                  <c:v>53.935840000000006</c:v>
                </c:pt>
                <c:pt idx="2">
                  <c:v>0</c:v>
                </c:pt>
              </c:numCache>
            </c:numRef>
          </c:xVal>
          <c:yVal>
            <c:numRef>
              <c:f>'R2'!$I$5:$I$7</c:f>
              <c:numCache>
                <c:formatCode>0.0_ </c:formatCode>
                <c:ptCount val="3"/>
                <c:pt idx="0">
                  <c:v>0</c:v>
                </c:pt>
                <c:pt idx="1">
                  <c:v>57.035973277116689</c:v>
                </c:pt>
                <c:pt idx="2">
                  <c:v>57.035973277116689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35.420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35.420333333333339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1.06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1.0626100000000001</c:v>
                </c:pt>
                <c:pt idx="1">
                  <c:v>1.0626100000000001</c:v>
                </c:pt>
                <c:pt idx="2">
                  <c:v>0</c:v>
                </c:pt>
              </c:numCache>
            </c:numRef>
          </c:xVal>
          <c:yVal>
            <c:numRef>
              <c:f>'R3'!$I$6:$I$8</c:f>
              <c:numCache>
                <c:formatCode>0.0_ </c:formatCode>
                <c:ptCount val="3"/>
                <c:pt idx="0">
                  <c:v>0</c:v>
                </c:pt>
                <c:pt idx="1">
                  <c:v>12.007565559540772</c:v>
                </c:pt>
                <c:pt idx="2">
                  <c:v>12.007565559540772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-0.33432424800337945</c:v>
                </c:pt>
                <c:pt idx="1">
                  <c:v>-0.33432424800337945</c:v>
                </c:pt>
                <c:pt idx="2">
                  <c:v>-7</c:v>
                </c:pt>
              </c:numCache>
            </c:numRef>
          </c:xVal>
          <c:yVal>
            <c:numRef>
              <c:f>'R'!$I$5:$I$7</c:f>
              <c:numCache>
                <c:formatCode>0.0_ </c:formatCode>
                <c:ptCount val="3"/>
                <c:pt idx="0">
                  <c:v>0</c:v>
                </c:pt>
                <c:pt idx="1">
                  <c:v>54.962189260221386</c:v>
                </c:pt>
                <c:pt idx="2">
                  <c:v>54.962189260221386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-0.33432424800337945</c:v>
                </c:pt>
              </c:numCache>
            </c:numRef>
          </c:xVal>
          <c:yVal>
            <c:numRef>
              <c:f>'R'!$I$4</c:f>
              <c:numCache>
                <c:formatCode>0.00_ </c:formatCode>
                <c:ptCount val="1"/>
                <c:pt idx="0">
                  <c:v>54.962189260221386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0.35236000000000001</c:v>
                </c:pt>
                <c:pt idx="2">
                  <c:v>0.77512899999999996</c:v>
                </c:pt>
                <c:pt idx="3">
                  <c:v>1.19998</c:v>
                </c:pt>
                <c:pt idx="4">
                  <c:v>1.5962000000000001</c:v>
                </c:pt>
                <c:pt idx="5">
                  <c:v>1.97831</c:v>
                </c:pt>
                <c:pt idx="6">
                  <c:v>2.3844400000000001</c:v>
                </c:pt>
                <c:pt idx="7">
                  <c:v>2.7903699999999998</c:v>
                </c:pt>
                <c:pt idx="8">
                  <c:v>3.1917499999999999</c:v>
                </c:pt>
                <c:pt idx="9">
                  <c:v>3.60501</c:v>
                </c:pt>
                <c:pt idx="10">
                  <c:v>4.0054699999999999</c:v>
                </c:pt>
                <c:pt idx="11">
                  <c:v>4.4329200000000002</c:v>
                </c:pt>
                <c:pt idx="12">
                  <c:v>4.8232200000000001</c:v>
                </c:pt>
                <c:pt idx="13">
                  <c:v>5.23123</c:v>
                </c:pt>
                <c:pt idx="14">
                  <c:v>5.63863</c:v>
                </c:pt>
                <c:pt idx="15">
                  <c:v>6.0603400000000001</c:v>
                </c:pt>
                <c:pt idx="16">
                  <c:v>6.4853899999999998</c:v>
                </c:pt>
                <c:pt idx="17">
                  <c:v>6.8792499999999999</c:v>
                </c:pt>
                <c:pt idx="18">
                  <c:v>7.2854700000000001</c:v>
                </c:pt>
                <c:pt idx="19">
                  <c:v>7.6988700000000003</c:v>
                </c:pt>
                <c:pt idx="20">
                  <c:v>8.0975599999999996</c:v>
                </c:pt>
                <c:pt idx="21">
                  <c:v>8.5401100000000003</c:v>
                </c:pt>
                <c:pt idx="22">
                  <c:v>8.9253300000000007</c:v>
                </c:pt>
                <c:pt idx="23">
                  <c:v>9.3465500000000006</c:v>
                </c:pt>
                <c:pt idx="24">
                  <c:v>9.7440999999999995</c:v>
                </c:pt>
                <c:pt idx="25">
                  <c:v>10.146599999999999</c:v>
                </c:pt>
              </c:numCache>
            </c:numRef>
          </c:xVal>
          <c:yVal>
            <c:numRef>
              <c:f>FT!$J$2:$J$2000</c:f>
              <c:numCache>
                <c:formatCode>General</c:formatCode>
                <c:ptCount val="1999"/>
                <c:pt idx="0">
                  <c:v>1.68953</c:v>
                </c:pt>
                <c:pt idx="1">
                  <c:v>1.72295</c:v>
                </c:pt>
                <c:pt idx="2">
                  <c:v>1.7630100000000002</c:v>
                </c:pt>
                <c:pt idx="3">
                  <c:v>1.8008899999999999</c:v>
                </c:pt>
                <c:pt idx="4">
                  <c:v>1.8374599999999999</c:v>
                </c:pt>
                <c:pt idx="5">
                  <c:v>1.8750500000000001</c:v>
                </c:pt>
                <c:pt idx="6">
                  <c:v>1.91337</c:v>
                </c:pt>
                <c:pt idx="7">
                  <c:v>1.9496199999999999</c:v>
                </c:pt>
                <c:pt idx="8">
                  <c:v>1.9850999999999999</c:v>
                </c:pt>
                <c:pt idx="9">
                  <c:v>2.0225999999999997</c:v>
                </c:pt>
                <c:pt idx="10">
                  <c:v>2.0629900000000001</c:v>
                </c:pt>
                <c:pt idx="11">
                  <c:v>2.1038000000000001</c:v>
                </c:pt>
                <c:pt idx="12">
                  <c:v>2.1415000000000002</c:v>
                </c:pt>
                <c:pt idx="13">
                  <c:v>2.1764600000000001</c:v>
                </c:pt>
                <c:pt idx="14">
                  <c:v>2.2101500000000001</c:v>
                </c:pt>
                <c:pt idx="15">
                  <c:v>2.2454900000000002</c:v>
                </c:pt>
                <c:pt idx="16">
                  <c:v>2.2835000000000001</c:v>
                </c:pt>
                <c:pt idx="17">
                  <c:v>2.3230899999999997</c:v>
                </c:pt>
                <c:pt idx="18">
                  <c:v>2.3635299999999999</c:v>
                </c:pt>
                <c:pt idx="19">
                  <c:v>2.3832100000000001</c:v>
                </c:pt>
                <c:pt idx="20">
                  <c:v>2.4045199999999998</c:v>
                </c:pt>
                <c:pt idx="21">
                  <c:v>2.4282900000000001</c:v>
                </c:pt>
                <c:pt idx="22">
                  <c:v>2.4537300000000002</c:v>
                </c:pt>
                <c:pt idx="23">
                  <c:v>2.4790799999999997</c:v>
                </c:pt>
                <c:pt idx="24">
                  <c:v>2.50061</c:v>
                </c:pt>
                <c:pt idx="25">
                  <c:v>2.5216100000000004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1.68953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1.68953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1.68953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1.68953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1.68953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1.68953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1.68953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1.68953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1.68953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1.68953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1.68953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1.68953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1.68953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1.68953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1.68953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1.68953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1.68953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1.68953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1.68953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1.68953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1.68953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1.68953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1.68953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1.68953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0.35236000000000001</c:v>
                </c:pt>
                <c:pt idx="2">
                  <c:v>0.77512899999999996</c:v>
                </c:pt>
                <c:pt idx="3">
                  <c:v>1.19998</c:v>
                </c:pt>
                <c:pt idx="4">
                  <c:v>1.5962000000000001</c:v>
                </c:pt>
                <c:pt idx="5">
                  <c:v>1.97831</c:v>
                </c:pt>
                <c:pt idx="6">
                  <c:v>2.3844400000000001</c:v>
                </c:pt>
                <c:pt idx="7">
                  <c:v>2.7903699999999998</c:v>
                </c:pt>
                <c:pt idx="8">
                  <c:v>3.1917499999999999</c:v>
                </c:pt>
                <c:pt idx="9">
                  <c:v>3.60501</c:v>
                </c:pt>
                <c:pt idx="10">
                  <c:v>4.0054699999999999</c:v>
                </c:pt>
                <c:pt idx="11">
                  <c:v>4.4329200000000002</c:v>
                </c:pt>
                <c:pt idx="12">
                  <c:v>4.8232200000000001</c:v>
                </c:pt>
                <c:pt idx="13">
                  <c:v>5.23123</c:v>
                </c:pt>
                <c:pt idx="14">
                  <c:v>5.63863</c:v>
                </c:pt>
                <c:pt idx="15">
                  <c:v>6.0603400000000001</c:v>
                </c:pt>
                <c:pt idx="16">
                  <c:v>6.4853899999999998</c:v>
                </c:pt>
                <c:pt idx="17">
                  <c:v>6.8792499999999999</c:v>
                </c:pt>
                <c:pt idx="18">
                  <c:v>7.2854700000000001</c:v>
                </c:pt>
                <c:pt idx="19">
                  <c:v>7.6988700000000003</c:v>
                </c:pt>
                <c:pt idx="20">
                  <c:v>8.0975599999999996</c:v>
                </c:pt>
                <c:pt idx="21">
                  <c:v>8.5401100000000003</c:v>
                </c:pt>
                <c:pt idx="22">
                  <c:v>8.9253300000000007</c:v>
                </c:pt>
                <c:pt idx="23">
                  <c:v>9.3465500000000006</c:v>
                </c:pt>
                <c:pt idx="24">
                  <c:v>9.7440999999999995</c:v>
                </c:pt>
                <c:pt idx="25">
                  <c:v>10.146599999999999</c:v>
                </c:pt>
              </c:numCache>
            </c:numRef>
          </c:xVal>
          <c:yVal>
            <c:numRef>
              <c:f>FT!$K$2:$K$2000</c:f>
              <c:numCache>
                <c:formatCode>General</c:formatCode>
                <c:ptCount val="1999"/>
                <c:pt idx="0">
                  <c:v>64.014499999999998</c:v>
                </c:pt>
                <c:pt idx="1">
                  <c:v>63.063000000000002</c:v>
                </c:pt>
                <c:pt idx="2">
                  <c:v>61.763900000000007</c:v>
                </c:pt>
                <c:pt idx="3">
                  <c:v>60.544600000000003</c:v>
                </c:pt>
                <c:pt idx="4">
                  <c:v>59.319999999999993</c:v>
                </c:pt>
                <c:pt idx="5">
                  <c:v>57.972100000000005</c:v>
                </c:pt>
                <c:pt idx="6">
                  <c:v>56.527400000000007</c:v>
                </c:pt>
                <c:pt idx="7">
                  <c:v>55.203199999999995</c:v>
                </c:pt>
                <c:pt idx="8">
                  <c:v>53.889200000000002</c:v>
                </c:pt>
                <c:pt idx="9">
                  <c:v>52.520599999999995</c:v>
                </c:pt>
                <c:pt idx="10">
                  <c:v>51.0533</c:v>
                </c:pt>
                <c:pt idx="11">
                  <c:v>49.586999999999996</c:v>
                </c:pt>
                <c:pt idx="12">
                  <c:v>48.309200000000004</c:v>
                </c:pt>
                <c:pt idx="13">
                  <c:v>47.119199999999999</c:v>
                </c:pt>
                <c:pt idx="14">
                  <c:v>45.976399999999998</c:v>
                </c:pt>
                <c:pt idx="15">
                  <c:v>44.763500000000001</c:v>
                </c:pt>
                <c:pt idx="16">
                  <c:v>43.428100000000001</c:v>
                </c:pt>
                <c:pt idx="17">
                  <c:v>42.055700000000002</c:v>
                </c:pt>
                <c:pt idx="18">
                  <c:v>40.7057</c:v>
                </c:pt>
                <c:pt idx="19">
                  <c:v>40.1173</c:v>
                </c:pt>
                <c:pt idx="20">
                  <c:v>39.459699999999998</c:v>
                </c:pt>
                <c:pt idx="21">
                  <c:v>38.703700000000005</c:v>
                </c:pt>
                <c:pt idx="22">
                  <c:v>37.868299999999998</c:v>
                </c:pt>
                <c:pt idx="23">
                  <c:v>37.029499999999999</c:v>
                </c:pt>
                <c:pt idx="24">
                  <c:v>36.4193</c:v>
                </c:pt>
                <c:pt idx="25">
                  <c:v>35.696300000000001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64.014499999999998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64.014499999999998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64.014499999999998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64.014499999999998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64.014499999999998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64.014499999999998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64.014499999999998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64.014499999999998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64.014499999999998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64.014499999999998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64.014499999999998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64.014499999999998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64.014499999999998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64.014499999999998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64.014499999999998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64.014499999999998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64.014499999999998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64.014499999999998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64.014499999999998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64.014499999999998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64.014499999999998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64.014499999999998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64.014499999999998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64.014499999999998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0.35236000000000001</c:v>
                </c:pt>
                <c:pt idx="2">
                  <c:v>0.77512899999999996</c:v>
                </c:pt>
                <c:pt idx="3">
                  <c:v>1.19998</c:v>
                </c:pt>
                <c:pt idx="4">
                  <c:v>1.5962000000000001</c:v>
                </c:pt>
                <c:pt idx="5">
                  <c:v>1.97831</c:v>
                </c:pt>
                <c:pt idx="6">
                  <c:v>2.3844400000000001</c:v>
                </c:pt>
                <c:pt idx="7">
                  <c:v>2.7903699999999998</c:v>
                </c:pt>
                <c:pt idx="8">
                  <c:v>3.1917499999999999</c:v>
                </c:pt>
                <c:pt idx="9">
                  <c:v>3.60501</c:v>
                </c:pt>
                <c:pt idx="10">
                  <c:v>4.0054699999999999</c:v>
                </c:pt>
                <c:pt idx="11">
                  <c:v>4.4329200000000002</c:v>
                </c:pt>
                <c:pt idx="12">
                  <c:v>4.8232200000000001</c:v>
                </c:pt>
                <c:pt idx="13">
                  <c:v>5.23123</c:v>
                </c:pt>
                <c:pt idx="14">
                  <c:v>5.63863</c:v>
                </c:pt>
                <c:pt idx="15">
                  <c:v>6.0603400000000001</c:v>
                </c:pt>
                <c:pt idx="16">
                  <c:v>6.4853899999999998</c:v>
                </c:pt>
                <c:pt idx="17">
                  <c:v>6.8792499999999999</c:v>
                </c:pt>
                <c:pt idx="18">
                  <c:v>7.2854700000000001</c:v>
                </c:pt>
                <c:pt idx="19">
                  <c:v>7.6988700000000003</c:v>
                </c:pt>
                <c:pt idx="20">
                  <c:v>8.0975599999999996</c:v>
                </c:pt>
                <c:pt idx="21">
                  <c:v>8.5401100000000003</c:v>
                </c:pt>
                <c:pt idx="22">
                  <c:v>8.9253300000000007</c:v>
                </c:pt>
                <c:pt idx="23">
                  <c:v>9.3465500000000006</c:v>
                </c:pt>
                <c:pt idx="24">
                  <c:v>9.7440999999999995</c:v>
                </c:pt>
                <c:pt idx="25">
                  <c:v>10.146599999999999</c:v>
                </c:pt>
              </c:numCache>
            </c:numRef>
          </c:xVal>
          <c:yVal>
            <c:numRef>
              <c:f>FT!$L$2:$L$2000</c:f>
              <c:numCache>
                <c:formatCode>General</c:formatCode>
                <c:ptCount val="1999"/>
                <c:pt idx="0">
                  <c:v>37.888939527560922</c:v>
                </c:pt>
                <c:pt idx="1">
                  <c:v>36.601758611683451</c:v>
                </c:pt>
                <c:pt idx="2">
                  <c:v>35.033210248382026</c:v>
                </c:pt>
                <c:pt idx="3">
                  <c:v>33.61926602957427</c:v>
                </c:pt>
                <c:pt idx="4">
                  <c:v>32.283695971612985</c:v>
                </c:pt>
                <c:pt idx="5">
                  <c:v>30.917628863230316</c:v>
                </c:pt>
                <c:pt idx="6">
                  <c:v>29.543371120065647</c:v>
                </c:pt>
                <c:pt idx="7">
                  <c:v>28.314851099188559</c:v>
                </c:pt>
                <c:pt idx="8">
                  <c:v>27.146843987708429</c:v>
                </c:pt>
                <c:pt idx="9">
                  <c:v>25.966874320181944</c:v>
                </c:pt>
                <c:pt idx="10">
                  <c:v>24.747235808220108</c:v>
                </c:pt>
                <c:pt idx="11">
                  <c:v>23.570206293373893</c:v>
                </c:pt>
                <c:pt idx="12">
                  <c:v>22.55858043427504</c:v>
                </c:pt>
                <c:pt idx="13">
                  <c:v>21.649467483895865</c:v>
                </c:pt>
                <c:pt idx="14">
                  <c:v>20.802388978123656</c:v>
                </c:pt>
                <c:pt idx="15">
                  <c:v>19.934847182574849</c:v>
                </c:pt>
                <c:pt idx="16">
                  <c:v>19.018217648346834</c:v>
                </c:pt>
                <c:pt idx="17">
                  <c:v>18.103345113620225</c:v>
                </c:pt>
                <c:pt idx="18">
                  <c:v>17.222417316471549</c:v>
                </c:pt>
                <c:pt idx="19">
                  <c:v>16.833304660520895</c:v>
                </c:pt>
                <c:pt idx="20">
                  <c:v>16.410634970804985</c:v>
                </c:pt>
                <c:pt idx="21">
                  <c:v>15.938664657022022</c:v>
                </c:pt>
                <c:pt idx="22">
                  <c:v>15.432953095898895</c:v>
                </c:pt>
                <c:pt idx="23">
                  <c:v>14.936791067654131</c:v>
                </c:pt>
                <c:pt idx="24">
                  <c:v>14.564166343412207</c:v>
                </c:pt>
                <c:pt idx="25">
                  <c:v>14.156154203068672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9.5684107573369551E-2</c:v>
                </c:pt>
                <c:pt idx="7">
                  <c:v>0</c:v>
                </c:pt>
                <c:pt idx="8">
                  <c:v>0.30472268771453315</c:v>
                </c:pt>
                <c:pt idx="9">
                  <c:v>0</c:v>
                </c:pt>
                <c:pt idx="10">
                  <c:v>0</c:v>
                </c:pt>
                <c:pt idx="11">
                  <c:v>0.24796384318758061</c:v>
                </c:pt>
                <c:pt idx="12">
                  <c:v>0</c:v>
                </c:pt>
                <c:pt idx="13">
                  <c:v>0.36376220230122791</c:v>
                </c:pt>
                <c:pt idx="14">
                  <c:v>0</c:v>
                </c:pt>
                <c:pt idx="15">
                  <c:v>0</c:v>
                </c:pt>
                <c:pt idx="16">
                  <c:v>0.33175868878603071</c:v>
                </c:pt>
                <c:pt idx="17">
                  <c:v>0</c:v>
                </c:pt>
                <c:pt idx="18">
                  <c:v>0</c:v>
                </c:pt>
                <c:pt idx="19">
                  <c:v>0.29161241691221818</c:v>
                </c:pt>
                <c:pt idx="20">
                  <c:v>0</c:v>
                </c:pt>
                <c:pt idx="21">
                  <c:v>0.38949496333858702</c:v>
                </c:pt>
                <c:pt idx="22">
                  <c:v>0</c:v>
                </c:pt>
                <c:pt idx="23">
                  <c:v>0</c:v>
                </c:pt>
                <c:pt idx="24">
                  <c:v>0.42801280813341391</c:v>
                </c:pt>
                <c:pt idx="25">
                  <c:v>0</c:v>
                </c:pt>
                <c:pt idx="26">
                  <c:v>0.51856618677697286</c:v>
                </c:pt>
                <c:pt idx="27">
                  <c:v>0</c:v>
                </c:pt>
                <c:pt idx="28">
                  <c:v>0</c:v>
                </c:pt>
                <c:pt idx="29">
                  <c:v>0.59340343751362734</c:v>
                </c:pt>
                <c:pt idx="30">
                  <c:v>0</c:v>
                </c:pt>
                <c:pt idx="31">
                  <c:v>0.76929785762787894</c:v>
                </c:pt>
                <c:pt idx="32">
                  <c:v>0</c:v>
                </c:pt>
                <c:pt idx="33">
                  <c:v>0</c:v>
                </c:pt>
                <c:pt idx="34">
                  <c:v>1</c:v>
                </c:pt>
                <c:pt idx="35">
                  <c:v>0</c:v>
                </c:pt>
                <c:pt idx="36">
                  <c:v>0</c:v>
                </c:pt>
                <c:pt idx="37">
                  <c:v>0.91824224565950063</c:v>
                </c:pt>
                <c:pt idx="38">
                  <c:v>0</c:v>
                </c:pt>
                <c:pt idx="39">
                  <c:v>0.71449574204319644</c:v>
                </c:pt>
                <c:pt idx="40">
                  <c:v>0</c:v>
                </c:pt>
                <c:pt idx="41">
                  <c:v>0</c:v>
                </c:pt>
                <c:pt idx="42">
                  <c:v>0.70105841530497193</c:v>
                </c:pt>
                <c:pt idx="43">
                  <c:v>0</c:v>
                </c:pt>
                <c:pt idx="44">
                  <c:v>0.63379702597135612</c:v>
                </c:pt>
                <c:pt idx="45">
                  <c:v>0</c:v>
                </c:pt>
                <c:pt idx="46">
                  <c:v>0</c:v>
                </c:pt>
                <c:pt idx="47">
                  <c:v>0.73949527482043076</c:v>
                </c:pt>
                <c:pt idx="48">
                  <c:v>0</c:v>
                </c:pt>
                <c:pt idx="49">
                  <c:v>0.76848177519732386</c:v>
                </c:pt>
                <c:pt idx="50">
                  <c:v>0</c:v>
                </c:pt>
                <c:pt idx="51">
                  <c:v>0</c:v>
                </c:pt>
                <c:pt idx="52">
                  <c:v>0.6707636911844409</c:v>
                </c:pt>
                <c:pt idx="53">
                  <c:v>0</c:v>
                </c:pt>
                <c:pt idx="54">
                  <c:v>0</c:v>
                </c:pt>
                <c:pt idx="55">
                  <c:v>0.65659749693190383</c:v>
                </c:pt>
                <c:pt idx="56">
                  <c:v>0</c:v>
                </c:pt>
                <c:pt idx="57">
                  <c:v>0.63476884932377298</c:v>
                </c:pt>
                <c:pt idx="58">
                  <c:v>0</c:v>
                </c:pt>
                <c:pt idx="59">
                  <c:v>0</c:v>
                </c:pt>
                <c:pt idx="60">
                  <c:v>0.62011362857659036</c:v>
                </c:pt>
                <c:pt idx="61">
                  <c:v>0</c:v>
                </c:pt>
                <c:pt idx="62">
                  <c:v>0.67915501205434736</c:v>
                </c:pt>
                <c:pt idx="63">
                  <c:v>0</c:v>
                </c:pt>
                <c:pt idx="64">
                  <c:v>0</c:v>
                </c:pt>
                <c:pt idx="65">
                  <c:v>0.69511534172673084</c:v>
                </c:pt>
                <c:pt idx="66">
                  <c:v>0</c:v>
                </c:pt>
                <c:pt idx="67">
                  <c:v>0.56139992399843019</c:v>
                </c:pt>
                <c:pt idx="68">
                  <c:v>0</c:v>
                </c:pt>
                <c:pt idx="69">
                  <c:v>0</c:v>
                </c:pt>
                <c:pt idx="70">
                  <c:v>0.64242507304249241</c:v>
                </c:pt>
                <c:pt idx="71">
                  <c:v>0</c:v>
                </c:pt>
                <c:pt idx="72">
                  <c:v>0</c:v>
                </c:pt>
                <c:pt idx="73">
                  <c:v>0.54210050896133266</c:v>
                </c:pt>
                <c:pt idx="74">
                  <c:v>0</c:v>
                </c:pt>
                <c:pt idx="75">
                  <c:v>0.50203522236688836</c:v>
                </c:pt>
                <c:pt idx="76">
                  <c:v>0</c:v>
                </c:pt>
                <c:pt idx="77">
                  <c:v>0</c:v>
                </c:pt>
                <c:pt idx="78">
                  <c:v>0.61620453143786258</c:v>
                </c:pt>
                <c:pt idx="79">
                  <c:v>0</c:v>
                </c:pt>
                <c:pt idx="80">
                  <c:v>0.52174205565557585</c:v>
                </c:pt>
                <c:pt idx="81">
                  <c:v>0</c:v>
                </c:pt>
                <c:pt idx="82">
                  <c:v>0</c:v>
                </c:pt>
                <c:pt idx="83">
                  <c:v>0.50415267594051949</c:v>
                </c:pt>
                <c:pt idx="84">
                  <c:v>0</c:v>
                </c:pt>
                <c:pt idx="85">
                  <c:v>0</c:v>
                </c:pt>
                <c:pt idx="86">
                  <c:v>0.43501616590768927</c:v>
                </c:pt>
                <c:pt idx="87">
                  <c:v>0</c:v>
                </c:pt>
                <c:pt idx="88">
                  <c:v>0.296905116400765</c:v>
                </c:pt>
                <c:pt idx="89">
                  <c:v>0</c:v>
                </c:pt>
                <c:pt idx="90">
                  <c:v>0</c:v>
                </c:pt>
                <c:pt idx="91">
                  <c:v>0.22247528391570057</c:v>
                </c:pt>
                <c:pt idx="92">
                  <c:v>0</c:v>
                </c:pt>
                <c:pt idx="93">
                  <c:v>0.23688879475215391</c:v>
                </c:pt>
                <c:pt idx="94">
                  <c:v>0</c:v>
                </c:pt>
                <c:pt idx="95">
                  <c:v>0</c:v>
                </c:pt>
                <c:pt idx="96">
                  <c:v>0.20960921487886472</c:v>
                </c:pt>
                <c:pt idx="97">
                  <c:v>0</c:v>
                </c:pt>
                <c:pt idx="98">
                  <c:v>0.19576509285273763</c:v>
                </c:pt>
                <c:pt idx="99">
                  <c:v>0</c:v>
                </c:pt>
                <c:pt idx="100">
                  <c:v>0</c:v>
                </c:pt>
                <c:pt idx="101">
                  <c:v>0.17589566604162643</c:v>
                </c:pt>
                <c:pt idx="102">
                  <c:v>0</c:v>
                </c:pt>
                <c:pt idx="103">
                  <c:v>0</c:v>
                </c:pt>
                <c:pt idx="104">
                  <c:v>0.15618883275293885</c:v>
                </c:pt>
                <c:pt idx="105">
                  <c:v>0</c:v>
                </c:pt>
                <c:pt idx="106">
                  <c:v>0.18884334332151778</c:v>
                </c:pt>
                <c:pt idx="107">
                  <c:v>0</c:v>
                </c:pt>
                <c:pt idx="108">
                  <c:v>0</c:v>
                </c:pt>
                <c:pt idx="109">
                  <c:v>0.17719828311207741</c:v>
                </c:pt>
                <c:pt idx="110">
                  <c:v>0</c:v>
                </c:pt>
                <c:pt idx="111">
                  <c:v>0.20757336954828906</c:v>
                </c:pt>
                <c:pt idx="112">
                  <c:v>0</c:v>
                </c:pt>
                <c:pt idx="113">
                  <c:v>0</c:v>
                </c:pt>
                <c:pt idx="114">
                  <c:v>8.957657158164252E-2</c:v>
                </c:pt>
                <c:pt idx="115">
                  <c:v>0</c:v>
                </c:pt>
                <c:pt idx="116">
                  <c:v>0.12377852394983897</c:v>
                </c:pt>
                <c:pt idx="117">
                  <c:v>0</c:v>
                </c:pt>
                <c:pt idx="118">
                  <c:v>0</c:v>
                </c:pt>
                <c:pt idx="119">
                  <c:v>5.6840328177270548E-2</c:v>
                </c:pt>
                <c:pt idx="120">
                  <c:v>0</c:v>
                </c:pt>
                <c:pt idx="121">
                  <c:v>0</c:v>
                </c:pt>
                <c:pt idx="122">
                  <c:v>7.2393987154488776E-2</c:v>
                </c:pt>
                <c:pt idx="123">
                  <c:v>0</c:v>
                </c:pt>
                <c:pt idx="124">
                  <c:v>3.7622147605016101E-2</c:v>
                </c:pt>
                <c:pt idx="125">
                  <c:v>0</c:v>
                </c:pt>
                <c:pt idx="126">
                  <c:v>0</c:v>
                </c:pt>
                <c:pt idx="127">
                  <c:v>3.5097711854376011E-2</c:v>
                </c:pt>
                <c:pt idx="128">
                  <c:v>0</c:v>
                </c:pt>
                <c:pt idx="129">
                  <c:v>1.8322483382443636E-2</c:v>
                </c:pt>
                <c:pt idx="130">
                  <c:v>0</c:v>
                </c:pt>
                <c:pt idx="131">
                  <c:v>0</c:v>
                </c:pt>
                <c:pt idx="132">
                  <c:v>3.6644904468518531E-3</c:v>
                </c:pt>
                <c:pt idx="133">
                  <c:v>0</c:v>
                </c:pt>
                <c:pt idx="134">
                  <c:v>3.6644904468518531E-3</c:v>
                </c:pt>
                <c:pt idx="135">
                  <c:v>0</c:v>
                </c:pt>
                <c:pt idx="136">
                  <c:v>0</c:v>
                </c:pt>
                <c:pt idx="137">
                  <c:v>2.2475533101175532E-2</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0.93836093933971443</c:v>
                </c:pt>
                <c:pt idx="4">
                  <c:v>0</c:v>
                </c:pt>
                <c:pt idx="5">
                  <c:v>0</c:v>
                </c:pt>
                <c:pt idx="6">
                  <c:v>1</c:v>
                </c:pt>
                <c:pt idx="7">
                  <c:v>0</c:v>
                </c:pt>
                <c:pt idx="8">
                  <c:v>0.68995337072643448</c:v>
                </c:pt>
                <c:pt idx="9">
                  <c:v>0</c:v>
                </c:pt>
                <c:pt idx="10">
                  <c:v>0</c:v>
                </c:pt>
                <c:pt idx="11">
                  <c:v>0.50651999408997339</c:v>
                </c:pt>
                <c:pt idx="12">
                  <c:v>0</c:v>
                </c:pt>
                <c:pt idx="13">
                  <c:v>0.33027535507935413</c:v>
                </c:pt>
                <c:pt idx="14">
                  <c:v>0</c:v>
                </c:pt>
                <c:pt idx="15">
                  <c:v>0</c:v>
                </c:pt>
                <c:pt idx="16">
                  <c:v>0.24382690791659359</c:v>
                </c:pt>
                <c:pt idx="17">
                  <c:v>0</c:v>
                </c:pt>
                <c:pt idx="18">
                  <c:v>0</c:v>
                </c:pt>
                <c:pt idx="19">
                  <c:v>0.198383374126097</c:v>
                </c:pt>
                <c:pt idx="20">
                  <c:v>0</c:v>
                </c:pt>
                <c:pt idx="21">
                  <c:v>0.16348468999395094</c:v>
                </c:pt>
                <c:pt idx="22">
                  <c:v>0</c:v>
                </c:pt>
                <c:pt idx="23">
                  <c:v>0</c:v>
                </c:pt>
                <c:pt idx="24">
                  <c:v>0.13094323182581369</c:v>
                </c:pt>
                <c:pt idx="25">
                  <c:v>0</c:v>
                </c:pt>
                <c:pt idx="26">
                  <c:v>0.11621471805410785</c:v>
                </c:pt>
                <c:pt idx="27">
                  <c:v>0</c:v>
                </c:pt>
                <c:pt idx="28">
                  <c:v>0</c:v>
                </c:pt>
                <c:pt idx="29">
                  <c:v>9.3273542491930414E-2</c:v>
                </c:pt>
                <c:pt idx="30">
                  <c:v>0</c:v>
                </c:pt>
                <c:pt idx="31">
                  <c:v>7.9071660038274871E-2</c:v>
                </c:pt>
                <c:pt idx="32">
                  <c:v>0</c:v>
                </c:pt>
                <c:pt idx="33">
                  <c:v>0</c:v>
                </c:pt>
                <c:pt idx="34">
                  <c:v>6.5279358760769568E-2</c:v>
                </c:pt>
                <c:pt idx="35">
                  <c:v>0</c:v>
                </c:pt>
                <c:pt idx="36">
                  <c:v>0</c:v>
                </c:pt>
                <c:pt idx="37">
                  <c:v>5.4266417243191666E-2</c:v>
                </c:pt>
                <c:pt idx="38">
                  <c:v>0</c:v>
                </c:pt>
                <c:pt idx="39">
                  <c:v>4.7600141649567773E-2</c:v>
                </c:pt>
                <c:pt idx="40">
                  <c:v>0</c:v>
                </c:pt>
                <c:pt idx="41">
                  <c:v>0</c:v>
                </c:pt>
                <c:pt idx="42">
                  <c:v>4.0022739617449545E-2</c:v>
                </c:pt>
                <c:pt idx="43">
                  <c:v>0</c:v>
                </c:pt>
                <c:pt idx="44">
                  <c:v>3.5279022755978058E-2</c:v>
                </c:pt>
                <c:pt idx="45">
                  <c:v>0</c:v>
                </c:pt>
                <c:pt idx="46">
                  <c:v>0</c:v>
                </c:pt>
                <c:pt idx="47">
                  <c:v>3.5550688177235779E-2</c:v>
                </c:pt>
                <c:pt idx="48">
                  <c:v>0</c:v>
                </c:pt>
                <c:pt idx="49">
                  <c:v>3.0113181690503251E-2</c:v>
                </c:pt>
                <c:pt idx="50">
                  <c:v>0</c:v>
                </c:pt>
                <c:pt idx="51">
                  <c:v>0</c:v>
                </c:pt>
                <c:pt idx="52">
                  <c:v>2.3768724445718949E-2</c:v>
                </c:pt>
                <c:pt idx="53">
                  <c:v>0</c:v>
                </c:pt>
                <c:pt idx="54">
                  <c:v>0</c:v>
                </c:pt>
                <c:pt idx="55">
                  <c:v>2.1520162092369139E-2</c:v>
                </c:pt>
                <c:pt idx="56">
                  <c:v>0</c:v>
                </c:pt>
                <c:pt idx="57">
                  <c:v>2.0546342895744925E-2</c:v>
                </c:pt>
                <c:pt idx="58">
                  <c:v>0</c:v>
                </c:pt>
                <c:pt idx="59">
                  <c:v>0</c:v>
                </c:pt>
                <c:pt idx="60">
                  <c:v>1.7884010896581995E-2</c:v>
                </c:pt>
                <c:pt idx="61">
                  <c:v>0</c:v>
                </c:pt>
                <c:pt idx="62">
                  <c:v>1.6496422054144654E-2</c:v>
                </c:pt>
                <c:pt idx="63">
                  <c:v>0</c:v>
                </c:pt>
                <c:pt idx="64">
                  <c:v>0</c:v>
                </c:pt>
                <c:pt idx="65">
                  <c:v>1.5489165440929138E-2</c:v>
                </c:pt>
                <c:pt idx="66">
                  <c:v>0</c:v>
                </c:pt>
                <c:pt idx="67">
                  <c:v>1.3470476534055552E-2</c:v>
                </c:pt>
                <c:pt idx="68">
                  <c:v>0</c:v>
                </c:pt>
                <c:pt idx="69">
                  <c:v>0</c:v>
                </c:pt>
                <c:pt idx="70">
                  <c:v>1.2885350519453527E-2</c:v>
                </c:pt>
                <c:pt idx="71">
                  <c:v>0</c:v>
                </c:pt>
                <c:pt idx="72">
                  <c:v>0</c:v>
                </c:pt>
                <c:pt idx="73">
                  <c:v>1.1727631926187322E-2</c:v>
                </c:pt>
                <c:pt idx="74">
                  <c:v>0</c:v>
                </c:pt>
                <c:pt idx="75">
                  <c:v>1.1184297886366799E-2</c:v>
                </c:pt>
                <c:pt idx="76">
                  <c:v>0</c:v>
                </c:pt>
                <c:pt idx="77">
                  <c:v>0</c:v>
                </c:pt>
                <c:pt idx="78">
                  <c:v>1.0273171447872462E-2</c:v>
                </c:pt>
                <c:pt idx="79">
                  <c:v>0</c:v>
                </c:pt>
                <c:pt idx="80">
                  <c:v>9.2742757874573149E-3</c:v>
                </c:pt>
                <c:pt idx="81">
                  <c:v>0</c:v>
                </c:pt>
                <c:pt idx="82">
                  <c:v>0</c:v>
                </c:pt>
                <c:pt idx="83">
                  <c:v>8.4341998625881414E-3</c:v>
                </c:pt>
                <c:pt idx="84">
                  <c:v>0</c:v>
                </c:pt>
                <c:pt idx="85">
                  <c:v>0</c:v>
                </c:pt>
                <c:pt idx="86">
                  <c:v>7.9911716779313535E-3</c:v>
                </c:pt>
                <c:pt idx="87">
                  <c:v>0</c:v>
                </c:pt>
                <c:pt idx="88">
                  <c:v>6.3987890501138152E-3</c:v>
                </c:pt>
                <c:pt idx="89">
                  <c:v>0</c:v>
                </c:pt>
                <c:pt idx="90">
                  <c:v>0</c:v>
                </c:pt>
                <c:pt idx="91">
                  <c:v>6.3778914640705226E-3</c:v>
                </c:pt>
                <c:pt idx="92">
                  <c:v>0</c:v>
                </c:pt>
                <c:pt idx="93">
                  <c:v>4.5013035844472553E-3</c:v>
                </c:pt>
                <c:pt idx="94">
                  <c:v>0</c:v>
                </c:pt>
                <c:pt idx="95">
                  <c:v>0</c:v>
                </c:pt>
                <c:pt idx="96">
                  <c:v>3.677946367873732E-3</c:v>
                </c:pt>
                <c:pt idx="97">
                  <c:v>0</c:v>
                </c:pt>
                <c:pt idx="98">
                  <c:v>2.8002541486656122E-3</c:v>
                </c:pt>
                <c:pt idx="99">
                  <c:v>0</c:v>
                </c:pt>
                <c:pt idx="100">
                  <c:v>0</c:v>
                </c:pt>
                <c:pt idx="101">
                  <c:v>2.1315377898904202E-3</c:v>
                </c:pt>
                <c:pt idx="102">
                  <c:v>0</c:v>
                </c:pt>
                <c:pt idx="103">
                  <c:v>0</c:v>
                </c:pt>
                <c:pt idx="104">
                  <c:v>1.4084864284806319E-3</c:v>
                </c:pt>
                <c:pt idx="105">
                  <c:v>0</c:v>
                </c:pt>
                <c:pt idx="106">
                  <c:v>1.1409998849705549E-3</c:v>
                </c:pt>
                <c:pt idx="107">
                  <c:v>0</c:v>
                </c:pt>
                <c:pt idx="108">
                  <c:v>0</c:v>
                </c:pt>
                <c:pt idx="109">
                  <c:v>8.4425480261681644E-4</c:v>
                </c:pt>
                <c:pt idx="110">
                  <c:v>0</c:v>
                </c:pt>
                <c:pt idx="111">
                  <c:v>7.0215377536649536E-4</c:v>
                </c:pt>
                <c:pt idx="112">
                  <c:v>0</c:v>
                </c:pt>
                <c:pt idx="113">
                  <c:v>0</c:v>
                </c:pt>
                <c:pt idx="114">
                  <c:v>3.3017930163995498E-4</c:v>
                </c:pt>
                <c:pt idx="115">
                  <c:v>0</c:v>
                </c:pt>
                <c:pt idx="116">
                  <c:v>2.4658895746678441E-4</c:v>
                </c:pt>
                <c:pt idx="117">
                  <c:v>0</c:v>
                </c:pt>
                <c:pt idx="118">
                  <c:v>0</c:v>
                </c:pt>
                <c:pt idx="119">
                  <c:v>1.6718068834634125E-4</c:v>
                </c:pt>
                <c:pt idx="120">
                  <c:v>0</c:v>
                </c:pt>
                <c:pt idx="121">
                  <c:v>0</c:v>
                </c:pt>
                <c:pt idx="122">
                  <c:v>1.5881973554597248E-4</c:v>
                </c:pt>
                <c:pt idx="123">
                  <c:v>0</c:v>
                </c:pt>
                <c:pt idx="124">
                  <c:v>7.9411466425529333E-5</c:v>
                </c:pt>
                <c:pt idx="125">
                  <c:v>0</c:v>
                </c:pt>
                <c:pt idx="126">
                  <c:v>0</c:v>
                </c:pt>
                <c:pt idx="127">
                  <c:v>5.43318053295092E-5</c:v>
                </c:pt>
                <c:pt idx="128">
                  <c:v>0</c:v>
                </c:pt>
                <c:pt idx="129">
                  <c:v>2.9255341538575244E-5</c:v>
                </c:pt>
                <c:pt idx="130">
                  <c:v>0</c:v>
                </c:pt>
                <c:pt idx="131">
                  <c:v>0</c:v>
                </c:pt>
                <c:pt idx="132">
                  <c:v>4.1788777476412943E-6</c:v>
                </c:pt>
                <c:pt idx="133">
                  <c:v>0</c:v>
                </c:pt>
                <c:pt idx="134">
                  <c:v>4.1788777476412943E-6</c:v>
                </c:pt>
                <c:pt idx="135">
                  <c:v>0</c:v>
                </c:pt>
                <c:pt idx="136">
                  <c:v>0</c:v>
                </c:pt>
                <c:pt idx="137">
                  <c:v>2.5076463790933947E-5</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(47.8 , 12)
지친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47.783580907560264</c:v>
                </c:pt>
              </c:numCache>
            </c:numRef>
          </c:xVal>
          <c:yVal>
            <c:numRef>
              <c:f>info!$W$20:$W$21</c:f>
              <c:numCache>
                <c:formatCode>General</c:formatCode>
                <c:ptCount val="2"/>
                <c:pt idx="0">
                  <c:v>50</c:v>
                </c:pt>
                <c:pt idx="1">
                  <c:v>12.007565559540772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60.726500000000009</c:v>
                      </c:pt>
                    </c:numCache>
                  </c:numRef>
                </c:xVal>
                <c:yVal>
                  <c:numRef>
                    <c:extLst>
                      <c:ext uri="{02D57815-91ED-43cb-92C2-25804820EDAC}">
                        <c15:formulaRef>
                          <c15:sqref>info!$W$18</c15:sqref>
                        </c15:formulaRef>
                      </c:ext>
                    </c:extLst>
                    <c:numCache>
                      <c:formatCode>General</c:formatCode>
                      <c:ptCount val="1"/>
                      <c:pt idx="0">
                        <c:v>26.750600000000006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(47.8 , 12)
지친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47.783580907560264</c:v>
                </c:pt>
              </c:numCache>
            </c:numRef>
          </c:xVal>
          <c:yVal>
            <c:numRef>
              <c:f>info!$W$20:$W$21</c:f>
              <c:numCache>
                <c:formatCode>General</c:formatCode>
                <c:ptCount val="2"/>
                <c:pt idx="0">
                  <c:v>50</c:v>
                </c:pt>
                <c:pt idx="1">
                  <c:v>12.007565559540772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25.583400000000001</c:v>
                </c:pt>
                <c:pt idx="1">
                  <c:v>39.966099999999997</c:v>
                </c:pt>
                <c:pt idx="2">
                  <c:v>35.196800000000003</c:v>
                </c:pt>
                <c:pt idx="3">
                  <c:v>32.251399999999997</c:v>
                </c:pt>
                <c:pt idx="4">
                  <c:v>74.331500000000005</c:v>
                </c:pt>
                <c:pt idx="5">
                  <c:v>66.790400000000005</c:v>
                </c:pt>
                <c:pt idx="6">
                  <c:v>10.7736</c:v>
                </c:pt>
                <c:pt idx="7">
                  <c:v>70.715299999999999</c:v>
                </c:pt>
                <c:pt idx="8">
                  <c:v>13.9268</c:v>
                </c:pt>
                <c:pt idx="9">
                  <c:v>14.3598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0.54007929027416801</c:v>
                </c:pt>
                <c:pt idx="1">
                  <c:v>0.32266764875781728</c:v>
                </c:pt>
                <c:pt idx="2">
                  <c:v>0.13725306096801487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9.5684107573369551E-2</c:v>
                </c:pt>
                <c:pt idx="7">
                  <c:v>0</c:v>
                </c:pt>
                <c:pt idx="8">
                  <c:v>0.30472268771453315</c:v>
                </c:pt>
                <c:pt idx="9">
                  <c:v>0</c:v>
                </c:pt>
                <c:pt idx="10">
                  <c:v>0</c:v>
                </c:pt>
                <c:pt idx="11">
                  <c:v>0.24796384318758061</c:v>
                </c:pt>
                <c:pt idx="12">
                  <c:v>0</c:v>
                </c:pt>
                <c:pt idx="13">
                  <c:v>0.36376220230122791</c:v>
                </c:pt>
                <c:pt idx="14">
                  <c:v>0</c:v>
                </c:pt>
                <c:pt idx="15">
                  <c:v>0</c:v>
                </c:pt>
                <c:pt idx="16">
                  <c:v>0.33175868878603071</c:v>
                </c:pt>
                <c:pt idx="17">
                  <c:v>0</c:v>
                </c:pt>
                <c:pt idx="18">
                  <c:v>0</c:v>
                </c:pt>
                <c:pt idx="19">
                  <c:v>0.29161241691221818</c:v>
                </c:pt>
                <c:pt idx="20">
                  <c:v>0</c:v>
                </c:pt>
                <c:pt idx="21">
                  <c:v>0.38949496333858702</c:v>
                </c:pt>
                <c:pt idx="22">
                  <c:v>0</c:v>
                </c:pt>
                <c:pt idx="23">
                  <c:v>0</c:v>
                </c:pt>
                <c:pt idx="24">
                  <c:v>0.42801280813341391</c:v>
                </c:pt>
                <c:pt idx="25">
                  <c:v>0</c:v>
                </c:pt>
                <c:pt idx="26">
                  <c:v>0.51856618677697286</c:v>
                </c:pt>
                <c:pt idx="27">
                  <c:v>0</c:v>
                </c:pt>
                <c:pt idx="28">
                  <c:v>0</c:v>
                </c:pt>
                <c:pt idx="29">
                  <c:v>0.59340343751362734</c:v>
                </c:pt>
                <c:pt idx="30">
                  <c:v>0</c:v>
                </c:pt>
                <c:pt idx="31">
                  <c:v>0.76929785762787894</c:v>
                </c:pt>
                <c:pt idx="32">
                  <c:v>0</c:v>
                </c:pt>
                <c:pt idx="33">
                  <c:v>0</c:v>
                </c:pt>
                <c:pt idx="34">
                  <c:v>1</c:v>
                </c:pt>
                <c:pt idx="35">
                  <c:v>0</c:v>
                </c:pt>
                <c:pt idx="36">
                  <c:v>0</c:v>
                </c:pt>
                <c:pt idx="37">
                  <c:v>0.91824224565950063</c:v>
                </c:pt>
                <c:pt idx="38">
                  <c:v>0</c:v>
                </c:pt>
                <c:pt idx="39">
                  <c:v>0.71449574204319644</c:v>
                </c:pt>
                <c:pt idx="40">
                  <c:v>0</c:v>
                </c:pt>
                <c:pt idx="41">
                  <c:v>0</c:v>
                </c:pt>
                <c:pt idx="42">
                  <c:v>0.70105841530497193</c:v>
                </c:pt>
                <c:pt idx="43">
                  <c:v>0</c:v>
                </c:pt>
                <c:pt idx="44">
                  <c:v>0.63379702597135612</c:v>
                </c:pt>
                <c:pt idx="45">
                  <c:v>0</c:v>
                </c:pt>
                <c:pt idx="46">
                  <c:v>0</c:v>
                </c:pt>
                <c:pt idx="47">
                  <c:v>0.73949527482043076</c:v>
                </c:pt>
                <c:pt idx="48">
                  <c:v>0</c:v>
                </c:pt>
                <c:pt idx="49">
                  <c:v>0.76848177519732386</c:v>
                </c:pt>
                <c:pt idx="50">
                  <c:v>0</c:v>
                </c:pt>
                <c:pt idx="51">
                  <c:v>0</c:v>
                </c:pt>
                <c:pt idx="52">
                  <c:v>0.6707636911844409</c:v>
                </c:pt>
                <c:pt idx="53">
                  <c:v>0</c:v>
                </c:pt>
                <c:pt idx="54">
                  <c:v>0</c:v>
                </c:pt>
                <c:pt idx="55">
                  <c:v>0.65659749693190383</c:v>
                </c:pt>
                <c:pt idx="56">
                  <c:v>0</c:v>
                </c:pt>
                <c:pt idx="57">
                  <c:v>0.63476884932377298</c:v>
                </c:pt>
                <c:pt idx="58">
                  <c:v>0</c:v>
                </c:pt>
                <c:pt idx="59">
                  <c:v>0</c:v>
                </c:pt>
                <c:pt idx="60">
                  <c:v>0.62011362857659036</c:v>
                </c:pt>
                <c:pt idx="61">
                  <c:v>0</c:v>
                </c:pt>
                <c:pt idx="62">
                  <c:v>0.67915501205434736</c:v>
                </c:pt>
                <c:pt idx="63">
                  <c:v>0</c:v>
                </c:pt>
                <c:pt idx="64">
                  <c:v>0</c:v>
                </c:pt>
                <c:pt idx="65">
                  <c:v>0.69511534172673084</c:v>
                </c:pt>
                <c:pt idx="66">
                  <c:v>0</c:v>
                </c:pt>
                <c:pt idx="67">
                  <c:v>0.56139992399843019</c:v>
                </c:pt>
                <c:pt idx="68">
                  <c:v>0</c:v>
                </c:pt>
                <c:pt idx="69">
                  <c:v>0</c:v>
                </c:pt>
                <c:pt idx="70">
                  <c:v>0.64242507304249241</c:v>
                </c:pt>
                <c:pt idx="71">
                  <c:v>0</c:v>
                </c:pt>
                <c:pt idx="72">
                  <c:v>0</c:v>
                </c:pt>
                <c:pt idx="73">
                  <c:v>0.54210050896133266</c:v>
                </c:pt>
                <c:pt idx="74">
                  <c:v>0</c:v>
                </c:pt>
                <c:pt idx="75">
                  <c:v>0.50203522236688836</c:v>
                </c:pt>
                <c:pt idx="76">
                  <c:v>0</c:v>
                </c:pt>
                <c:pt idx="77">
                  <c:v>0</c:v>
                </c:pt>
                <c:pt idx="78">
                  <c:v>0.61620453143786258</c:v>
                </c:pt>
                <c:pt idx="79">
                  <c:v>0</c:v>
                </c:pt>
                <c:pt idx="80">
                  <c:v>0.52174205565557585</c:v>
                </c:pt>
                <c:pt idx="81">
                  <c:v>0</c:v>
                </c:pt>
                <c:pt idx="82">
                  <c:v>0</c:v>
                </c:pt>
                <c:pt idx="83">
                  <c:v>0.50415267594051949</c:v>
                </c:pt>
                <c:pt idx="84">
                  <c:v>0</c:v>
                </c:pt>
                <c:pt idx="85">
                  <c:v>0</c:v>
                </c:pt>
                <c:pt idx="86">
                  <c:v>0.43501616590768927</c:v>
                </c:pt>
                <c:pt idx="87">
                  <c:v>0</c:v>
                </c:pt>
                <c:pt idx="88">
                  <c:v>0.296905116400765</c:v>
                </c:pt>
                <c:pt idx="89">
                  <c:v>0</c:v>
                </c:pt>
                <c:pt idx="90">
                  <c:v>0</c:v>
                </c:pt>
                <c:pt idx="91">
                  <c:v>0.22247528391570057</c:v>
                </c:pt>
                <c:pt idx="92">
                  <c:v>0</c:v>
                </c:pt>
                <c:pt idx="93">
                  <c:v>0.23688879475215391</c:v>
                </c:pt>
                <c:pt idx="94">
                  <c:v>0</c:v>
                </c:pt>
                <c:pt idx="95">
                  <c:v>0</c:v>
                </c:pt>
                <c:pt idx="96">
                  <c:v>0.20960921487886472</c:v>
                </c:pt>
                <c:pt idx="97">
                  <c:v>0</c:v>
                </c:pt>
                <c:pt idx="98">
                  <c:v>0.19576509285273763</c:v>
                </c:pt>
                <c:pt idx="99">
                  <c:v>0</c:v>
                </c:pt>
                <c:pt idx="100">
                  <c:v>0</c:v>
                </c:pt>
                <c:pt idx="101">
                  <c:v>0.17589566604162643</c:v>
                </c:pt>
                <c:pt idx="102">
                  <c:v>0</c:v>
                </c:pt>
                <c:pt idx="103">
                  <c:v>0</c:v>
                </c:pt>
                <c:pt idx="104">
                  <c:v>0.15618883275293885</c:v>
                </c:pt>
                <c:pt idx="105">
                  <c:v>0</c:v>
                </c:pt>
                <c:pt idx="106">
                  <c:v>0.18884334332151778</c:v>
                </c:pt>
                <c:pt idx="107">
                  <c:v>0</c:v>
                </c:pt>
                <c:pt idx="108">
                  <c:v>0</c:v>
                </c:pt>
                <c:pt idx="109">
                  <c:v>0.17719828311207741</c:v>
                </c:pt>
                <c:pt idx="110">
                  <c:v>0</c:v>
                </c:pt>
                <c:pt idx="111">
                  <c:v>0.20757336954828906</c:v>
                </c:pt>
                <c:pt idx="112">
                  <c:v>0</c:v>
                </c:pt>
                <c:pt idx="113">
                  <c:v>0</c:v>
                </c:pt>
                <c:pt idx="114">
                  <c:v>8.957657158164252E-2</c:v>
                </c:pt>
                <c:pt idx="115">
                  <c:v>0</c:v>
                </c:pt>
                <c:pt idx="116">
                  <c:v>0.12377852394983897</c:v>
                </c:pt>
                <c:pt idx="117">
                  <c:v>0</c:v>
                </c:pt>
                <c:pt idx="118">
                  <c:v>0</c:v>
                </c:pt>
                <c:pt idx="119">
                  <c:v>5.6840328177270548E-2</c:v>
                </c:pt>
                <c:pt idx="120">
                  <c:v>0</c:v>
                </c:pt>
                <c:pt idx="121">
                  <c:v>0</c:v>
                </c:pt>
                <c:pt idx="122">
                  <c:v>7.2393987154488776E-2</c:v>
                </c:pt>
                <c:pt idx="123">
                  <c:v>0</c:v>
                </c:pt>
                <c:pt idx="124">
                  <c:v>3.7622147605016101E-2</c:v>
                </c:pt>
                <c:pt idx="125">
                  <c:v>0</c:v>
                </c:pt>
                <c:pt idx="126">
                  <c:v>0</c:v>
                </c:pt>
                <c:pt idx="127">
                  <c:v>3.5097711854376011E-2</c:v>
                </c:pt>
                <c:pt idx="128">
                  <c:v>0</c:v>
                </c:pt>
                <c:pt idx="129">
                  <c:v>1.8322483382443636E-2</c:v>
                </c:pt>
                <c:pt idx="130">
                  <c:v>0</c:v>
                </c:pt>
                <c:pt idx="131">
                  <c:v>0</c:v>
                </c:pt>
                <c:pt idx="132">
                  <c:v>3.6644904468518531E-3</c:v>
                </c:pt>
                <c:pt idx="133">
                  <c:v>0</c:v>
                </c:pt>
                <c:pt idx="134">
                  <c:v>3.6644904468518531E-3</c:v>
                </c:pt>
                <c:pt idx="135">
                  <c:v>0</c:v>
                </c:pt>
                <c:pt idx="136">
                  <c:v>0</c:v>
                </c:pt>
                <c:pt idx="137">
                  <c:v>2.2475533101175532E-2</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1.68953</c:v>
                </c:pt>
                <c:pt idx="1">
                  <c:v>1.72295</c:v>
                </c:pt>
                <c:pt idx="2">
                  <c:v>1.7630100000000002</c:v>
                </c:pt>
                <c:pt idx="3">
                  <c:v>1.8008899999999999</c:v>
                </c:pt>
                <c:pt idx="4">
                  <c:v>1.8374599999999999</c:v>
                </c:pt>
                <c:pt idx="5">
                  <c:v>1.8750500000000001</c:v>
                </c:pt>
                <c:pt idx="6">
                  <c:v>1.91337</c:v>
                </c:pt>
                <c:pt idx="7">
                  <c:v>1.9496199999999999</c:v>
                </c:pt>
                <c:pt idx="8">
                  <c:v>1.9850999999999999</c:v>
                </c:pt>
                <c:pt idx="9">
                  <c:v>2.0225999999999997</c:v>
                </c:pt>
                <c:pt idx="10">
                  <c:v>2.0629900000000001</c:v>
                </c:pt>
                <c:pt idx="11">
                  <c:v>2.1038000000000001</c:v>
                </c:pt>
                <c:pt idx="12">
                  <c:v>2.1415000000000002</c:v>
                </c:pt>
                <c:pt idx="13">
                  <c:v>2.1764600000000001</c:v>
                </c:pt>
                <c:pt idx="14">
                  <c:v>2.2101500000000001</c:v>
                </c:pt>
                <c:pt idx="15">
                  <c:v>2.2454900000000002</c:v>
                </c:pt>
                <c:pt idx="16">
                  <c:v>2.2835000000000001</c:v>
                </c:pt>
                <c:pt idx="17">
                  <c:v>2.3230899999999997</c:v>
                </c:pt>
                <c:pt idx="18">
                  <c:v>2.3635299999999999</c:v>
                </c:pt>
                <c:pt idx="19">
                  <c:v>2.3832100000000001</c:v>
                </c:pt>
                <c:pt idx="20">
                  <c:v>2.4045199999999998</c:v>
                </c:pt>
                <c:pt idx="21">
                  <c:v>2.4282900000000001</c:v>
                </c:pt>
                <c:pt idx="22">
                  <c:v>2.4537300000000002</c:v>
                </c:pt>
                <c:pt idx="23">
                  <c:v>2.4790799999999997</c:v>
                </c:pt>
                <c:pt idx="24">
                  <c:v>2.50061</c:v>
                </c:pt>
                <c:pt idx="25">
                  <c:v>2.5216100000000004</c:v>
                </c:pt>
              </c:numCache>
              <c:extLst xmlns:c15="http://schemas.microsoft.com/office/drawing/2012/chart"/>
            </c:numRef>
          </c:xVal>
          <c:yVal>
            <c:numRef>
              <c:f>[0]!FT_PH</c:f>
              <c:numCache>
                <c:formatCode>0.00</c:formatCode>
                <c:ptCount val="26"/>
                <c:pt idx="0">
                  <c:v>64.014499999999998</c:v>
                </c:pt>
                <c:pt idx="1">
                  <c:v>63.063000000000002</c:v>
                </c:pt>
                <c:pt idx="2">
                  <c:v>61.763900000000007</c:v>
                </c:pt>
                <c:pt idx="3">
                  <c:v>60.544600000000003</c:v>
                </c:pt>
                <c:pt idx="4">
                  <c:v>59.319999999999993</c:v>
                </c:pt>
                <c:pt idx="5">
                  <c:v>57.972100000000005</c:v>
                </c:pt>
                <c:pt idx="6">
                  <c:v>56.527400000000007</c:v>
                </c:pt>
                <c:pt idx="7">
                  <c:v>55.203199999999995</c:v>
                </c:pt>
                <c:pt idx="8">
                  <c:v>53.889200000000002</c:v>
                </c:pt>
                <c:pt idx="9">
                  <c:v>52.520599999999995</c:v>
                </c:pt>
                <c:pt idx="10">
                  <c:v>51.0533</c:v>
                </c:pt>
                <c:pt idx="11">
                  <c:v>49.586999999999996</c:v>
                </c:pt>
                <c:pt idx="12">
                  <c:v>48.309200000000004</c:v>
                </c:pt>
                <c:pt idx="13">
                  <c:v>47.119199999999999</c:v>
                </c:pt>
                <c:pt idx="14">
                  <c:v>45.976399999999998</c:v>
                </c:pt>
                <c:pt idx="15">
                  <c:v>44.763500000000001</c:v>
                </c:pt>
                <c:pt idx="16">
                  <c:v>43.428100000000001</c:v>
                </c:pt>
                <c:pt idx="17">
                  <c:v>42.055700000000002</c:v>
                </c:pt>
                <c:pt idx="18">
                  <c:v>40.7057</c:v>
                </c:pt>
                <c:pt idx="19">
                  <c:v>40.1173</c:v>
                </c:pt>
                <c:pt idx="20">
                  <c:v>39.459699999999998</c:v>
                </c:pt>
                <c:pt idx="21">
                  <c:v>38.703700000000005</c:v>
                </c:pt>
                <c:pt idx="22">
                  <c:v>37.868299999999998</c:v>
                </c:pt>
                <c:pt idx="23">
                  <c:v>37.029499999999999</c:v>
                </c:pt>
                <c:pt idx="24">
                  <c:v>36.4193</c:v>
                </c:pt>
                <c:pt idx="25">
                  <c:v>35.696300000000001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1.68953</c:v>
                </c:pt>
              </c:numCache>
            </c:numRef>
          </c:xVal>
          <c:yVal>
            <c:numRef>
              <c:f>[0]!FT_PH01</c:f>
              <c:numCache>
                <c:formatCode>0.00</c:formatCode>
                <c:ptCount val="1"/>
                <c:pt idx="0">
                  <c:v>64.014499999999998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1.68953</c:v>
                </c:pt>
              </c:numCache>
            </c:numRef>
          </c:xVal>
          <c:yVal>
            <c:numRef>
              <c:f>[0]!FT_PH02</c:f>
              <c:numCache>
                <c:formatCode>0.00</c:formatCode>
                <c:ptCount val="1"/>
                <c:pt idx="0">
                  <c:v>64.014499999999998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1.68953</c:v>
                </c:pt>
              </c:numCache>
            </c:numRef>
          </c:xVal>
          <c:yVal>
            <c:numRef>
              <c:f>[0]!FT_PH03</c:f>
              <c:numCache>
                <c:formatCode>0.00</c:formatCode>
                <c:ptCount val="1"/>
                <c:pt idx="0">
                  <c:v>64.014499999999998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1.68953</c:v>
                </c:pt>
              </c:numCache>
            </c:numRef>
          </c:xVal>
          <c:yVal>
            <c:numRef>
              <c:f>[0]!FT_PH04</c:f>
              <c:numCache>
                <c:formatCode>0.00</c:formatCode>
                <c:ptCount val="1"/>
                <c:pt idx="0">
                  <c:v>64.014499999999998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1.68953</c:v>
                </c:pt>
              </c:numCache>
            </c:numRef>
          </c:xVal>
          <c:yVal>
            <c:numRef>
              <c:f>[0]!FT_PH05</c:f>
              <c:numCache>
                <c:formatCode>0.00</c:formatCode>
                <c:ptCount val="1"/>
                <c:pt idx="0">
                  <c:v>64.014499999999998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1.68953</c:v>
                </c:pt>
              </c:numCache>
            </c:numRef>
          </c:xVal>
          <c:yVal>
            <c:numRef>
              <c:f>[0]!FT_PH06</c:f>
              <c:numCache>
                <c:formatCode>0.00</c:formatCode>
                <c:ptCount val="1"/>
                <c:pt idx="0">
                  <c:v>64.014499999999998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1.68953</c:v>
                </c:pt>
              </c:numCache>
            </c:numRef>
          </c:xVal>
          <c:yVal>
            <c:numRef>
              <c:f>[0]!FT_PH07</c:f>
              <c:numCache>
                <c:formatCode>0.00</c:formatCode>
                <c:ptCount val="1"/>
                <c:pt idx="0">
                  <c:v>64.014499999999998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1.68953</c:v>
                </c:pt>
              </c:numCache>
            </c:numRef>
          </c:xVal>
          <c:yVal>
            <c:numRef>
              <c:f>[0]!FT_PH08</c:f>
              <c:numCache>
                <c:formatCode>0.00</c:formatCode>
                <c:ptCount val="1"/>
                <c:pt idx="0">
                  <c:v>64.014499999999998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1.68953</c:v>
                </c:pt>
              </c:numCache>
            </c:numRef>
          </c:xVal>
          <c:yVal>
            <c:numRef>
              <c:f>[0]!FT_PH09</c:f>
              <c:numCache>
                <c:formatCode>0.00</c:formatCode>
                <c:ptCount val="1"/>
                <c:pt idx="0">
                  <c:v>64.014499999999998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1.68953</c:v>
                </c:pt>
              </c:numCache>
            </c:numRef>
          </c:xVal>
          <c:yVal>
            <c:numRef>
              <c:f>[0]!FT_PH10</c:f>
              <c:numCache>
                <c:formatCode>0.00</c:formatCode>
                <c:ptCount val="1"/>
                <c:pt idx="0">
                  <c:v>64.014499999999998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1.68953</c:v>
                </c:pt>
              </c:numCache>
            </c:numRef>
          </c:xVal>
          <c:yVal>
            <c:numRef>
              <c:f>[0]!FT_PH11</c:f>
              <c:numCache>
                <c:formatCode>0.00</c:formatCode>
                <c:ptCount val="1"/>
                <c:pt idx="0">
                  <c:v>64.014499999999998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1.68953</c:v>
                </c:pt>
              </c:numCache>
            </c:numRef>
          </c:xVal>
          <c:yVal>
            <c:numRef>
              <c:f>[0]!FT_PH12</c:f>
              <c:numCache>
                <c:formatCode>0.00</c:formatCode>
                <c:ptCount val="1"/>
                <c:pt idx="0">
                  <c:v>64.014499999999998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1.68953</c:v>
                </c:pt>
              </c:numCache>
            </c:numRef>
          </c:xVal>
          <c:yVal>
            <c:numRef>
              <c:f>[0]!FT_PH13</c:f>
              <c:numCache>
                <c:formatCode>0.00</c:formatCode>
                <c:ptCount val="1"/>
                <c:pt idx="0">
                  <c:v>64.014499999999998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1.68953</c:v>
                </c:pt>
              </c:numCache>
            </c:numRef>
          </c:xVal>
          <c:yVal>
            <c:numRef>
              <c:f>[0]!FT_PH14</c:f>
              <c:numCache>
                <c:formatCode>0.00</c:formatCode>
                <c:ptCount val="1"/>
                <c:pt idx="0">
                  <c:v>64.014499999999998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1.68953</c:v>
                </c:pt>
              </c:numCache>
            </c:numRef>
          </c:xVal>
          <c:yVal>
            <c:numRef>
              <c:f>[0]!FT_PH15</c:f>
              <c:numCache>
                <c:formatCode>0.00</c:formatCode>
                <c:ptCount val="1"/>
                <c:pt idx="0">
                  <c:v>64.014499999999998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1.68953</c:v>
                </c:pt>
              </c:numCache>
            </c:numRef>
          </c:xVal>
          <c:yVal>
            <c:numRef>
              <c:f>[0]!FT_PH16</c:f>
              <c:numCache>
                <c:formatCode>0.00</c:formatCode>
                <c:ptCount val="1"/>
                <c:pt idx="0">
                  <c:v>64.014499999999998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1.68953</c:v>
                </c:pt>
              </c:numCache>
            </c:numRef>
          </c:xVal>
          <c:yVal>
            <c:numRef>
              <c:f>[0]!FT_PH17</c:f>
              <c:numCache>
                <c:formatCode>0.00</c:formatCode>
                <c:ptCount val="1"/>
                <c:pt idx="0">
                  <c:v>64.014499999999998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1.68953</c:v>
                </c:pt>
              </c:numCache>
            </c:numRef>
          </c:xVal>
          <c:yVal>
            <c:numRef>
              <c:f>[0]!FT_PH18</c:f>
              <c:numCache>
                <c:formatCode>0.00</c:formatCode>
                <c:ptCount val="1"/>
                <c:pt idx="0">
                  <c:v>64.014499999999998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1.68953</c:v>
                </c:pt>
              </c:numCache>
            </c:numRef>
          </c:xVal>
          <c:yVal>
            <c:numRef>
              <c:f>[0]!FT_PH19</c:f>
              <c:numCache>
                <c:formatCode>0.00</c:formatCode>
                <c:ptCount val="1"/>
                <c:pt idx="0">
                  <c:v>64.014499999999998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1.68953</c:v>
                </c:pt>
              </c:numCache>
            </c:numRef>
          </c:xVal>
          <c:yVal>
            <c:numRef>
              <c:f>[0]!FT_PH20</c:f>
              <c:numCache>
                <c:formatCode>0.00</c:formatCode>
                <c:ptCount val="1"/>
                <c:pt idx="0">
                  <c:v>64.014499999999998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1.68953</c:v>
                </c:pt>
              </c:numCache>
            </c:numRef>
          </c:xVal>
          <c:yVal>
            <c:numRef>
              <c:f>[0]!FT_PH21</c:f>
              <c:numCache>
                <c:formatCode>0.00</c:formatCode>
                <c:ptCount val="1"/>
                <c:pt idx="0">
                  <c:v>64.014499999999998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1.68953</c:v>
                </c:pt>
              </c:numCache>
            </c:numRef>
          </c:xVal>
          <c:yVal>
            <c:numRef>
              <c:f>[0]!FT_PH22</c:f>
              <c:numCache>
                <c:formatCode>0.00</c:formatCode>
                <c:ptCount val="1"/>
                <c:pt idx="0">
                  <c:v>64.014499999999998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1.68953</c:v>
                </c:pt>
              </c:numCache>
            </c:numRef>
          </c:xVal>
          <c:yVal>
            <c:numRef>
              <c:f>[0]!FT_PH23</c:f>
              <c:numCache>
                <c:formatCode>0.00</c:formatCode>
                <c:ptCount val="1"/>
                <c:pt idx="0">
                  <c:v>64.014499999999998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1.68953</c:v>
                </c:pt>
              </c:numCache>
            </c:numRef>
          </c:xVal>
          <c:yVal>
            <c:numRef>
              <c:f>[0]!FT_PH24</c:f>
              <c:numCache>
                <c:formatCode>0.00</c:formatCode>
                <c:ptCount val="1"/>
                <c:pt idx="0">
                  <c:v>64.014499999999998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1.68953</c:v>
                </c:pt>
              </c:numCache>
            </c:numRef>
          </c:xVal>
          <c:yVal>
            <c:numRef>
              <c:f>info!$H$2</c:f>
              <c:numCache>
                <c:formatCode>0.00</c:formatCode>
                <c:ptCount val="1"/>
                <c:pt idx="0">
                  <c:v>64.014499999999998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0.1172659971612813</c:v>
                </c:pt>
                <c:pt idx="1">
                  <c:v>0.33907253156754819</c:v>
                </c:pt>
                <c:pt idx="2">
                  <c:v>0.54366147127117059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0.35236000000000001</c:v>
                </c:pt>
                <c:pt idx="2">
                  <c:v>0.77512899999999996</c:v>
                </c:pt>
                <c:pt idx="3">
                  <c:v>1.19998</c:v>
                </c:pt>
                <c:pt idx="4">
                  <c:v>1.5962000000000001</c:v>
                </c:pt>
                <c:pt idx="5">
                  <c:v>1.97831</c:v>
                </c:pt>
                <c:pt idx="6">
                  <c:v>2.3844400000000001</c:v>
                </c:pt>
                <c:pt idx="7">
                  <c:v>2.7903699999999998</c:v>
                </c:pt>
                <c:pt idx="8">
                  <c:v>3.1917499999999999</c:v>
                </c:pt>
                <c:pt idx="9">
                  <c:v>3.60501</c:v>
                </c:pt>
                <c:pt idx="10">
                  <c:v>4.0054699999999999</c:v>
                </c:pt>
                <c:pt idx="11">
                  <c:v>4.4329200000000002</c:v>
                </c:pt>
                <c:pt idx="12">
                  <c:v>4.8232200000000001</c:v>
                </c:pt>
                <c:pt idx="13">
                  <c:v>5.23123</c:v>
                </c:pt>
                <c:pt idx="14">
                  <c:v>5.63863</c:v>
                </c:pt>
                <c:pt idx="15">
                  <c:v>6.0603400000000001</c:v>
                </c:pt>
                <c:pt idx="16">
                  <c:v>6.4853899999999998</c:v>
                </c:pt>
                <c:pt idx="17">
                  <c:v>6.8792499999999999</c:v>
                </c:pt>
                <c:pt idx="18">
                  <c:v>7.2854700000000001</c:v>
                </c:pt>
                <c:pt idx="19">
                  <c:v>7.6988700000000003</c:v>
                </c:pt>
                <c:pt idx="20">
                  <c:v>8.0975599999999996</c:v>
                </c:pt>
                <c:pt idx="21">
                  <c:v>8.5401100000000003</c:v>
                </c:pt>
                <c:pt idx="22">
                  <c:v>8.9253300000000007</c:v>
                </c:pt>
                <c:pt idx="23">
                  <c:v>9.3465500000000006</c:v>
                </c:pt>
                <c:pt idx="24">
                  <c:v>9.7440999999999995</c:v>
                </c:pt>
                <c:pt idx="25">
                  <c:v>10.146599999999999</c:v>
                </c:pt>
              </c:numCache>
            </c:numRef>
          </c:xVal>
          <c:yVal>
            <c:numRef>
              <c:f>[0]!FT_E</c:f>
              <c:numCache>
                <c:formatCode>0.00</c:formatCode>
                <c:ptCount val="26"/>
                <c:pt idx="0">
                  <c:v>1.68953</c:v>
                </c:pt>
                <c:pt idx="1">
                  <c:v>1.72295</c:v>
                </c:pt>
                <c:pt idx="2">
                  <c:v>1.7630100000000002</c:v>
                </c:pt>
                <c:pt idx="3">
                  <c:v>1.8008899999999999</c:v>
                </c:pt>
                <c:pt idx="4">
                  <c:v>1.8374599999999999</c:v>
                </c:pt>
                <c:pt idx="5">
                  <c:v>1.8750500000000001</c:v>
                </c:pt>
                <c:pt idx="6">
                  <c:v>1.91337</c:v>
                </c:pt>
                <c:pt idx="7">
                  <c:v>1.9496199999999999</c:v>
                </c:pt>
                <c:pt idx="8">
                  <c:v>1.9850999999999999</c:v>
                </c:pt>
                <c:pt idx="9">
                  <c:v>2.0225999999999997</c:v>
                </c:pt>
                <c:pt idx="10">
                  <c:v>2.0629900000000001</c:v>
                </c:pt>
                <c:pt idx="11">
                  <c:v>2.1038000000000001</c:v>
                </c:pt>
                <c:pt idx="12">
                  <c:v>2.1415000000000002</c:v>
                </c:pt>
                <c:pt idx="13">
                  <c:v>2.1764600000000001</c:v>
                </c:pt>
                <c:pt idx="14">
                  <c:v>2.2101500000000001</c:v>
                </c:pt>
                <c:pt idx="15">
                  <c:v>2.2454900000000002</c:v>
                </c:pt>
                <c:pt idx="16">
                  <c:v>2.2835000000000001</c:v>
                </c:pt>
                <c:pt idx="17">
                  <c:v>2.3230899999999997</c:v>
                </c:pt>
                <c:pt idx="18">
                  <c:v>2.3635299999999999</c:v>
                </c:pt>
                <c:pt idx="19">
                  <c:v>2.3832100000000001</c:v>
                </c:pt>
                <c:pt idx="20">
                  <c:v>2.4045199999999998</c:v>
                </c:pt>
                <c:pt idx="21">
                  <c:v>2.4282900000000001</c:v>
                </c:pt>
                <c:pt idx="22">
                  <c:v>2.4537300000000002</c:v>
                </c:pt>
                <c:pt idx="23">
                  <c:v>2.4790799999999997</c:v>
                </c:pt>
                <c:pt idx="24">
                  <c:v>2.50061</c:v>
                </c:pt>
                <c:pt idx="25">
                  <c:v>2.5216100000000004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1.68953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1.68953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1.68953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1.68953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1.68953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1.68953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1.68953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1.68953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1.68953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1.68953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1.68953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1.68953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1.68953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1.68953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1.68953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1.68953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1.68953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1.68953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1.68953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1.68953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1.68953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1.68953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1.68953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1.68953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0.35236000000000001</c:v>
                </c:pt>
                <c:pt idx="2">
                  <c:v>0.77512899999999996</c:v>
                </c:pt>
                <c:pt idx="3">
                  <c:v>1.19998</c:v>
                </c:pt>
                <c:pt idx="4">
                  <c:v>1.5962000000000001</c:v>
                </c:pt>
                <c:pt idx="5">
                  <c:v>1.97831</c:v>
                </c:pt>
                <c:pt idx="6">
                  <c:v>2.3844400000000001</c:v>
                </c:pt>
                <c:pt idx="7">
                  <c:v>2.7903699999999998</c:v>
                </c:pt>
                <c:pt idx="8">
                  <c:v>3.1917499999999999</c:v>
                </c:pt>
                <c:pt idx="9">
                  <c:v>3.60501</c:v>
                </c:pt>
                <c:pt idx="10">
                  <c:v>4.0054699999999999</c:v>
                </c:pt>
                <c:pt idx="11">
                  <c:v>4.4329200000000002</c:v>
                </c:pt>
                <c:pt idx="12">
                  <c:v>4.8232200000000001</c:v>
                </c:pt>
                <c:pt idx="13">
                  <c:v>5.23123</c:v>
                </c:pt>
                <c:pt idx="14">
                  <c:v>5.63863</c:v>
                </c:pt>
                <c:pt idx="15">
                  <c:v>6.0603400000000001</c:v>
                </c:pt>
                <c:pt idx="16">
                  <c:v>6.4853899999999998</c:v>
                </c:pt>
                <c:pt idx="17">
                  <c:v>6.8792499999999999</c:v>
                </c:pt>
                <c:pt idx="18">
                  <c:v>7.2854700000000001</c:v>
                </c:pt>
                <c:pt idx="19">
                  <c:v>7.6988700000000003</c:v>
                </c:pt>
                <c:pt idx="20">
                  <c:v>8.0975599999999996</c:v>
                </c:pt>
                <c:pt idx="21">
                  <c:v>8.5401100000000003</c:v>
                </c:pt>
                <c:pt idx="22">
                  <c:v>8.9253300000000007</c:v>
                </c:pt>
                <c:pt idx="23">
                  <c:v>9.3465500000000006</c:v>
                </c:pt>
                <c:pt idx="24">
                  <c:v>9.7440999999999995</c:v>
                </c:pt>
                <c:pt idx="25">
                  <c:v>10.146599999999999</c:v>
                </c:pt>
              </c:numCache>
            </c:numRef>
          </c:xVal>
          <c:yVal>
            <c:numRef>
              <c:f>[0]!FT_PH</c:f>
              <c:numCache>
                <c:formatCode>0.00</c:formatCode>
                <c:ptCount val="26"/>
                <c:pt idx="0">
                  <c:v>64.014499999999998</c:v>
                </c:pt>
                <c:pt idx="1">
                  <c:v>63.063000000000002</c:v>
                </c:pt>
                <c:pt idx="2">
                  <c:v>61.763900000000007</c:v>
                </c:pt>
                <c:pt idx="3">
                  <c:v>60.544600000000003</c:v>
                </c:pt>
                <c:pt idx="4">
                  <c:v>59.319999999999993</c:v>
                </c:pt>
                <c:pt idx="5">
                  <c:v>57.972100000000005</c:v>
                </c:pt>
                <c:pt idx="6">
                  <c:v>56.527400000000007</c:v>
                </c:pt>
                <c:pt idx="7">
                  <c:v>55.203199999999995</c:v>
                </c:pt>
                <c:pt idx="8">
                  <c:v>53.889200000000002</c:v>
                </c:pt>
                <c:pt idx="9">
                  <c:v>52.520599999999995</c:v>
                </c:pt>
                <c:pt idx="10">
                  <c:v>51.0533</c:v>
                </c:pt>
                <c:pt idx="11">
                  <c:v>49.586999999999996</c:v>
                </c:pt>
                <c:pt idx="12">
                  <c:v>48.309200000000004</c:v>
                </c:pt>
                <c:pt idx="13">
                  <c:v>47.119199999999999</c:v>
                </c:pt>
                <c:pt idx="14">
                  <c:v>45.976399999999998</c:v>
                </c:pt>
                <c:pt idx="15">
                  <c:v>44.763500000000001</c:v>
                </c:pt>
                <c:pt idx="16">
                  <c:v>43.428100000000001</c:v>
                </c:pt>
                <c:pt idx="17">
                  <c:v>42.055700000000002</c:v>
                </c:pt>
                <c:pt idx="18">
                  <c:v>40.7057</c:v>
                </c:pt>
                <c:pt idx="19">
                  <c:v>40.1173</c:v>
                </c:pt>
                <c:pt idx="20">
                  <c:v>39.459699999999998</c:v>
                </c:pt>
                <c:pt idx="21">
                  <c:v>38.703700000000005</c:v>
                </c:pt>
                <c:pt idx="22">
                  <c:v>37.868299999999998</c:v>
                </c:pt>
                <c:pt idx="23">
                  <c:v>37.029499999999999</c:v>
                </c:pt>
                <c:pt idx="24">
                  <c:v>36.4193</c:v>
                </c:pt>
                <c:pt idx="25">
                  <c:v>35.696300000000001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64.014499999999998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64.014499999999998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64.014499999999998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64.014499999999998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64.014499999999998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64.014499999999998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64.014499999999998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64.014499999999998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64.014499999999998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64.014499999999998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64.014499999999998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64.014499999999998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64.014499999999998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64.014499999999998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64.014499999999998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64.014499999999998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64.014499999999998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64.014499999999998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64.014499999999998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64.014499999999998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64.014499999999998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64.014499999999998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64.014499999999998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64.014499999999998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54.96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-0.33432424800337945</c:v>
                </c:pt>
                <c:pt idx="1">
                  <c:v>-0.33432424800337945</c:v>
                </c:pt>
                <c:pt idx="2">
                  <c:v>-7</c:v>
                </c:pt>
              </c:numCache>
            </c:numRef>
          </c:xVal>
          <c:yVal>
            <c:numRef>
              <c:f>'R'!$I$5:$I$7</c:f>
              <c:numCache>
                <c:formatCode>0.0_ </c:formatCode>
                <c:ptCount val="3"/>
                <c:pt idx="0">
                  <c:v>0</c:v>
                </c:pt>
                <c:pt idx="1">
                  <c:v>54.962189260221386</c:v>
                </c:pt>
                <c:pt idx="2">
                  <c:v>54.962189260221386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-0.33432424800337945</c:v>
                </c:pt>
                <c:pt idx="1">
                  <c:v>-0.33432424800337945</c:v>
                </c:pt>
                <c:pt idx="2">
                  <c:v>-7</c:v>
                </c:pt>
              </c:numCache>
            </c:numRef>
          </c:xVal>
          <c:yVal>
            <c:numRef>
              <c:f>'R'!$I$5:$I$7</c:f>
              <c:numCache>
                <c:formatCode>0.0_ </c:formatCode>
                <c:ptCount val="3"/>
                <c:pt idx="0">
                  <c:v>0</c:v>
                </c:pt>
                <c:pt idx="1">
                  <c:v>54.962189260221386</c:v>
                </c:pt>
                <c:pt idx="2">
                  <c:v>54.962189260221386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-0.33432424800337945</c:v>
                </c:pt>
              </c:numCache>
            </c:numRef>
          </c:xVal>
          <c:yVal>
            <c:numRef>
              <c:f>'R'!$I$4</c:f>
              <c:numCache>
                <c:formatCode>0.00_ </c:formatCode>
                <c:ptCount val="1"/>
                <c:pt idx="0">
                  <c:v>54.962189260221386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53.94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53.935840000000006</c:v>
                </c:pt>
                <c:pt idx="1">
                  <c:v>53.935840000000006</c:v>
                </c:pt>
                <c:pt idx="2">
                  <c:v>0</c:v>
                </c:pt>
              </c:numCache>
            </c:numRef>
          </c:xVal>
          <c:yVal>
            <c:numRef>
              <c:f>'R2'!$I$5:$I$7</c:f>
              <c:numCache>
                <c:formatCode>0.0_ </c:formatCode>
                <c:ptCount val="3"/>
                <c:pt idx="0">
                  <c:v>0</c:v>
                </c:pt>
                <c:pt idx="1">
                  <c:v>57.035973277116689</c:v>
                </c:pt>
                <c:pt idx="2">
                  <c:v>57.035973277116689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1.06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1.0626100000000001</c:v>
                </c:pt>
                <c:pt idx="1">
                  <c:v>1.0626100000000001</c:v>
                </c:pt>
                <c:pt idx="2">
                  <c:v>0</c:v>
                </c:pt>
              </c:numCache>
            </c:numRef>
          </c:xVal>
          <c:yVal>
            <c:numRef>
              <c:f>'R3'!$I$6:$I$8</c:f>
              <c:numCache>
                <c:formatCode>0.0_ </c:formatCode>
                <c:ptCount val="3"/>
                <c:pt idx="0">
                  <c:v>0</c:v>
                </c:pt>
                <c:pt idx="1">
                  <c:v>12.007565559540772</c:v>
                </c:pt>
                <c:pt idx="2">
                  <c:v>12.007565559540772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감정변이도1.06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1.0626100000000001</c:v>
                </c:pt>
                <c:pt idx="1">
                  <c:v>1.0626100000000001</c:v>
                </c:pt>
                <c:pt idx="2">
                  <c:v>0</c:v>
                </c:pt>
              </c:numCache>
            </c:numRef>
          </c:xVal>
          <c:yVal>
            <c:numRef>
              <c:f>'R4'!$I$5:$I$7</c:f>
              <c:numCache>
                <c:formatCode>0.0_ </c:formatCode>
                <c:ptCount val="3"/>
                <c:pt idx="0">
                  <c:v>0</c:v>
                </c:pt>
                <c:pt idx="1">
                  <c:v>3.5269187056962581E-2</c:v>
                </c:pt>
                <c:pt idx="2">
                  <c:v>3.5269187056962581E-2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0.57987403329711684</c:v>
                </c:pt>
                <c:pt idx="1">
                  <c:v>0.34644281732171106</c:v>
                </c:pt>
                <c:pt idx="2">
                  <c:v>7.3683149381172111E-2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0.1610422231479893</c:v>
                </c:pt>
                <c:pt idx="1">
                  <c:v>0.4656507053528397</c:v>
                </c:pt>
                <c:pt idx="2">
                  <c:v>0.37330707149917092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(47.8 , 12)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47.783580907560264</c:v>
                      </c:pt>
                    </c:numCache>
                  </c:numRef>
                </c:xVal>
                <c:yVal>
                  <c:numRef>
                    <c:extLst>
                      <c:ext uri="{02D57815-91ED-43cb-92C2-25804820EDAC}">
                        <c15:formulaRef>
                          <c15:sqref>info!$W$20:$W$21</c15:sqref>
                        </c15:formulaRef>
                      </c:ext>
                    </c:extLst>
                    <c:numCache>
                      <c:formatCode>General</c:formatCode>
                      <c:ptCount val="2"/>
                      <c:pt idx="0">
                        <c:v>50</c:v>
                      </c:pt>
                      <c:pt idx="1">
                        <c:v>12.007565559540772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(60.7 , 73.2)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60.726500000000009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26.750600000000006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vision%5emj6r%5e1%5e1%5e\2025-05-01%2018_47_4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vision%5emj6r%5e1%5e1%5e\2025-05-01%2018_47_4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53DAC41-769A-407A-B4A0-D5B58E4D97D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E5B48F1-5E87-6685-11DE-65695656E61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45" t="str">
        <f>lang!B126</f>
        <v>심리생리 검사 결과</v>
      </c>
      <c r="D4" s="745"/>
      <c r="E4" s="745"/>
      <c r="F4" s="745"/>
      <c r="G4" s="745"/>
      <c r="H4" s="745"/>
      <c r="I4" s="745"/>
      <c r="J4" s="745"/>
      <c r="K4" s="745"/>
      <c r="L4" s="745"/>
      <c r="M4" s="745"/>
      <c r="N4" s="745"/>
      <c r="O4" s="745"/>
      <c r="P4" s="745"/>
    </row>
    <row r="5" spans="3:16" ht="49.5" customHeight="1">
      <c r="C5" s="745"/>
      <c r="D5" s="745"/>
      <c r="E5" s="745"/>
      <c r="F5" s="745"/>
      <c r="G5" s="745"/>
      <c r="H5" s="745"/>
      <c r="I5" s="745"/>
      <c r="J5" s="745"/>
      <c r="K5" s="745"/>
      <c r="L5" s="745"/>
      <c r="M5" s="745"/>
      <c r="N5" s="745"/>
      <c r="O5" s="745"/>
      <c r="P5" s="745"/>
    </row>
    <row r="6" spans="3:16" ht="16.8" thickBot="1"/>
    <row r="7" spans="3:16" ht="30" customHeight="1">
      <c r="D7" s="746" t="str">
        <f>lang!B127</f>
        <v>피검사자</v>
      </c>
      <c r="E7" s="747"/>
      <c r="F7" s="747"/>
      <c r="G7" s="747"/>
      <c r="H7" s="747"/>
      <c r="I7" s="747"/>
      <c r="J7" s="747"/>
      <c r="K7" s="747"/>
      <c r="L7" s="747"/>
      <c r="M7" s="747"/>
      <c r="N7" s="747"/>
      <c r="O7" s="748"/>
    </row>
    <row r="8" spans="3:16" ht="24.75" customHeight="1">
      <c r="C8" s="749"/>
      <c r="D8" s="338" t="str">
        <f>lang!B128</f>
        <v>측정일</v>
      </c>
      <c r="E8" s="738">
        <f>IF(FH_info!A2="","",FH_info!A2)</f>
        <v>45778.78328703704</v>
      </c>
      <c r="F8" s="739"/>
      <c r="G8" s="739"/>
      <c r="H8" s="739"/>
      <c r="I8" s="740"/>
      <c r="J8" s="339" t="str">
        <f>lang!B133</f>
        <v>측정장소</v>
      </c>
      <c r="K8" s="741" t="str">
        <f>IF(FH_info!B2="","",TRIM(MID(SUBSTITUTE(FH_info!B2,"^",REPT(" ",LEN(FH_info!B2))),LEN(FH_info!B2)*5-LEN(FH_info!B2)+1,LEN(FH_info!B2))))</f>
        <v/>
      </c>
      <c r="L8" s="742"/>
      <c r="M8" s="742"/>
      <c r="N8" s="742"/>
      <c r="O8" s="743"/>
      <c r="P8" s="340"/>
    </row>
    <row r="9" spans="3:16" ht="21.75" customHeight="1">
      <c r="C9" s="749"/>
      <c r="D9" s="338" t="str">
        <f>lang!B134</f>
        <v>이름</v>
      </c>
      <c r="E9" s="741" t="str">
        <f>IF(FH_info!B2="","",TRIM(MID(SUBSTITUTE(FH_info!B2,"^",REPT(" ",LEN(FH_info!B2))),LEN(FH_info!B2)*2-LEN(FH_info!B2)+1,LEN(FH_info!B2))))</f>
        <v>mj6r</v>
      </c>
      <c r="F9" s="742"/>
      <c r="G9" s="742"/>
      <c r="H9" s="742"/>
      <c r="I9" s="744"/>
      <c r="J9" s="339" t="str">
        <f>lang!B136</f>
        <v>ID</v>
      </c>
      <c r="K9" s="741"/>
      <c r="L9" s="742"/>
      <c r="M9" s="742"/>
      <c r="N9" s="742"/>
      <c r="O9" s="743"/>
      <c r="P9" s="341"/>
    </row>
    <row r="10" spans="3:16" ht="27" customHeight="1">
      <c r="C10" s="749"/>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9"/>
      <c r="D11" s="342" t="str">
        <f>lang!B135</f>
        <v>직업</v>
      </c>
      <c r="E11" s="750"/>
      <c r="F11" s="751"/>
      <c r="G11" s="751"/>
      <c r="H11" s="751"/>
      <c r="I11" s="752"/>
      <c r="J11" s="350"/>
      <c r="K11" s="750"/>
      <c r="L11" s="751"/>
      <c r="M11" s="751"/>
      <c r="N11" s="751"/>
      <c r="O11" s="753"/>
      <c r="P11" s="343"/>
    </row>
    <row r="12" spans="3:16" ht="30.9" thickBot="1">
      <c r="C12" s="749"/>
      <c r="D12" s="344" t="str">
        <f>lang!B137</f>
        <v>상담
내용</v>
      </c>
      <c r="E12" s="760"/>
      <c r="F12" s="760"/>
      <c r="G12" s="760"/>
      <c r="H12" s="760"/>
      <c r="I12" s="760"/>
      <c r="J12" s="760"/>
      <c r="K12" s="760"/>
      <c r="L12" s="760"/>
      <c r="M12" s="760"/>
      <c r="N12" s="760"/>
      <c r="O12" s="761"/>
      <c r="P12" s="343"/>
    </row>
    <row r="13" spans="3:16" ht="18">
      <c r="C13" s="749"/>
      <c r="D13" s="345"/>
      <c r="E13" s="346"/>
      <c r="F13" s="346"/>
      <c r="G13" s="346"/>
      <c r="H13" s="346"/>
      <c r="I13" s="346"/>
      <c r="J13" s="346"/>
      <c r="K13" s="346"/>
      <c r="L13" s="346"/>
      <c r="M13" s="346"/>
      <c r="N13" s="346"/>
      <c r="O13" s="346"/>
      <c r="P13" s="343"/>
    </row>
    <row r="14" spans="3:16" ht="18.3" thickBot="1">
      <c r="C14" s="749"/>
      <c r="D14" s="346"/>
      <c r="E14" s="346"/>
      <c r="F14" s="346"/>
      <c r="G14" s="346"/>
      <c r="H14" s="346"/>
      <c r="I14" s="346"/>
      <c r="J14" s="346"/>
      <c r="K14" s="346"/>
      <c r="L14" s="346"/>
      <c r="M14" s="346"/>
      <c r="N14" s="346"/>
      <c r="O14" s="346"/>
      <c r="P14" s="343"/>
    </row>
    <row r="15" spans="3:16" ht="30" customHeight="1">
      <c r="C15" s="749"/>
      <c r="D15" s="746" t="str">
        <f>lang!B138</f>
        <v>검사자</v>
      </c>
      <c r="E15" s="747"/>
      <c r="F15" s="747"/>
      <c r="G15" s="747"/>
      <c r="H15" s="747"/>
      <c r="I15" s="747"/>
      <c r="J15" s="747"/>
      <c r="K15" s="747"/>
      <c r="L15" s="747"/>
      <c r="M15" s="747"/>
      <c r="N15" s="747"/>
      <c r="O15" s="748"/>
      <c r="P15" s="343"/>
    </row>
    <row r="16" spans="3:16" ht="28.5" customHeight="1">
      <c r="C16" s="749"/>
      <c r="D16" s="338" t="str">
        <f>lang!B139</f>
        <v>이름</v>
      </c>
      <c r="E16" s="738"/>
      <c r="F16" s="739"/>
      <c r="G16" s="739"/>
      <c r="H16" s="739"/>
      <c r="I16" s="740"/>
      <c r="J16" s="339" t="str">
        <f>lang!B140</f>
        <v>날짜</v>
      </c>
      <c r="K16" s="741"/>
      <c r="L16" s="742"/>
      <c r="M16" s="742"/>
      <c r="N16" s="742"/>
      <c r="O16" s="743"/>
      <c r="P16" s="343"/>
    </row>
    <row r="17" spans="3:16" ht="31.5" customHeight="1">
      <c r="C17" s="749"/>
      <c r="D17" s="338" t="str">
        <f>lang!B141</f>
        <v>소속</v>
      </c>
      <c r="E17" s="741"/>
      <c r="F17" s="742"/>
      <c r="G17" s="742"/>
      <c r="H17" s="742"/>
      <c r="I17" s="744"/>
      <c r="J17" s="339" t="str">
        <f>lang!B142</f>
        <v>연락처</v>
      </c>
      <c r="K17" s="741"/>
      <c r="L17" s="742"/>
      <c r="M17" s="742"/>
      <c r="N17" s="742"/>
      <c r="O17" s="743"/>
      <c r="P17" s="343"/>
    </row>
    <row r="18" spans="3:16" ht="31.5" customHeight="1" thickBot="1">
      <c r="C18" s="749"/>
      <c r="D18" s="344" t="str">
        <f>lang!B143</f>
        <v>측정장소</v>
      </c>
      <c r="E18" s="754"/>
      <c r="F18" s="755"/>
      <c r="G18" s="755"/>
      <c r="H18" s="755"/>
      <c r="I18" s="756"/>
      <c r="J18" s="351"/>
      <c r="K18" s="754"/>
      <c r="L18" s="755"/>
      <c r="M18" s="755"/>
      <c r="N18" s="755"/>
      <c r="O18" s="757"/>
      <c r="P18" s="343"/>
    </row>
    <row r="19" spans="3:16" ht="30" customHeight="1">
      <c r="C19" s="749"/>
      <c r="D19" s="347"/>
      <c r="E19" s="352"/>
      <c r="F19" s="352"/>
      <c r="G19" s="352"/>
      <c r="H19" s="352"/>
      <c r="I19" s="352"/>
      <c r="J19" s="347"/>
      <c r="K19" s="352"/>
      <c r="L19" s="352"/>
      <c r="M19" s="352"/>
      <c r="N19" s="352"/>
      <c r="O19" s="352"/>
      <c r="P19" s="343"/>
    </row>
    <row r="20" spans="3:16" ht="18">
      <c r="C20" s="749"/>
      <c r="D20" s="345"/>
      <c r="E20" s="346"/>
      <c r="F20" s="346"/>
      <c r="G20" s="346"/>
      <c r="H20" s="346"/>
      <c r="I20" s="346"/>
      <c r="J20" s="345"/>
      <c r="K20" s="346"/>
      <c r="L20" s="346"/>
      <c r="M20" s="346"/>
      <c r="N20" s="346"/>
      <c r="O20" s="346"/>
      <c r="P20" s="343"/>
    </row>
    <row r="21" spans="3:16" ht="33.9">
      <c r="C21" s="749"/>
      <c r="D21" s="758" t="str">
        <f>lang!B144</f>
        <v>마인드아이</v>
      </c>
      <c r="E21" s="759"/>
      <c r="F21" s="759"/>
      <c r="G21" s="759"/>
      <c r="H21" s="759"/>
      <c r="I21" s="759"/>
      <c r="J21" s="759"/>
      <c r="K21" s="759"/>
      <c r="L21" s="759"/>
      <c r="M21" s="759"/>
      <c r="N21" s="759"/>
      <c r="O21" s="759"/>
      <c r="P21" s="343"/>
    </row>
    <row r="22" spans="3:16" ht="31.5" customHeight="1">
      <c r="C22" s="749"/>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D21:O21"/>
    <mergeCell ref="K11:O11"/>
    <mergeCell ref="E12:O12"/>
    <mergeCell ref="D15:O15"/>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764" t="str">
        <f>FH_info!AC2</f>
        <v>심리생리 검사 결과</v>
      </c>
      <c r="D3" s="764"/>
      <c r="E3" s="764"/>
      <c r="F3" s="764"/>
      <c r="G3" s="764"/>
      <c r="H3" s="764"/>
      <c r="I3" s="764"/>
      <c r="J3" s="764"/>
      <c r="K3" s="764"/>
      <c r="L3" s="764"/>
      <c r="M3" s="764"/>
      <c r="N3" s="764"/>
      <c r="O3" s="765" t="str">
        <f>FH_info!AB2</f>
        <v>마인드아이</v>
      </c>
      <c r="P3" s="765"/>
      <c r="Q3" s="765"/>
      <c r="R3" s="765"/>
    </row>
    <row r="4" spans="2:18" ht="14.25" customHeight="1">
      <c r="C4" s="764"/>
      <c r="D4" s="764"/>
      <c r="E4" s="764"/>
      <c r="F4" s="764"/>
      <c r="G4" s="764"/>
      <c r="H4" s="764"/>
      <c r="I4" s="764"/>
      <c r="J4" s="764"/>
      <c r="K4" s="764"/>
      <c r="L4" s="764"/>
      <c r="M4" s="764"/>
      <c r="N4" s="764"/>
      <c r="O4" s="765"/>
      <c r="P4" s="765"/>
      <c r="Q4" s="765"/>
      <c r="R4" s="765"/>
    </row>
    <row r="5" spans="2:18" ht="3" customHeight="1"/>
    <row r="6" spans="2:18" ht="1.5" customHeight="1" thickBot="1"/>
    <row r="7" spans="2:18">
      <c r="C7" s="766"/>
      <c r="D7" s="767"/>
      <c r="E7" s="768"/>
      <c r="F7" s="166" t="str">
        <f>lang!B159</f>
        <v>측정일</v>
      </c>
      <c r="G7" s="771">
        <f>IF(FH_info!A2="","",FH_info!A2)</f>
        <v>45778.78328703704</v>
      </c>
      <c r="H7" s="772"/>
      <c r="I7" s="773"/>
      <c r="J7" s="166" t="str">
        <f>lang!B160</f>
        <v>나이</v>
      </c>
      <c r="K7" s="774" t="str">
        <f>IF(FH_info!B2="","",TRIM(MID(SUBSTITUTE(FH_info!B2,"^",REPT(" ",LEN(FH_info!B2))),LEN(FH_info!B2)*4-LEN(FH_info!B2)+1,LEN(FH_info!B2))))</f>
        <v>1</v>
      </c>
      <c r="L7" s="774"/>
      <c r="M7" s="166" t="str">
        <f>lang!B161</f>
        <v>성별</v>
      </c>
      <c r="N7" s="775" t="str">
        <f>IF(FH_info!B2="","", FH_info!Y2)</f>
        <v>남성</v>
      </c>
      <c r="O7" s="776"/>
      <c r="P7" s="777" t="str">
        <f>lang!B164</f>
        <v>측정장소</v>
      </c>
      <c r="Q7" s="778"/>
      <c r="R7" s="779"/>
    </row>
    <row r="8" spans="2:18">
      <c r="C8" s="769"/>
      <c r="D8" s="749"/>
      <c r="E8" s="770"/>
      <c r="F8" s="146" t="str">
        <f>lang!B165</f>
        <v>이름</v>
      </c>
      <c r="G8" s="780" t="str">
        <f>IF(FH_info!B2="","",TRIM(MID(SUBSTITUTE(FH_info!B2,"^",REPT(" ",LEN(FH_info!B2))),LEN(FH_info!B2)*2-LEN(FH_info!B2)+1,LEN(FH_info!B2))))</f>
        <v>mj6r</v>
      </c>
      <c r="H8" s="781"/>
      <c r="I8" s="782"/>
      <c r="J8" s="146" t="str">
        <f>lang!B166</f>
        <v>직업</v>
      </c>
      <c r="K8" s="783"/>
      <c r="L8" s="783"/>
      <c r="M8" s="146" t="str">
        <f>lang!B167</f>
        <v>ID</v>
      </c>
      <c r="N8" s="784"/>
      <c r="O8" s="785"/>
      <c r="P8" s="780" t="str">
        <f>IF(FH_info!B2="","",TRIM(MID(SUBSTITUTE(FH_info!B2,"^",REPT(" ",LEN(FH_info!B2))),LEN(FH_info!B2)*5-LEN(FH_info!B2)+1,LEN(FH_info!B2))))</f>
        <v/>
      </c>
      <c r="Q8" s="781"/>
      <c r="R8" s="786"/>
    </row>
    <row r="9" spans="2:18" ht="9" customHeight="1">
      <c r="C9" s="769"/>
      <c r="D9" s="749"/>
      <c r="E9" s="770"/>
      <c r="F9" s="787" t="str">
        <f>lang!B168</f>
        <v>상담
내용</v>
      </c>
      <c r="G9" s="789"/>
      <c r="H9" s="790"/>
      <c r="I9" s="790"/>
      <c r="J9" s="790"/>
      <c r="K9" s="790"/>
      <c r="L9" s="790"/>
      <c r="M9" s="790"/>
      <c r="N9" s="790"/>
      <c r="O9" s="790"/>
      <c r="P9" s="790"/>
      <c r="Q9" s="790"/>
      <c r="R9" s="791"/>
    </row>
    <row r="10" spans="2:18" ht="9" customHeight="1">
      <c r="C10" s="769"/>
      <c r="D10" s="749"/>
      <c r="E10" s="770"/>
      <c r="F10" s="788"/>
      <c r="G10" s="792"/>
      <c r="H10" s="793"/>
      <c r="I10" s="793"/>
      <c r="J10" s="793"/>
      <c r="K10" s="793"/>
      <c r="L10" s="793"/>
      <c r="M10" s="793"/>
      <c r="N10" s="793"/>
      <c r="O10" s="793"/>
      <c r="P10" s="793"/>
      <c r="Q10" s="793"/>
      <c r="R10" s="794"/>
    </row>
    <row r="11" spans="2:18" ht="19.5" customHeight="1" thickBot="1">
      <c r="C11" s="769"/>
      <c r="D11" s="749"/>
      <c r="E11" s="770"/>
      <c r="F11" s="788"/>
      <c r="G11" s="792"/>
      <c r="H11" s="793"/>
      <c r="I11" s="793"/>
      <c r="J11" s="793"/>
      <c r="K11" s="793"/>
      <c r="L11" s="793"/>
      <c r="M11" s="793"/>
      <c r="N11" s="793"/>
      <c r="O11" s="793"/>
      <c r="P11" s="793"/>
      <c r="Q11" s="793"/>
      <c r="R11" s="794"/>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2</v>
      </c>
    </row>
    <row r="13" spans="2:18" ht="12" customHeight="1">
      <c r="C13" s="795" t="str">
        <f>lang!B255</f>
        <v>종합 검사
결과 분류</v>
      </c>
      <c r="D13" s="798" t="str">
        <f>Measurement!CJ20</f>
        <v>양호 집단에 속하며,</v>
      </c>
      <c r="E13" s="799"/>
      <c r="F13" s="799"/>
      <c r="G13" s="802" t="str">
        <f>Measurement!CJ18</f>
        <v>양호 상태입니다.</v>
      </c>
      <c r="H13" s="802"/>
      <c r="I13" s="802"/>
      <c r="J13" s="803"/>
      <c r="K13" s="874" t="str">
        <f>Measurement!CN15</f>
        <v>양호 집단</v>
      </c>
      <c r="L13" s="875"/>
      <c r="M13" s="874" t="str">
        <f>Measurement!CS15</f>
        <v>주의 집단</v>
      </c>
      <c r="N13" s="875"/>
      <c r="O13" s="878"/>
      <c r="P13" s="806" t="str">
        <f>Measurement!CW15</f>
        <v>힐링/치유 집단</v>
      </c>
      <c r="Q13" s="806"/>
      <c r="R13" s="807"/>
    </row>
    <row r="14" spans="2:18" ht="12" customHeight="1">
      <c r="B14" s="79"/>
      <c r="C14" s="796"/>
      <c r="D14" s="800"/>
      <c r="E14" s="801"/>
      <c r="F14" s="801"/>
      <c r="G14" s="804"/>
      <c r="H14" s="804"/>
      <c r="I14" s="804"/>
      <c r="J14" s="805"/>
      <c r="K14" s="876"/>
      <c r="L14" s="877"/>
      <c r="M14" s="876"/>
      <c r="N14" s="877"/>
      <c r="O14" s="879"/>
      <c r="P14" s="808"/>
      <c r="Q14" s="808"/>
      <c r="R14" s="809"/>
    </row>
    <row r="15" spans="2:18" ht="28.5" customHeight="1">
      <c r="B15" s="79"/>
      <c r="C15" s="796"/>
      <c r="D15" s="822" t="str">
        <f>Measurement!CJ19</f>
        <v>뇌 피로도 수준이 평균입니다. 에너지가 낮아 정적이고 지금 하는 일에 집중을 잘하고 있습니다. 일에 만족도를 높이기 위해선 신체적인 활력에너지를 높여주면 좋습니다.</v>
      </c>
      <c r="E15" s="823"/>
      <c r="F15" s="823"/>
      <c r="G15" s="823"/>
      <c r="H15" s="823"/>
      <c r="I15" s="823"/>
      <c r="J15" s="824"/>
      <c r="K15" s="880" t="str">
        <f>Measurement!CN16</f>
        <v>양호 (G1)</v>
      </c>
      <c r="L15" s="881"/>
      <c r="M15" s="880" t="str">
        <f>Measurement!CS16</f>
        <v>주의 (Y1)</v>
      </c>
      <c r="N15" s="886"/>
      <c r="O15" s="881"/>
      <c r="P15" s="818" t="str">
        <f>Measurement!CY16</f>
        <v>화불쾌 상태 (R4)</v>
      </c>
      <c r="Q15" s="818"/>
      <c r="R15" s="819"/>
    </row>
    <row r="16" spans="2:18" ht="28.5" customHeight="1">
      <c r="B16" s="79"/>
      <c r="C16" s="796"/>
      <c r="D16" s="822"/>
      <c r="E16" s="823"/>
      <c r="F16" s="823"/>
      <c r="G16" s="823"/>
      <c r="H16" s="823"/>
      <c r="I16" s="823"/>
      <c r="J16" s="824"/>
      <c r="K16" s="882"/>
      <c r="L16" s="883"/>
      <c r="M16" s="882"/>
      <c r="N16" s="887"/>
      <c r="O16" s="883"/>
      <c r="P16" s="820" t="str">
        <f>Measurement!CR16</f>
        <v>충동 상태 (R3)</v>
      </c>
      <c r="Q16" s="820"/>
      <c r="R16" s="821"/>
    </row>
    <row r="17" spans="2:20" ht="28.5" customHeight="1">
      <c r="B17" s="79"/>
      <c r="C17" s="796"/>
      <c r="D17" s="822"/>
      <c r="E17" s="823"/>
      <c r="F17" s="823"/>
      <c r="G17" s="823"/>
      <c r="H17" s="823"/>
      <c r="I17" s="823"/>
      <c r="J17" s="824"/>
      <c r="K17" s="882"/>
      <c r="L17" s="883"/>
      <c r="M17" s="882"/>
      <c r="N17" s="887"/>
      <c r="O17" s="883"/>
      <c r="P17" s="820" t="str">
        <f>Measurement!CW16</f>
        <v>무기력 상태 (R2)</v>
      </c>
      <c r="Q17" s="820"/>
      <c r="R17" s="821"/>
    </row>
    <row r="18" spans="2:20" ht="28.5" customHeight="1" thickBot="1">
      <c r="B18" s="79"/>
      <c r="C18" s="797"/>
      <c r="D18" s="810" t="str">
        <f>Measurement!CL7</f>
        <v>( 90 , 4 )</v>
      </c>
      <c r="E18" s="811"/>
      <c r="F18" s="811"/>
      <c r="G18" s="811"/>
      <c r="H18" s="811"/>
      <c r="I18" s="811"/>
      <c r="J18" s="812"/>
      <c r="K18" s="884"/>
      <c r="L18" s="885"/>
      <c r="M18" s="884"/>
      <c r="N18" s="888"/>
      <c r="O18" s="885"/>
      <c r="P18" s="762" t="str">
        <f>Measurement!CX16</f>
        <v>우울 상태 (R1)</v>
      </c>
      <c r="Q18" s="762"/>
      <c r="R18" s="763"/>
    </row>
    <row r="19" spans="2:20" ht="17.25" customHeight="1" thickBot="1">
      <c r="B19" s="79"/>
      <c r="C19" s="825" t="str">
        <f>lang!B169</f>
        <v>뇌 피로도 및 유형</v>
      </c>
      <c r="D19" s="826"/>
      <c r="E19" s="826"/>
      <c r="F19" s="826"/>
      <c r="G19" s="826"/>
      <c r="H19" s="826"/>
      <c r="I19" s="826"/>
      <c r="J19" s="826"/>
      <c r="K19" s="826"/>
      <c r="L19" s="826"/>
      <c r="M19" s="826"/>
      <c r="N19" s="826"/>
      <c r="O19" s="826"/>
      <c r="P19" s="826"/>
      <c r="Q19" s="826"/>
      <c r="R19" s="827"/>
    </row>
    <row r="20" spans="2:20" ht="21" customHeight="1">
      <c r="C20" s="828" t="str">
        <f>lang!B178</f>
        <v>뇌피로 상태</v>
      </c>
      <c r="D20" s="829"/>
      <c r="E20" s="830" t="str">
        <f>Measurement!AR7</f>
        <v>보통</v>
      </c>
      <c r="F20" s="831"/>
      <c r="G20" s="327" t="str">
        <f>lang!B179</f>
        <v>지수</v>
      </c>
      <c r="H20" s="832">
        <f>Measurement!AQ7</f>
        <v>-0.33432424800337945</v>
      </c>
      <c r="I20" s="833"/>
      <c r="J20" s="311" t="str">
        <f>lang!B174</f>
        <v>정보량</v>
      </c>
      <c r="K20" s="236">
        <f ca="1">info!N9</f>
        <v>48.581180769230777</v>
      </c>
      <c r="L20" s="312" t="str">
        <f>lang!B175</f>
        <v>에너지</v>
      </c>
      <c r="M20" s="834">
        <f ca="1">info!M9</f>
        <v>2.140043846153846</v>
      </c>
      <c r="N20" s="835"/>
      <c r="O20" s="816" t="str">
        <f>lang!B180</f>
        <v>유형</v>
      </c>
      <c r="P20" s="836"/>
      <c r="Q20" s="816" t="str">
        <f>IF(info!CB24&lt;&gt;"", info!CB24,"")</f>
        <v>2</v>
      </c>
      <c r="R20" s="817"/>
      <c r="S20" s="164">
        <f>Measurement!AS7</f>
        <v>3</v>
      </c>
    </row>
    <row r="21" spans="2:20" ht="12" customHeight="1">
      <c r="C21" s="202" t="s">
        <v>1072</v>
      </c>
      <c r="D21" s="180"/>
      <c r="E21" s="180"/>
      <c r="F21" s="180"/>
      <c r="G21" s="180"/>
      <c r="H21" s="203">
        <f>Measurement!AS7</f>
        <v>3</v>
      </c>
      <c r="I21" s="184"/>
      <c r="J21" s="177"/>
      <c r="K21" s="813" t="str">
        <f>lang!B334</f>
        <v>심리생리
정보량(%)</v>
      </c>
      <c r="L21" s="813"/>
      <c r="M21" s="177"/>
      <c r="N21" s="177"/>
      <c r="O21" s="178"/>
      <c r="P21" s="178"/>
      <c r="Q21" s="178"/>
      <c r="R21" s="185"/>
    </row>
    <row r="22" spans="2:20" ht="25.5" customHeight="1">
      <c r="C22" s="147"/>
      <c r="D22" s="815"/>
      <c r="E22" s="815"/>
      <c r="F22" s="148"/>
      <c r="G22" s="148"/>
      <c r="H22" s="148"/>
      <c r="I22" s="149"/>
      <c r="J22" s="177"/>
      <c r="K22" s="814"/>
      <c r="L22" s="814"/>
      <c r="M22" s="177"/>
      <c r="N22" s="177"/>
      <c r="O22" s="177"/>
      <c r="P22" s="177"/>
      <c r="Q22" s="177"/>
      <c r="R22" s="179"/>
      <c r="T22" s="80"/>
    </row>
    <row r="23" spans="2:20" ht="25.5" customHeight="1">
      <c r="C23" s="147"/>
      <c r="D23" s="837"/>
      <c r="E23" s="837"/>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38" t="str">
        <f>lang!B176</f>
        <v>뇌 피로도</v>
      </c>
      <c r="I25" s="839"/>
      <c r="J25" s="177"/>
      <c r="K25" s="177"/>
      <c r="L25" s="177"/>
      <c r="M25" s="840" t="str">
        <f>lang!B335</f>
        <v>에너지
(kcal/min)</v>
      </c>
      <c r="N25" s="840"/>
      <c r="O25" s="177"/>
      <c r="P25" s="177"/>
      <c r="Q25" s="177"/>
      <c r="R25" s="179"/>
    </row>
    <row r="26" spans="2:20" ht="10.5" customHeight="1">
      <c r="C26" s="147"/>
      <c r="D26" s="148"/>
      <c r="E26" s="148"/>
      <c r="F26" s="148"/>
      <c r="G26" s="148"/>
      <c r="H26" s="838"/>
      <c r="I26" s="839"/>
      <c r="J26" s="177"/>
      <c r="K26" s="177"/>
      <c r="L26" s="177"/>
      <c r="M26" s="840"/>
      <c r="N26" s="840"/>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41" t="str">
        <f>Measurement!AV7</f>
        <v>보통인 뇌피로 상태입니다</v>
      </c>
      <c r="D28" s="842"/>
      <c r="E28" s="842"/>
      <c r="F28" s="843"/>
      <c r="G28" s="843"/>
      <c r="H28" s="843"/>
      <c r="I28" s="844"/>
      <c r="J28" s="845" t="str">
        <f ca="1">IF(info!CB31&lt;&gt;"",info!CB31,"")</f>
        <v>심리적으로 기분이 낮은 정서 상태이다. 점점 기분이 낮아질수 있다. 에너지 대사량이 보통이며 증가하고 있다.</v>
      </c>
      <c r="K28" s="846"/>
      <c r="L28" s="846"/>
      <c r="M28" s="846"/>
      <c r="N28" s="846"/>
      <c r="O28" s="846"/>
      <c r="P28" s="846"/>
      <c r="Q28" s="846"/>
      <c r="R28" s="847"/>
    </row>
    <row r="29" spans="2:20" ht="14.25" customHeight="1">
      <c r="C29" s="841"/>
      <c r="D29" s="842"/>
      <c r="E29" s="842"/>
      <c r="F29" s="843"/>
      <c r="G29" s="843"/>
      <c r="H29" s="843"/>
      <c r="I29" s="844"/>
      <c r="J29" s="845"/>
      <c r="K29" s="846"/>
      <c r="L29" s="846"/>
      <c r="M29" s="846"/>
      <c r="N29" s="846"/>
      <c r="O29" s="846"/>
      <c r="P29" s="846"/>
      <c r="Q29" s="846"/>
      <c r="R29" s="847"/>
    </row>
    <row r="30" spans="2:20" ht="2.25" customHeight="1" thickBot="1">
      <c r="C30" s="77"/>
      <c r="E30" s="78"/>
      <c r="F30" s="83"/>
      <c r="I30" s="84"/>
      <c r="J30" s="181"/>
      <c r="K30" s="182"/>
      <c r="L30" s="183"/>
      <c r="M30" s="85"/>
      <c r="N30" s="85"/>
      <c r="O30" s="85"/>
      <c r="P30" s="85"/>
      <c r="Q30" s="85"/>
      <c r="R30" s="86"/>
    </row>
    <row r="31" spans="2:20" ht="16.5" customHeight="1" thickBot="1">
      <c r="C31" s="848" t="str">
        <f>lang!B200</f>
        <v>심리상태 차트</v>
      </c>
      <c r="D31" s="849"/>
      <c r="E31" s="849"/>
      <c r="F31" s="849"/>
      <c r="G31" s="849"/>
      <c r="H31" s="849"/>
      <c r="I31" s="850"/>
      <c r="J31" s="195" t="str">
        <f>lang!B201</f>
        <v>항목</v>
      </c>
      <c r="K31" s="196" t="str">
        <f>lang!B202</f>
        <v>범위</v>
      </c>
      <c r="L31" s="196" t="str">
        <f>lang!B203</f>
        <v>판정</v>
      </c>
      <c r="M31" s="851" t="str">
        <f>lang!B204</f>
        <v>최소값</v>
      </c>
      <c r="N31" s="852"/>
      <c r="O31" s="851" t="str">
        <f>lang!B205</f>
        <v>평균값</v>
      </c>
      <c r="P31" s="852"/>
      <c r="Q31" s="851" t="str">
        <f>lang!B206</f>
        <v>최대값</v>
      </c>
      <c r="R31" s="853"/>
    </row>
    <row r="32" spans="2:20" ht="12.75" customHeight="1">
      <c r="C32" s="382"/>
      <c r="D32" s="383"/>
      <c r="E32" s="383"/>
      <c r="F32" s="383"/>
      <c r="G32" s="383"/>
      <c r="H32" s="383"/>
      <c r="I32" s="501">
        <f>Measurement!L7</f>
        <v>3</v>
      </c>
      <c r="J32" s="138" t="str">
        <f>lang!B14</f>
        <v>적극/공격성</v>
      </c>
      <c r="K32" s="89" t="s">
        <v>225</v>
      </c>
      <c r="L32" s="503" t="str">
        <f>Measurement!Y7</f>
        <v>보통</v>
      </c>
      <c r="M32" s="854">
        <f>Measurement!R7</f>
        <v>18.661000000000001</v>
      </c>
      <c r="N32" s="855"/>
      <c r="O32" s="856">
        <f>Measurement!N7</f>
        <v>25.583400000000001</v>
      </c>
      <c r="P32" s="857"/>
      <c r="Q32" s="858">
        <f>Measurement!T7</f>
        <v>32.557899999999997</v>
      </c>
      <c r="R32" s="859"/>
    </row>
    <row r="33" spans="3:18" ht="12.75" customHeight="1">
      <c r="C33" s="77"/>
      <c r="I33" s="502">
        <f>Measurement!L8</f>
        <v>4</v>
      </c>
      <c r="J33" s="139" t="str">
        <f>lang!B15</f>
        <v>스트레스</v>
      </c>
      <c r="K33" s="90" t="s">
        <v>226</v>
      </c>
      <c r="L33" s="504" t="str">
        <f>Measurement!Y8</f>
        <v>높음</v>
      </c>
      <c r="M33" s="860">
        <f>Measurement!R8</f>
        <v>35.127400000000002</v>
      </c>
      <c r="N33" s="861"/>
      <c r="O33" s="862">
        <f>Measurement!N8</f>
        <v>39.966099999999997</v>
      </c>
      <c r="P33" s="863"/>
      <c r="Q33" s="860">
        <f>Measurement!T8</f>
        <v>41.722999999999999</v>
      </c>
      <c r="R33" s="864"/>
    </row>
    <row r="34" spans="3:18" ht="12.75" customHeight="1">
      <c r="C34" s="77"/>
      <c r="I34" s="502">
        <f>Measurement!L9</f>
        <v>4</v>
      </c>
      <c r="J34" s="139" t="str">
        <f>lang!B16</f>
        <v>불안</v>
      </c>
      <c r="K34" s="90" t="s">
        <v>227</v>
      </c>
      <c r="L34" s="504" t="str">
        <f>Measurement!Y9</f>
        <v>높음</v>
      </c>
      <c r="M34" s="860">
        <f>Measurement!R9</f>
        <v>16.345500000000001</v>
      </c>
      <c r="N34" s="861"/>
      <c r="O34" s="862">
        <f>Measurement!N9</f>
        <v>35.196800000000003</v>
      </c>
      <c r="P34" s="863"/>
      <c r="Q34" s="860">
        <f>Measurement!T9</f>
        <v>39.297400000000003</v>
      </c>
      <c r="R34" s="864"/>
    </row>
    <row r="35" spans="3:18" ht="12.75" customHeight="1">
      <c r="C35" s="77"/>
      <c r="I35" s="502">
        <f>Measurement!L10</f>
        <v>3</v>
      </c>
      <c r="J35" s="139" t="str">
        <f>lang!B17</f>
        <v>의심</v>
      </c>
      <c r="K35" s="90" t="s">
        <v>225</v>
      </c>
      <c r="L35" s="504" t="str">
        <f>Measurement!Y10</f>
        <v>보통</v>
      </c>
      <c r="M35" s="860">
        <f>Measurement!R10</f>
        <v>22.773900000000001</v>
      </c>
      <c r="N35" s="861"/>
      <c r="O35" s="862">
        <f>Measurement!N10</f>
        <v>32.251399999999997</v>
      </c>
      <c r="P35" s="863"/>
      <c r="Q35" s="860">
        <f>Measurement!T10</f>
        <v>35.773800000000001</v>
      </c>
      <c r="R35" s="864"/>
    </row>
    <row r="36" spans="3:18" ht="12.75" customHeight="1">
      <c r="C36" s="77"/>
      <c r="I36" s="502">
        <f>Measurement!L11</f>
        <v>4</v>
      </c>
      <c r="J36" s="139" t="str">
        <f>lang!B18</f>
        <v>밸런스</v>
      </c>
      <c r="K36" s="90" t="s">
        <v>2171</v>
      </c>
      <c r="L36" s="504" t="str">
        <f>Measurement!Y11</f>
        <v>높음</v>
      </c>
      <c r="M36" s="860">
        <f>Measurement!R11</f>
        <v>70.245999999999995</v>
      </c>
      <c r="N36" s="861"/>
      <c r="O36" s="862">
        <f>Measurement!N11</f>
        <v>74.331500000000005</v>
      </c>
      <c r="P36" s="863"/>
      <c r="Q36" s="860">
        <f>Measurement!T11</f>
        <v>82.680800000000005</v>
      </c>
      <c r="R36" s="864"/>
    </row>
    <row r="37" spans="3:18" ht="12.75" customHeight="1">
      <c r="C37" s="77"/>
      <c r="I37" s="502">
        <f>Measurement!L12</f>
        <v>3</v>
      </c>
      <c r="J37" s="139" t="str">
        <f>lang!B19</f>
        <v>카리스마</v>
      </c>
      <c r="K37" s="90" t="s">
        <v>229</v>
      </c>
      <c r="L37" s="504" t="str">
        <f>Measurement!Y12</f>
        <v>보통</v>
      </c>
      <c r="M37" s="860">
        <f>Measurement!R12</f>
        <v>65.675399999999996</v>
      </c>
      <c r="N37" s="861"/>
      <c r="O37" s="862">
        <f>Measurement!N12</f>
        <v>66.790400000000005</v>
      </c>
      <c r="P37" s="863"/>
      <c r="Q37" s="860">
        <f>Measurement!T12</f>
        <v>69.625699999999995</v>
      </c>
      <c r="R37" s="864"/>
    </row>
    <row r="38" spans="3:18" ht="12.75" customHeight="1">
      <c r="C38" s="77"/>
      <c r="I38" s="502">
        <f>Measurement!L13</f>
        <v>1</v>
      </c>
      <c r="J38" s="139" t="str">
        <f>lang!B20</f>
        <v>에너지</v>
      </c>
      <c r="K38" s="90" t="s">
        <v>2170</v>
      </c>
      <c r="L38" s="504" t="str">
        <f>Measurement!Y13</f>
        <v>매우 낮음</v>
      </c>
      <c r="M38" s="860">
        <f>Measurement!R13</f>
        <v>8.9468300000000003</v>
      </c>
      <c r="N38" s="861"/>
      <c r="O38" s="862">
        <f>Measurement!N13</f>
        <v>10.7736</v>
      </c>
      <c r="P38" s="863"/>
      <c r="Q38" s="860">
        <f>Measurement!T13</f>
        <v>12.3071</v>
      </c>
      <c r="R38" s="864"/>
    </row>
    <row r="39" spans="3:18" ht="12.75" customHeight="1">
      <c r="C39" s="77"/>
      <c r="I39" s="502">
        <f>Measurement!L14</f>
        <v>3</v>
      </c>
      <c r="J39" s="139" t="str">
        <f>lang!B21</f>
        <v>자기조절</v>
      </c>
      <c r="K39" s="90" t="s">
        <v>230</v>
      </c>
      <c r="L39" s="504" t="str">
        <f>Measurement!Y14</f>
        <v>보통</v>
      </c>
      <c r="M39" s="860">
        <f>Measurement!R14</f>
        <v>68.828100000000006</v>
      </c>
      <c r="N39" s="861"/>
      <c r="O39" s="862">
        <f>Measurement!N14</f>
        <v>70.715299999999999</v>
      </c>
      <c r="P39" s="863"/>
      <c r="Q39" s="860">
        <f>Measurement!T14</f>
        <v>76.124300000000005</v>
      </c>
      <c r="R39" s="864"/>
    </row>
    <row r="40" spans="3:18" ht="12.75" customHeight="1">
      <c r="C40" s="77"/>
      <c r="I40" s="502">
        <f>Measurement!L15</f>
        <v>2</v>
      </c>
      <c r="J40" s="139" t="str">
        <f>lang!B22</f>
        <v>억제</v>
      </c>
      <c r="K40" s="91" t="s">
        <v>248</v>
      </c>
      <c r="L40" s="504" t="str">
        <f>Measurement!Y15</f>
        <v>낮음</v>
      </c>
      <c r="M40" s="860">
        <f>Measurement!R15</f>
        <v>11.539</v>
      </c>
      <c r="N40" s="861"/>
      <c r="O40" s="862">
        <f>Measurement!N15</f>
        <v>13.9268</v>
      </c>
      <c r="P40" s="863"/>
      <c r="Q40" s="860">
        <f>Measurement!T15</f>
        <v>16.3445</v>
      </c>
      <c r="R40" s="864"/>
    </row>
    <row r="41" spans="3:18" ht="12.75" customHeight="1" thickBot="1">
      <c r="C41" s="77"/>
      <c r="I41" s="502">
        <f>Measurement!L16</f>
        <v>2</v>
      </c>
      <c r="J41" s="140" t="str">
        <f>lang!B23</f>
        <v>신경성</v>
      </c>
      <c r="K41" s="92" t="s">
        <v>231</v>
      </c>
      <c r="L41" s="504" t="str">
        <f>Measurement!Y16</f>
        <v>낮음</v>
      </c>
      <c r="M41" s="901">
        <f>Measurement!R16</f>
        <v>0.498199</v>
      </c>
      <c r="N41" s="902"/>
      <c r="O41" s="903">
        <f>Measurement!N16</f>
        <v>14.3598</v>
      </c>
      <c r="P41" s="904"/>
      <c r="Q41" s="901">
        <f>Measurement!T16</f>
        <v>14.6265</v>
      </c>
      <c r="R41" s="905"/>
    </row>
    <row r="42" spans="3:18" ht="29.25" customHeight="1" thickBot="1">
      <c r="C42" s="77"/>
      <c r="I42" s="84"/>
      <c r="J42" s="889" t="str">
        <f>lang!B215</f>
        <v>감정변이도</v>
      </c>
      <c r="K42" s="890"/>
      <c r="L42" s="319" t="str">
        <f>info!V43</f>
        <v>낮음</v>
      </c>
      <c r="M42" s="891">
        <f>info!W43</f>
        <v>9.7936800000000002</v>
      </c>
      <c r="N42" s="892"/>
      <c r="O42" s="893" t="str">
        <f>info!V44</f>
        <v>감정변화가 낮은 상태</v>
      </c>
      <c r="P42" s="894"/>
      <c r="Q42" s="894"/>
      <c r="R42" s="895"/>
    </row>
    <row r="43" spans="3:18" ht="16.5" customHeight="1">
      <c r="C43" s="896" t="str">
        <f>lang!B226</f>
        <v>활력도</v>
      </c>
      <c r="D43" s="897"/>
      <c r="E43" s="897"/>
      <c r="F43" s="898" t="str">
        <f>info!V40</f>
        <v>보 통</v>
      </c>
      <c r="G43" s="898"/>
      <c r="H43" s="898"/>
      <c r="I43" s="899"/>
      <c r="J43" s="896" t="str">
        <f>lang!B237</f>
        <v>집중도</v>
      </c>
      <c r="K43" s="897"/>
      <c r="L43" s="897"/>
      <c r="M43" s="898" t="str">
        <f>info!W40</f>
        <v>보 통</v>
      </c>
      <c r="N43" s="898"/>
      <c r="O43" s="898"/>
      <c r="P43" s="898"/>
      <c r="Q43" s="898"/>
      <c r="R43" s="900"/>
    </row>
    <row r="44" spans="3:18" ht="16.5" customHeight="1">
      <c r="C44" s="865">
        <f>info!$V$36</f>
        <v>1.0626100000000001</v>
      </c>
      <c r="E44" s="249" t="s">
        <v>1072</v>
      </c>
      <c r="G44" s="289"/>
      <c r="H44" s="289"/>
      <c r="I44" s="290"/>
      <c r="J44" s="868">
        <f>info!$W$36</f>
        <v>53.935840000000006</v>
      </c>
      <c r="K44" s="237"/>
      <c r="L44" s="241" t="s">
        <v>1072</v>
      </c>
      <c r="M44" s="237"/>
      <c r="N44" s="237"/>
      <c r="O44" s="237"/>
      <c r="P44" s="237"/>
      <c r="Q44" s="237"/>
      <c r="R44" s="238"/>
    </row>
    <row r="45" spans="3:18">
      <c r="C45" s="866"/>
      <c r="G45" s="291"/>
      <c r="H45" s="291"/>
      <c r="I45" s="292"/>
      <c r="J45" s="868"/>
      <c r="K45" s="237"/>
      <c r="L45" s="237"/>
      <c r="M45" s="237"/>
      <c r="N45" s="237"/>
      <c r="O45" s="237"/>
      <c r="P45" s="237"/>
      <c r="Q45" s="237"/>
      <c r="R45" s="238"/>
    </row>
    <row r="46" spans="3:18">
      <c r="C46" s="866"/>
      <c r="G46" s="291"/>
      <c r="H46" s="291"/>
      <c r="I46" s="292"/>
      <c r="J46" s="868"/>
      <c r="K46" s="237"/>
      <c r="L46" s="237"/>
      <c r="M46" s="237"/>
      <c r="N46" s="237"/>
      <c r="O46" s="237"/>
      <c r="P46" s="237"/>
      <c r="Q46" s="237"/>
      <c r="R46" s="238"/>
    </row>
    <row r="47" spans="3:18">
      <c r="C47" s="866"/>
      <c r="G47" s="291"/>
      <c r="H47" s="291"/>
      <c r="I47" s="292"/>
      <c r="J47" s="868"/>
      <c r="K47" s="237"/>
      <c r="L47" s="237"/>
      <c r="M47" s="237"/>
      <c r="N47" s="237"/>
      <c r="O47" s="237"/>
      <c r="P47" s="237"/>
      <c r="Q47" s="237"/>
      <c r="R47" s="238"/>
    </row>
    <row r="48" spans="3:18">
      <c r="C48" s="866"/>
      <c r="G48" s="291"/>
      <c r="H48" s="291"/>
      <c r="I48" s="292"/>
      <c r="J48" s="868"/>
      <c r="K48" s="237"/>
      <c r="L48" s="237"/>
      <c r="M48" s="237"/>
      <c r="N48" s="237"/>
      <c r="O48" s="237"/>
      <c r="P48" s="237"/>
      <c r="Q48" s="237"/>
      <c r="R48" s="238"/>
    </row>
    <row r="49" spans="3:18" ht="16.5" customHeight="1">
      <c r="C49" s="866"/>
      <c r="G49" s="291"/>
      <c r="H49" s="291"/>
      <c r="I49" s="292"/>
      <c r="J49" s="868"/>
      <c r="K49" s="237"/>
      <c r="L49" s="237"/>
      <c r="M49" s="237"/>
      <c r="N49" s="237"/>
      <c r="O49" s="237"/>
      <c r="P49" s="237"/>
      <c r="Q49" s="237"/>
      <c r="R49" s="238"/>
    </row>
    <row r="50" spans="3:18" ht="16.5" customHeight="1">
      <c r="C50" s="866"/>
      <c r="G50" s="291"/>
      <c r="H50" s="291"/>
      <c r="I50" s="310" t="str">
        <f>lang!B226</f>
        <v>활력도</v>
      </c>
      <c r="J50" s="868"/>
      <c r="K50" s="237"/>
      <c r="L50" s="237"/>
      <c r="M50" s="237"/>
      <c r="N50" s="237"/>
      <c r="O50" s="237"/>
      <c r="P50" s="237"/>
      <c r="Q50" s="823" t="str">
        <f>lang!B237</f>
        <v>집중도</v>
      </c>
      <c r="R50" s="870"/>
    </row>
    <row r="51" spans="3:18" ht="16.8" thickBot="1">
      <c r="C51" s="867"/>
      <c r="D51" s="248"/>
      <c r="E51" s="248"/>
      <c r="F51" s="248"/>
      <c r="G51" s="293"/>
      <c r="H51" s="293"/>
      <c r="I51" s="294"/>
      <c r="J51" s="869"/>
      <c r="K51" s="239"/>
      <c r="L51" s="239"/>
      <c r="M51" s="239"/>
      <c r="N51" s="239"/>
      <c r="O51" s="239"/>
      <c r="P51" s="239"/>
      <c r="Q51" s="239"/>
      <c r="R51" s="240"/>
    </row>
    <row r="52" spans="3:18" ht="15" customHeight="1" thickBot="1">
      <c r="C52" s="871" t="str">
        <f>FH_info!AE2</f>
        <v>뇌피로 검사와 지속적인 모니터링 서비스가 필요하신 분은 홈페이지에 들어 가서 상담받으시기 바랍니다. (www.mindeye.co.kr)</v>
      </c>
      <c r="D52" s="872"/>
      <c r="E52" s="872"/>
      <c r="F52" s="872"/>
      <c r="G52" s="872"/>
      <c r="H52" s="872"/>
      <c r="I52" s="872"/>
      <c r="J52" s="872"/>
      <c r="K52" s="872"/>
      <c r="L52" s="872"/>
      <c r="M52" s="872"/>
      <c r="N52" s="872"/>
      <c r="O52" s="872"/>
      <c r="P52" s="872"/>
      <c r="Q52" s="872"/>
      <c r="R52" s="873"/>
    </row>
    <row r="53" spans="3:18" ht="9.75" customHeight="1">
      <c r="C53" s="93"/>
      <c r="D53" s="93"/>
      <c r="E53" s="93"/>
      <c r="F53" s="93"/>
      <c r="G53" s="93"/>
      <c r="H53" s="93"/>
      <c r="I53" s="93"/>
      <c r="J53" s="93"/>
      <c r="K53" s="93"/>
      <c r="L53" s="93"/>
      <c r="M53" s="93"/>
      <c r="N53" s="93"/>
      <c r="O53" s="93"/>
      <c r="P53" s="93"/>
      <c r="Q53" s="93"/>
      <c r="R53" s="93"/>
    </row>
  </sheetData>
  <mergeCells count="86">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 ref="C44:C51"/>
    <mergeCell ref="J44:J51"/>
    <mergeCell ref="Q50:R50"/>
    <mergeCell ref="M39:N39"/>
    <mergeCell ref="O39:P39"/>
    <mergeCell ref="Q39:R39"/>
    <mergeCell ref="O40:P40"/>
    <mergeCell ref="Q40:R40"/>
    <mergeCell ref="M37:N37"/>
    <mergeCell ref="O37:P37"/>
    <mergeCell ref="Q37:R37"/>
    <mergeCell ref="M38:N38"/>
    <mergeCell ref="O38:P38"/>
    <mergeCell ref="Q38:R38"/>
    <mergeCell ref="M35:N35"/>
    <mergeCell ref="O35:P35"/>
    <mergeCell ref="Q35:R35"/>
    <mergeCell ref="M36:N36"/>
    <mergeCell ref="O36:P36"/>
    <mergeCell ref="Q36:R36"/>
    <mergeCell ref="M33:N33"/>
    <mergeCell ref="O33:P33"/>
    <mergeCell ref="Q33:R33"/>
    <mergeCell ref="M34:N34"/>
    <mergeCell ref="O34:P34"/>
    <mergeCell ref="Q34:R34"/>
    <mergeCell ref="C31:I31"/>
    <mergeCell ref="M31:N31"/>
    <mergeCell ref="O31:P31"/>
    <mergeCell ref="Q31:R31"/>
    <mergeCell ref="M32:N32"/>
    <mergeCell ref="O32:P32"/>
    <mergeCell ref="Q32:R32"/>
    <mergeCell ref="D23:E23"/>
    <mergeCell ref="H25:I26"/>
    <mergeCell ref="M25:N26"/>
    <mergeCell ref="C28:I29"/>
    <mergeCell ref="J28:R29"/>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56"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764" t="str">
        <f>FH_info!AC2</f>
        <v>심리생리 검사 결과</v>
      </c>
      <c r="D3" s="764"/>
      <c r="E3" s="764"/>
      <c r="F3" s="764"/>
      <c r="G3" s="764"/>
      <c r="H3" s="764"/>
      <c r="I3" s="764"/>
      <c r="J3" s="764"/>
      <c r="K3" s="764"/>
      <c r="L3" s="764"/>
      <c r="M3" s="764"/>
      <c r="N3" s="764"/>
      <c r="O3" s="765" t="str">
        <f>FH_info!AB2</f>
        <v>마인드아이</v>
      </c>
      <c r="P3" s="765"/>
      <c r="Q3" s="765"/>
      <c r="R3" s="765"/>
    </row>
    <row r="4" spans="2:18" ht="14.25" customHeight="1">
      <c r="C4" s="764"/>
      <c r="D4" s="764"/>
      <c r="E4" s="764"/>
      <c r="F4" s="764"/>
      <c r="G4" s="764"/>
      <c r="H4" s="764"/>
      <c r="I4" s="764"/>
      <c r="J4" s="764"/>
      <c r="K4" s="764"/>
      <c r="L4" s="764"/>
      <c r="M4" s="764"/>
      <c r="N4" s="764"/>
      <c r="O4" s="765"/>
      <c r="P4" s="765"/>
      <c r="Q4" s="765"/>
      <c r="R4" s="765"/>
    </row>
    <row r="5" spans="2:18" ht="3" customHeight="1"/>
    <row r="6" spans="2:18" ht="1.5" customHeight="1" thickBot="1"/>
    <row r="7" spans="2:18">
      <c r="C7" s="766">
        <v>1</v>
      </c>
      <c r="D7" s="767"/>
      <c r="E7" s="768"/>
      <c r="F7" s="166" t="str">
        <f>lang!B159</f>
        <v>측정일</v>
      </c>
      <c r="G7" s="771">
        <f>IF(FH_info!A2="","",FH_info!A2)</f>
        <v>45778.78328703704</v>
      </c>
      <c r="H7" s="772"/>
      <c r="I7" s="773"/>
      <c r="J7" s="166" t="str">
        <f>lang!B160</f>
        <v>나이</v>
      </c>
      <c r="K7" s="774" t="str">
        <f>IF(FH_info!B2="","",TRIM(MID(SUBSTITUTE(FH_info!B2,"^",REPT(" ",LEN(FH_info!B2))),LEN(FH_info!B2)*4-LEN(FH_info!B2)+1,LEN(FH_info!B2))))</f>
        <v>1</v>
      </c>
      <c r="L7" s="774"/>
      <c r="M7" s="166" t="str">
        <f>lang!B161</f>
        <v>성별</v>
      </c>
      <c r="N7" s="775" t="str">
        <f>IF(FH_info!B2="","", FH_info!Y2)</f>
        <v>남성</v>
      </c>
      <c r="O7" s="776"/>
      <c r="P7" s="777" t="str">
        <f>lang!B164</f>
        <v>측정장소</v>
      </c>
      <c r="Q7" s="778"/>
      <c r="R7" s="779"/>
    </row>
    <row r="8" spans="2:18">
      <c r="C8" s="769"/>
      <c r="D8" s="749"/>
      <c r="E8" s="770"/>
      <c r="F8" s="146" t="str">
        <f>lang!B165</f>
        <v>이름</v>
      </c>
      <c r="G8" s="780" t="str">
        <f>IF(FH_info!B2="","",TRIM(MID(SUBSTITUTE(FH_info!B2,"^",REPT(" ",LEN(FH_info!B2))),LEN(FH_info!B2)*2-LEN(FH_info!B2)+1,LEN(FH_info!B2))))</f>
        <v>mj6r</v>
      </c>
      <c r="H8" s="781"/>
      <c r="I8" s="782"/>
      <c r="J8" s="146" t="str">
        <f>lang!B166</f>
        <v>직업</v>
      </c>
      <c r="K8" s="783"/>
      <c r="L8" s="783"/>
      <c r="M8" s="146" t="str">
        <f>lang!B167</f>
        <v>ID</v>
      </c>
      <c r="N8" s="784"/>
      <c r="O8" s="785"/>
      <c r="P8" s="780" t="str">
        <f>IF(FH_info!B2="","",TRIM(MID(SUBSTITUTE(FH_info!B2,"^",REPT(" ",LEN(FH_info!B2))),LEN(FH_info!B2)*5-LEN(FH_info!B2)+1,LEN(FH_info!B2))))</f>
        <v/>
      </c>
      <c r="Q8" s="781"/>
      <c r="R8" s="786"/>
    </row>
    <row r="9" spans="2:18" ht="9" customHeight="1">
      <c r="C9" s="769"/>
      <c r="D9" s="749"/>
      <c r="E9" s="770"/>
      <c r="F9" s="787" t="str">
        <f>lang!B168</f>
        <v>상담
내용</v>
      </c>
      <c r="G9" s="789"/>
      <c r="H9" s="790"/>
      <c r="I9" s="790"/>
      <c r="J9" s="790"/>
      <c r="K9" s="790"/>
      <c r="L9" s="790"/>
      <c r="M9" s="790"/>
      <c r="N9" s="790"/>
      <c r="O9" s="790"/>
      <c r="P9" s="790"/>
      <c r="Q9" s="790"/>
      <c r="R9" s="791"/>
    </row>
    <row r="10" spans="2:18" ht="9" customHeight="1">
      <c r="C10" s="769"/>
      <c r="D10" s="749"/>
      <c r="E10" s="770"/>
      <c r="F10" s="788"/>
      <c r="G10" s="792"/>
      <c r="H10" s="793"/>
      <c r="I10" s="793"/>
      <c r="J10" s="793"/>
      <c r="K10" s="793"/>
      <c r="L10" s="793"/>
      <c r="M10" s="793"/>
      <c r="N10" s="793"/>
      <c r="O10" s="793"/>
      <c r="P10" s="793"/>
      <c r="Q10" s="793"/>
      <c r="R10" s="794"/>
    </row>
    <row r="11" spans="2:18" ht="19.5" customHeight="1" thickBot="1">
      <c r="C11" s="769"/>
      <c r="D11" s="749"/>
      <c r="E11" s="770"/>
      <c r="F11" s="788"/>
      <c r="G11" s="792"/>
      <c r="H11" s="793"/>
      <c r="I11" s="793"/>
      <c r="J11" s="793"/>
      <c r="K11" s="793"/>
      <c r="L11" s="793"/>
      <c r="M11" s="793"/>
      <c r="N11" s="793"/>
      <c r="O11" s="793"/>
      <c r="P11" s="793"/>
      <c r="Q11" s="793"/>
      <c r="R11" s="794"/>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2</v>
      </c>
    </row>
    <row r="13" spans="2:18" ht="12" customHeight="1">
      <c r="C13" s="795" t="str">
        <f>lang!B255</f>
        <v>종합 검사
결과 분류</v>
      </c>
      <c r="D13" s="798" t="str">
        <f>Measurement!CJ14</f>
        <v>정상/휴식 집단에 속하며,</v>
      </c>
      <c r="E13" s="799"/>
      <c r="F13" s="799"/>
      <c r="G13" s="802" t="str">
        <f>Measurement!CJ11</f>
        <v>차분한 상태입니다.</v>
      </c>
      <c r="H13" s="802"/>
      <c r="I13" s="802"/>
      <c r="J13" s="803"/>
      <c r="K13" s="874" t="str">
        <f>Measurement!CN9</f>
        <v>정상/휴식 집단</v>
      </c>
      <c r="L13" s="875"/>
      <c r="M13" s="875"/>
      <c r="N13" s="875"/>
      <c r="O13" s="878"/>
      <c r="P13" s="806" t="str">
        <f>Measurement!CW9</f>
        <v>힐링/치유 집단</v>
      </c>
      <c r="Q13" s="806"/>
      <c r="R13" s="807"/>
    </row>
    <row r="14" spans="2:18" ht="12" customHeight="1">
      <c r="B14" s="79"/>
      <c r="C14" s="796"/>
      <c r="D14" s="800"/>
      <c r="E14" s="801"/>
      <c r="F14" s="801"/>
      <c r="G14" s="804"/>
      <c r="H14" s="804"/>
      <c r="I14" s="804"/>
      <c r="J14" s="805"/>
      <c r="K14" s="876"/>
      <c r="L14" s="877"/>
      <c r="M14" s="877"/>
      <c r="N14" s="877"/>
      <c r="O14" s="879"/>
      <c r="P14" s="808"/>
      <c r="Q14" s="808"/>
      <c r="R14" s="809"/>
    </row>
    <row r="15" spans="2:18" ht="28.5" customHeight="1">
      <c r="B15" s="79"/>
      <c r="C15" s="796"/>
      <c r="D15" s="822" t="str">
        <f>Measurement!CJ12</f>
        <v>뇌 피로도 수준이 평균입니다. 에너지가 낮아 정적이고 지금 하는 일에 집중을 잘하고 있습니다. 일에 만족도를 높이기 위해선 신체적인 활력에너지를 높여주면 좋습니다.</v>
      </c>
      <c r="E15" s="823"/>
      <c r="F15" s="823"/>
      <c r="G15" s="823"/>
      <c r="H15" s="823"/>
      <c r="I15" s="823"/>
      <c r="J15" s="824"/>
      <c r="K15" s="818" t="str">
        <f>Measurement!CN10</f>
        <v>최상의 상태</v>
      </c>
      <c r="L15" s="818"/>
      <c r="M15" s="818" t="str">
        <f>Measurement!CU10</f>
        <v>스트레스</v>
      </c>
      <c r="N15" s="818"/>
      <c r="O15" s="818"/>
      <c r="P15" s="818" t="str">
        <f>Measurement!CY10</f>
        <v>화</v>
      </c>
      <c r="Q15" s="818"/>
      <c r="R15" s="819"/>
    </row>
    <row r="16" spans="2:18" ht="28.5" customHeight="1">
      <c r="B16" s="79"/>
      <c r="C16" s="796"/>
      <c r="D16" s="822"/>
      <c r="E16" s="823"/>
      <c r="F16" s="823"/>
      <c r="G16" s="823"/>
      <c r="H16" s="823"/>
      <c r="I16" s="823"/>
      <c r="J16" s="824"/>
      <c r="K16" s="909" t="str">
        <f>Measurement!CO10</f>
        <v>균형 상태</v>
      </c>
      <c r="L16" s="908"/>
      <c r="M16" s="908" t="str">
        <f>Measurement!CV10</f>
        <v>불쾌</v>
      </c>
      <c r="N16" s="908"/>
      <c r="O16" s="908"/>
      <c r="P16" s="820" t="str">
        <f>Measurement!CR10</f>
        <v>충동</v>
      </c>
      <c r="Q16" s="820"/>
      <c r="R16" s="821"/>
    </row>
    <row r="17" spans="2:20" ht="28.5" customHeight="1">
      <c r="B17" s="79"/>
      <c r="C17" s="796"/>
      <c r="D17" s="822"/>
      <c r="E17" s="823"/>
      <c r="F17" s="823"/>
      <c r="G17" s="823"/>
      <c r="H17" s="823"/>
      <c r="I17" s="823"/>
      <c r="J17" s="824"/>
      <c r="K17" s="906" t="str">
        <f>Measurement!CP10</f>
        <v>차분한 상태</v>
      </c>
      <c r="L17" s="820"/>
      <c r="M17" s="906" t="str">
        <f>Measurement!CT10</f>
        <v>피곤</v>
      </c>
      <c r="N17" s="820"/>
      <c r="O17" s="820"/>
      <c r="P17" s="820" t="str">
        <f>Measurement!CW10</f>
        <v>무기력</v>
      </c>
      <c r="Q17" s="820"/>
      <c r="R17" s="821"/>
    </row>
    <row r="18" spans="2:20" ht="28.5" customHeight="1" thickBot="1">
      <c r="B18" s="79"/>
      <c r="C18" s="797"/>
      <c r="D18" s="810" t="str">
        <f>Measurement!CL7</f>
        <v>( 90 , 4 )</v>
      </c>
      <c r="E18" s="811"/>
      <c r="F18" s="811"/>
      <c r="G18" s="811"/>
      <c r="H18" s="811"/>
      <c r="I18" s="811"/>
      <c r="J18" s="812"/>
      <c r="K18" s="907" t="str">
        <f>Measurement!CQ10</f>
        <v>활동적/적극적</v>
      </c>
      <c r="L18" s="762"/>
      <c r="M18" s="762" t="str">
        <f>Measurement!CS10</f>
        <v>불안</v>
      </c>
      <c r="N18" s="762"/>
      <c r="O18" s="762"/>
      <c r="P18" s="762" t="str">
        <f>Measurement!CX10</f>
        <v>우울징후</v>
      </c>
      <c r="Q18" s="762"/>
      <c r="R18" s="763"/>
    </row>
    <row r="19" spans="2:20" ht="17.25" customHeight="1" thickBot="1">
      <c r="B19" s="79"/>
      <c r="C19" s="825" t="str">
        <f>lang!B169</f>
        <v>뇌 피로도 및 유형</v>
      </c>
      <c r="D19" s="826"/>
      <c r="E19" s="826"/>
      <c r="F19" s="826"/>
      <c r="G19" s="826"/>
      <c r="H19" s="826"/>
      <c r="I19" s="826"/>
      <c r="J19" s="826"/>
      <c r="K19" s="826"/>
      <c r="L19" s="826"/>
      <c r="M19" s="826"/>
      <c r="N19" s="826"/>
      <c r="O19" s="826"/>
      <c r="P19" s="826"/>
      <c r="Q19" s="826"/>
      <c r="R19" s="827"/>
    </row>
    <row r="20" spans="2:20" ht="21" customHeight="1">
      <c r="C20" s="828" t="str">
        <f>lang!B178</f>
        <v>뇌피로 상태</v>
      </c>
      <c r="D20" s="829"/>
      <c r="E20" s="830" t="str">
        <f>Measurement!AR7</f>
        <v>보통</v>
      </c>
      <c r="F20" s="831"/>
      <c r="G20" s="327" t="str">
        <f>lang!B179</f>
        <v>지수</v>
      </c>
      <c r="H20" s="832">
        <f>Measurement!AQ7</f>
        <v>-0.33432424800337945</v>
      </c>
      <c r="I20" s="833"/>
      <c r="J20" s="311" t="str">
        <f>lang!B174</f>
        <v>정보량</v>
      </c>
      <c r="K20" s="236">
        <f ca="1">info!N9</f>
        <v>48.581180769230777</v>
      </c>
      <c r="L20" s="312" t="str">
        <f>lang!B175</f>
        <v>에너지</v>
      </c>
      <c r="M20" s="834">
        <f ca="1">info!M9</f>
        <v>2.140043846153846</v>
      </c>
      <c r="N20" s="835"/>
      <c r="O20" s="816" t="str">
        <f>lang!B180</f>
        <v>유형</v>
      </c>
      <c r="P20" s="836"/>
      <c r="Q20" s="816" t="str">
        <f>IF(info!CB24&lt;&gt;"", info!CB24,"")</f>
        <v>2</v>
      </c>
      <c r="R20" s="817"/>
      <c r="S20" s="164">
        <f>Measurement!AS7</f>
        <v>3</v>
      </c>
    </row>
    <row r="21" spans="2:20" ht="12" customHeight="1">
      <c r="C21" s="202" t="s">
        <v>1072</v>
      </c>
      <c r="D21" s="180"/>
      <c r="E21" s="180"/>
      <c r="F21" s="180"/>
      <c r="G21" s="180"/>
      <c r="H21" s="203">
        <f>Measurement!AS7</f>
        <v>3</v>
      </c>
      <c r="I21" s="184"/>
      <c r="J21" s="177"/>
      <c r="K21" s="813" t="str">
        <f>lang!B334</f>
        <v>심리생리
정보량(%)</v>
      </c>
      <c r="L21" s="813"/>
      <c r="M21" s="177"/>
      <c r="N21" s="177"/>
      <c r="O21" s="178"/>
      <c r="P21" s="178"/>
      <c r="Q21" s="178"/>
      <c r="R21" s="185"/>
    </row>
    <row r="22" spans="2:20" ht="25.5" customHeight="1">
      <c r="C22" s="147"/>
      <c r="D22" s="815"/>
      <c r="E22" s="815"/>
      <c r="F22" s="148"/>
      <c r="G22" s="148"/>
      <c r="H22" s="148"/>
      <c r="I22" s="149"/>
      <c r="J22" s="177"/>
      <c r="K22" s="814"/>
      <c r="L22" s="814"/>
      <c r="M22" s="177"/>
      <c r="N22" s="177"/>
      <c r="O22" s="177"/>
      <c r="P22" s="177"/>
      <c r="Q22" s="177"/>
      <c r="R22" s="179"/>
      <c r="T22" s="80"/>
    </row>
    <row r="23" spans="2:20" ht="25.5" customHeight="1">
      <c r="C23" s="147"/>
      <c r="D23" s="837"/>
      <c r="E23" s="837"/>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38" t="str">
        <f>lang!B176</f>
        <v>뇌 피로도</v>
      </c>
      <c r="I25" s="839"/>
      <c r="J25" s="177"/>
      <c r="K25" s="177"/>
      <c r="L25" s="177"/>
      <c r="M25" s="840" t="str">
        <f>lang!B335</f>
        <v>에너지
(kcal/min)</v>
      </c>
      <c r="N25" s="840"/>
      <c r="O25" s="177"/>
      <c r="P25" s="177"/>
      <c r="Q25" s="177"/>
      <c r="R25" s="179"/>
    </row>
    <row r="26" spans="2:20" ht="10.5" customHeight="1">
      <c r="C26" s="147"/>
      <c r="D26" s="148"/>
      <c r="E26" s="148"/>
      <c r="F26" s="148"/>
      <c r="G26" s="148"/>
      <c r="H26" s="838"/>
      <c r="I26" s="839"/>
      <c r="J26" s="177"/>
      <c r="K26" s="177"/>
      <c r="L26" s="177"/>
      <c r="M26" s="840"/>
      <c r="N26" s="840"/>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41" t="str">
        <f>Measurement!AV7</f>
        <v>보통인 뇌피로 상태입니다</v>
      </c>
      <c r="D28" s="842"/>
      <c r="E28" s="842"/>
      <c r="F28" s="843"/>
      <c r="G28" s="843"/>
      <c r="H28" s="843"/>
      <c r="I28" s="844"/>
      <c r="J28" s="845" t="str">
        <f ca="1">IF(UPPER(FH_info!M2)="EN", "", IF(info!CB31&lt;&gt;"",info!CB31,""))</f>
        <v>심리적으로 기분이 낮은 정서 상태이다. 점점 기분이 낮아질수 있다. 에너지 대사량이 보통이며 증가하고 있다.</v>
      </c>
      <c r="K28" s="846"/>
      <c r="L28" s="846"/>
      <c r="M28" s="846"/>
      <c r="N28" s="846"/>
      <c r="O28" s="846"/>
      <c r="P28" s="846"/>
      <c r="Q28" s="846"/>
      <c r="R28" s="847"/>
    </row>
    <row r="29" spans="2:20" ht="14.25" customHeight="1">
      <c r="C29" s="841"/>
      <c r="D29" s="842"/>
      <c r="E29" s="842"/>
      <c r="F29" s="843"/>
      <c r="G29" s="843"/>
      <c r="H29" s="843"/>
      <c r="I29" s="844"/>
      <c r="J29" s="845"/>
      <c r="K29" s="846"/>
      <c r="L29" s="846"/>
      <c r="M29" s="846"/>
      <c r="N29" s="846"/>
      <c r="O29" s="846"/>
      <c r="P29" s="846"/>
      <c r="Q29" s="846"/>
      <c r="R29" s="847"/>
    </row>
    <row r="30" spans="2:20" ht="2.25" customHeight="1" thickBot="1">
      <c r="C30" s="77"/>
      <c r="E30" s="78"/>
      <c r="F30" s="83"/>
      <c r="I30" s="84"/>
      <c r="J30" s="181"/>
      <c r="K30" s="182"/>
      <c r="L30" s="183"/>
      <c r="M30" s="85"/>
      <c r="N30" s="85"/>
      <c r="O30" s="85"/>
      <c r="P30" s="85"/>
      <c r="Q30" s="85"/>
      <c r="R30" s="86"/>
    </row>
    <row r="31" spans="2:20" ht="16.5" customHeight="1" thickBot="1">
      <c r="C31" s="848" t="str">
        <f>lang!B200</f>
        <v>심리상태 차트</v>
      </c>
      <c r="D31" s="849"/>
      <c r="E31" s="849"/>
      <c r="F31" s="849"/>
      <c r="G31" s="849"/>
      <c r="H31" s="849"/>
      <c r="I31" s="850"/>
      <c r="J31" s="195" t="str">
        <f>lang!B201</f>
        <v>항목</v>
      </c>
      <c r="K31" s="196" t="str">
        <f>lang!B202</f>
        <v>범위</v>
      </c>
      <c r="L31" s="196" t="str">
        <f>lang!B203</f>
        <v>판정</v>
      </c>
      <c r="M31" s="851" t="str">
        <f>lang!B204</f>
        <v>최소값</v>
      </c>
      <c r="N31" s="852"/>
      <c r="O31" s="851" t="str">
        <f>lang!B205</f>
        <v>평균값</v>
      </c>
      <c r="P31" s="852"/>
      <c r="Q31" s="851" t="str">
        <f>lang!B206</f>
        <v>최대값</v>
      </c>
      <c r="R31" s="853"/>
    </row>
    <row r="32" spans="2:20" ht="12.75" customHeight="1">
      <c r="C32" s="382"/>
      <c r="D32" s="383"/>
      <c r="E32" s="383"/>
      <c r="F32" s="383"/>
      <c r="G32" s="383"/>
      <c r="H32" s="383"/>
      <c r="I32" s="501">
        <f>Measurement!L7</f>
        <v>3</v>
      </c>
      <c r="J32" s="138" t="str">
        <f>lang!B14</f>
        <v>적극/공격성</v>
      </c>
      <c r="K32" s="89" t="s">
        <v>225</v>
      </c>
      <c r="L32" s="503" t="str">
        <f>Measurement!Y7</f>
        <v>보통</v>
      </c>
      <c r="M32" s="854">
        <f>Measurement!R7</f>
        <v>18.661000000000001</v>
      </c>
      <c r="N32" s="855"/>
      <c r="O32" s="856">
        <f>Measurement!N7</f>
        <v>25.583400000000001</v>
      </c>
      <c r="P32" s="857"/>
      <c r="Q32" s="858">
        <f>Measurement!T7</f>
        <v>32.557899999999997</v>
      </c>
      <c r="R32" s="859"/>
    </row>
    <row r="33" spans="3:18" ht="12.75" customHeight="1">
      <c r="C33" s="77"/>
      <c r="I33" s="502">
        <f>Measurement!L8</f>
        <v>4</v>
      </c>
      <c r="J33" s="139" t="str">
        <f>lang!B15</f>
        <v>스트레스</v>
      </c>
      <c r="K33" s="90" t="s">
        <v>226</v>
      </c>
      <c r="L33" s="504" t="str">
        <f>Measurement!Y8</f>
        <v>높음</v>
      </c>
      <c r="M33" s="860">
        <f>Measurement!R8</f>
        <v>35.127400000000002</v>
      </c>
      <c r="N33" s="861"/>
      <c r="O33" s="862">
        <f>Measurement!N8</f>
        <v>39.966099999999997</v>
      </c>
      <c r="P33" s="863"/>
      <c r="Q33" s="860">
        <f>Measurement!T8</f>
        <v>41.722999999999999</v>
      </c>
      <c r="R33" s="864"/>
    </row>
    <row r="34" spans="3:18" ht="12.75" customHeight="1">
      <c r="C34" s="77"/>
      <c r="I34" s="502">
        <f>Measurement!L9</f>
        <v>4</v>
      </c>
      <c r="J34" s="139" t="str">
        <f>lang!B16</f>
        <v>불안</v>
      </c>
      <c r="K34" s="90" t="s">
        <v>227</v>
      </c>
      <c r="L34" s="504" t="str">
        <f>Measurement!Y9</f>
        <v>높음</v>
      </c>
      <c r="M34" s="860">
        <f>Measurement!R9</f>
        <v>16.345500000000001</v>
      </c>
      <c r="N34" s="861"/>
      <c r="O34" s="862">
        <f>Measurement!N9</f>
        <v>35.196800000000003</v>
      </c>
      <c r="P34" s="863"/>
      <c r="Q34" s="860">
        <f>Measurement!T9</f>
        <v>39.297400000000003</v>
      </c>
      <c r="R34" s="864"/>
    </row>
    <row r="35" spans="3:18" ht="12.75" customHeight="1">
      <c r="C35" s="77"/>
      <c r="I35" s="502">
        <f>Measurement!L10</f>
        <v>3</v>
      </c>
      <c r="J35" s="139" t="str">
        <f>lang!B17</f>
        <v>의심</v>
      </c>
      <c r="K35" s="90" t="s">
        <v>225</v>
      </c>
      <c r="L35" s="504" t="str">
        <f>Measurement!Y10</f>
        <v>보통</v>
      </c>
      <c r="M35" s="860">
        <f>Measurement!R10</f>
        <v>22.773900000000001</v>
      </c>
      <c r="N35" s="861"/>
      <c r="O35" s="862">
        <f>Measurement!N10</f>
        <v>32.251399999999997</v>
      </c>
      <c r="P35" s="863"/>
      <c r="Q35" s="860">
        <f>Measurement!T10</f>
        <v>35.773800000000001</v>
      </c>
      <c r="R35" s="864"/>
    </row>
    <row r="36" spans="3:18" ht="12.75" customHeight="1">
      <c r="C36" s="77"/>
      <c r="I36" s="502">
        <f>Measurement!L11</f>
        <v>4</v>
      </c>
      <c r="J36" s="139" t="str">
        <f>lang!B18</f>
        <v>밸런스</v>
      </c>
      <c r="K36" s="90" t="s">
        <v>2171</v>
      </c>
      <c r="L36" s="504" t="str">
        <f>Measurement!Y11</f>
        <v>높음</v>
      </c>
      <c r="M36" s="860">
        <f>Measurement!R11</f>
        <v>70.245999999999995</v>
      </c>
      <c r="N36" s="861"/>
      <c r="O36" s="862">
        <f>Measurement!N11</f>
        <v>74.331500000000005</v>
      </c>
      <c r="P36" s="863"/>
      <c r="Q36" s="860">
        <f>Measurement!T11</f>
        <v>82.680800000000005</v>
      </c>
      <c r="R36" s="864"/>
    </row>
    <row r="37" spans="3:18" ht="12.75" customHeight="1">
      <c r="C37" s="77"/>
      <c r="I37" s="502">
        <f>Measurement!L12</f>
        <v>3</v>
      </c>
      <c r="J37" s="139" t="str">
        <f>lang!B19</f>
        <v>카리스마</v>
      </c>
      <c r="K37" s="90" t="s">
        <v>229</v>
      </c>
      <c r="L37" s="504" t="str">
        <f>Measurement!Y12</f>
        <v>보통</v>
      </c>
      <c r="M37" s="860">
        <f>Measurement!R12</f>
        <v>65.675399999999996</v>
      </c>
      <c r="N37" s="861"/>
      <c r="O37" s="862">
        <f>Measurement!N12</f>
        <v>66.790400000000005</v>
      </c>
      <c r="P37" s="863"/>
      <c r="Q37" s="860">
        <f>Measurement!T12</f>
        <v>69.625699999999995</v>
      </c>
      <c r="R37" s="864"/>
    </row>
    <row r="38" spans="3:18" ht="12.75" customHeight="1">
      <c r="C38" s="77"/>
      <c r="I38" s="502">
        <f>Measurement!L13</f>
        <v>1</v>
      </c>
      <c r="J38" s="139" t="str">
        <f>lang!B20</f>
        <v>에너지</v>
      </c>
      <c r="K38" s="90" t="s">
        <v>2170</v>
      </c>
      <c r="L38" s="504" t="str">
        <f>Measurement!Y13</f>
        <v>매우 낮음</v>
      </c>
      <c r="M38" s="860">
        <f>Measurement!R13</f>
        <v>8.9468300000000003</v>
      </c>
      <c r="N38" s="861"/>
      <c r="O38" s="862">
        <f>Measurement!N13</f>
        <v>10.7736</v>
      </c>
      <c r="P38" s="863"/>
      <c r="Q38" s="860">
        <f>Measurement!T13</f>
        <v>12.3071</v>
      </c>
      <c r="R38" s="864"/>
    </row>
    <row r="39" spans="3:18" ht="12.75" customHeight="1">
      <c r="C39" s="77"/>
      <c r="I39" s="502">
        <f>Measurement!L14</f>
        <v>3</v>
      </c>
      <c r="J39" s="139" t="str">
        <f>lang!B21</f>
        <v>자기조절</v>
      </c>
      <c r="K39" s="90" t="s">
        <v>230</v>
      </c>
      <c r="L39" s="504" t="str">
        <f>Measurement!Y14</f>
        <v>보통</v>
      </c>
      <c r="M39" s="860">
        <f>Measurement!R14</f>
        <v>68.828100000000006</v>
      </c>
      <c r="N39" s="861"/>
      <c r="O39" s="862">
        <f>Measurement!N14</f>
        <v>70.715299999999999</v>
      </c>
      <c r="P39" s="863"/>
      <c r="Q39" s="860">
        <f>Measurement!T14</f>
        <v>76.124300000000005</v>
      </c>
      <c r="R39" s="864"/>
    </row>
    <row r="40" spans="3:18" ht="12.75" customHeight="1">
      <c r="C40" s="77"/>
      <c r="I40" s="502">
        <f>Measurement!L15</f>
        <v>2</v>
      </c>
      <c r="J40" s="139" t="str">
        <f>lang!B22</f>
        <v>억제</v>
      </c>
      <c r="K40" s="91" t="s">
        <v>248</v>
      </c>
      <c r="L40" s="504" t="str">
        <f>Measurement!Y15</f>
        <v>낮음</v>
      </c>
      <c r="M40" s="860">
        <f>Measurement!R15</f>
        <v>11.539</v>
      </c>
      <c r="N40" s="861"/>
      <c r="O40" s="862">
        <f>Measurement!N15</f>
        <v>13.9268</v>
      </c>
      <c r="P40" s="863"/>
      <c r="Q40" s="860">
        <f>Measurement!T15</f>
        <v>16.3445</v>
      </c>
      <c r="R40" s="864"/>
    </row>
    <row r="41" spans="3:18" ht="12.75" customHeight="1" thickBot="1">
      <c r="C41" s="77"/>
      <c r="I41" s="502">
        <f>Measurement!L16</f>
        <v>2</v>
      </c>
      <c r="J41" s="140" t="str">
        <f>lang!B23</f>
        <v>신경성</v>
      </c>
      <c r="K41" s="92" t="s">
        <v>231</v>
      </c>
      <c r="L41" s="504" t="str">
        <f>Measurement!Y16</f>
        <v>낮음</v>
      </c>
      <c r="M41" s="901">
        <f>Measurement!R16</f>
        <v>0.498199</v>
      </c>
      <c r="N41" s="902"/>
      <c r="O41" s="903">
        <f>Measurement!N16</f>
        <v>14.3598</v>
      </c>
      <c r="P41" s="904"/>
      <c r="Q41" s="901">
        <f>Measurement!T16</f>
        <v>14.6265</v>
      </c>
      <c r="R41" s="905"/>
    </row>
    <row r="42" spans="3:18" ht="29.25" customHeight="1" thickBot="1">
      <c r="C42" s="77"/>
      <c r="I42" s="84"/>
      <c r="J42" s="889" t="str">
        <f>lang!B215</f>
        <v>감정변이도</v>
      </c>
      <c r="K42" s="890"/>
      <c r="L42" s="319" t="str">
        <f>info!V43</f>
        <v>낮음</v>
      </c>
      <c r="M42" s="891">
        <f>info!W43</f>
        <v>9.7936800000000002</v>
      </c>
      <c r="N42" s="892"/>
      <c r="O42" s="893" t="str">
        <f>info!V44</f>
        <v>감정변화가 낮은 상태</v>
      </c>
      <c r="P42" s="894"/>
      <c r="Q42" s="894"/>
      <c r="R42" s="895"/>
    </row>
    <row r="43" spans="3:18" ht="16.5" customHeight="1">
      <c r="C43" s="896" t="str">
        <f>lang!B226</f>
        <v>활력도</v>
      </c>
      <c r="D43" s="897"/>
      <c r="E43" s="897"/>
      <c r="F43" s="898" t="str">
        <f>info!V40</f>
        <v>보 통</v>
      </c>
      <c r="G43" s="898"/>
      <c r="H43" s="898"/>
      <c r="I43" s="899"/>
      <c r="J43" s="896" t="str">
        <f>lang!B237</f>
        <v>집중도</v>
      </c>
      <c r="K43" s="897"/>
      <c r="L43" s="897"/>
      <c r="M43" s="898" t="str">
        <f>info!W40</f>
        <v>보 통</v>
      </c>
      <c r="N43" s="898"/>
      <c r="O43" s="898"/>
      <c r="P43" s="898"/>
      <c r="Q43" s="898"/>
      <c r="R43" s="900"/>
    </row>
    <row r="44" spans="3:18" ht="16.5" customHeight="1">
      <c r="C44" s="865">
        <f>info!$V$36</f>
        <v>1.0626100000000001</v>
      </c>
      <c r="E44" s="249" t="s">
        <v>1195</v>
      </c>
      <c r="G44" s="289"/>
      <c r="H44" s="289"/>
      <c r="I44" s="290"/>
      <c r="J44" s="868">
        <f>info!$W$36</f>
        <v>53.935840000000006</v>
      </c>
      <c r="K44" s="237"/>
      <c r="L44" s="241" t="s">
        <v>1172</v>
      </c>
      <c r="M44" s="237"/>
      <c r="N44" s="237"/>
      <c r="O44" s="237"/>
      <c r="P44" s="237"/>
      <c r="Q44" s="237"/>
      <c r="R44" s="238"/>
    </row>
    <row r="45" spans="3:18">
      <c r="C45" s="866"/>
      <c r="G45" s="291"/>
      <c r="H45" s="291"/>
      <c r="I45" s="292"/>
      <c r="J45" s="868"/>
      <c r="K45" s="237"/>
      <c r="L45" s="237"/>
      <c r="M45" s="237"/>
      <c r="N45" s="237"/>
      <c r="O45" s="237"/>
      <c r="P45" s="237"/>
      <c r="Q45" s="237"/>
      <c r="R45" s="238"/>
    </row>
    <row r="46" spans="3:18">
      <c r="C46" s="866"/>
      <c r="G46" s="291"/>
      <c r="H46" s="291"/>
      <c r="I46" s="292"/>
      <c r="J46" s="868"/>
      <c r="K46" s="237"/>
      <c r="L46" s="237"/>
      <c r="M46" s="237"/>
      <c r="N46" s="237"/>
      <c r="O46" s="237"/>
      <c r="P46" s="237"/>
      <c r="Q46" s="237"/>
      <c r="R46" s="238"/>
    </row>
    <row r="47" spans="3:18">
      <c r="C47" s="866"/>
      <c r="G47" s="291"/>
      <c r="H47" s="291"/>
      <c r="I47" s="292"/>
      <c r="J47" s="868"/>
      <c r="K47" s="237"/>
      <c r="L47" s="237"/>
      <c r="M47" s="237"/>
      <c r="N47" s="237"/>
      <c r="O47" s="237"/>
      <c r="P47" s="237"/>
      <c r="Q47" s="237"/>
      <c r="R47" s="238"/>
    </row>
    <row r="48" spans="3:18">
      <c r="C48" s="866"/>
      <c r="G48" s="291"/>
      <c r="H48" s="291"/>
      <c r="I48" s="292"/>
      <c r="J48" s="868"/>
      <c r="K48" s="237"/>
      <c r="L48" s="237"/>
      <c r="M48" s="237"/>
      <c r="N48" s="237"/>
      <c r="O48" s="237"/>
      <c r="P48" s="237"/>
      <c r="Q48" s="237"/>
      <c r="R48" s="238"/>
    </row>
    <row r="49" spans="3:18" ht="16.5" customHeight="1">
      <c r="C49" s="866"/>
      <c r="G49" s="291"/>
      <c r="H49" s="291"/>
      <c r="I49" s="292"/>
      <c r="J49" s="868"/>
      <c r="K49" s="237"/>
      <c r="L49" s="237"/>
      <c r="M49" s="237"/>
      <c r="N49" s="237"/>
      <c r="O49" s="237"/>
      <c r="P49" s="237"/>
      <c r="Q49" s="237"/>
      <c r="R49" s="238"/>
    </row>
    <row r="50" spans="3:18" ht="16.5" customHeight="1">
      <c r="C50" s="866"/>
      <c r="G50" s="291"/>
      <c r="H50" s="291"/>
      <c r="I50" s="310" t="str">
        <f>lang!B226</f>
        <v>활력도</v>
      </c>
      <c r="J50" s="868"/>
      <c r="K50" s="237"/>
      <c r="L50" s="237"/>
      <c r="M50" s="237"/>
      <c r="N50" s="237"/>
      <c r="O50" s="237"/>
      <c r="P50" s="237"/>
      <c r="Q50" s="823" t="str">
        <f>lang!B237</f>
        <v>집중도</v>
      </c>
      <c r="R50" s="870"/>
    </row>
    <row r="51" spans="3:18" ht="16.8" thickBot="1">
      <c r="C51" s="867"/>
      <c r="D51" s="248"/>
      <c r="E51" s="248"/>
      <c r="F51" s="248"/>
      <c r="G51" s="293"/>
      <c r="H51" s="293"/>
      <c r="I51" s="294"/>
      <c r="J51" s="869"/>
      <c r="K51" s="239"/>
      <c r="L51" s="239"/>
      <c r="M51" s="239"/>
      <c r="N51" s="239"/>
      <c r="O51" s="239"/>
      <c r="P51" s="239"/>
      <c r="Q51" s="239"/>
      <c r="R51" s="240"/>
    </row>
    <row r="52" spans="3:18" ht="15" customHeight="1" thickBot="1">
      <c r="C52" s="871" t="str">
        <f>FH_info!AE2</f>
        <v>뇌피로 검사와 지속적인 모니터링 서비스가 필요하신 분은 홈페이지에 들어 가서 상담받으시기 바랍니다. (www.mindeye.co.kr)</v>
      </c>
      <c r="D52" s="872"/>
      <c r="E52" s="872"/>
      <c r="F52" s="872"/>
      <c r="G52" s="872"/>
      <c r="H52" s="872"/>
      <c r="I52" s="872"/>
      <c r="J52" s="872"/>
      <c r="K52" s="872"/>
      <c r="L52" s="872"/>
      <c r="M52" s="872"/>
      <c r="N52" s="872"/>
      <c r="O52" s="872"/>
      <c r="P52" s="872"/>
      <c r="Q52" s="872"/>
      <c r="R52" s="873"/>
    </row>
    <row r="53" spans="3:18" ht="9.75" customHeight="1">
      <c r="C53" s="93"/>
      <c r="D53" s="93"/>
      <c r="E53" s="93"/>
      <c r="F53" s="93"/>
      <c r="G53" s="93"/>
      <c r="H53" s="93"/>
      <c r="I53" s="93"/>
      <c r="J53" s="93"/>
      <c r="K53" s="93"/>
      <c r="L53" s="93"/>
      <c r="M53" s="93"/>
      <c r="N53" s="93"/>
      <c r="O53" s="93"/>
      <c r="P53" s="93"/>
      <c r="Q53" s="93"/>
      <c r="R53" s="93"/>
    </row>
  </sheetData>
  <mergeCells count="91">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 ref="O37:P37"/>
    <mergeCell ref="M33:N33"/>
    <mergeCell ref="O33:P33"/>
    <mergeCell ref="Q33:R33"/>
    <mergeCell ref="O36:P36"/>
    <mergeCell ref="Q36:R36"/>
    <mergeCell ref="Q35:R35"/>
    <mergeCell ref="C52:R52"/>
    <mergeCell ref="J44:J51"/>
    <mergeCell ref="J43:L43"/>
    <mergeCell ref="M43:R43"/>
    <mergeCell ref="C43:E43"/>
    <mergeCell ref="F43:I43"/>
    <mergeCell ref="Q50:R50"/>
    <mergeCell ref="C44:C51"/>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7:E11"/>
    <mergeCell ref="G8:I8"/>
    <mergeCell ref="K8:L8"/>
    <mergeCell ref="K15:L15"/>
    <mergeCell ref="K16:L16"/>
    <mergeCell ref="F9:F11"/>
    <mergeCell ref="G9:R11"/>
    <mergeCell ref="G7:I7"/>
    <mergeCell ref="K7:L7"/>
    <mergeCell ref="N7:O7"/>
    <mergeCell ref="K13:O14"/>
    <mergeCell ref="P7:R7"/>
    <mergeCell ref="D13:F14"/>
    <mergeCell ref="G13:J14"/>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59" t="str">
        <f>lang!B324</f>
        <v>정보-에너지 관계 및 마음 상태</v>
      </c>
      <c r="D3" s="959"/>
      <c r="E3" s="959"/>
      <c r="F3" s="959"/>
      <c r="G3" s="959"/>
      <c r="H3" s="959"/>
      <c r="I3" s="959"/>
      <c r="J3" s="959"/>
      <c r="K3" s="959"/>
      <c r="L3" s="959"/>
      <c r="M3" s="959"/>
      <c r="N3" s="959"/>
      <c r="O3" s="959"/>
      <c r="P3" s="959"/>
      <c r="Q3" s="765" t="str">
        <f>FH_info!AB2</f>
        <v>마인드아이</v>
      </c>
      <c r="R3" s="765"/>
      <c r="S3" s="765"/>
      <c r="T3" s="765"/>
    </row>
    <row r="4" spans="2:20" ht="14.25" customHeight="1">
      <c r="C4" s="959"/>
      <c r="D4" s="959"/>
      <c r="E4" s="959"/>
      <c r="F4" s="959"/>
      <c r="G4" s="959"/>
      <c r="H4" s="959"/>
      <c r="I4" s="959"/>
      <c r="J4" s="959"/>
      <c r="K4" s="959"/>
      <c r="L4" s="959"/>
      <c r="M4" s="959"/>
      <c r="N4" s="959"/>
      <c r="O4" s="959"/>
      <c r="P4" s="959"/>
      <c r="Q4" s="765"/>
      <c r="R4" s="765"/>
      <c r="S4" s="765"/>
      <c r="T4" s="765"/>
    </row>
    <row r="5" spans="2:20" ht="3" customHeight="1"/>
    <row r="6" spans="2:20" ht="1.5" customHeight="1" thickBot="1"/>
    <row r="7" spans="2:20">
      <c r="C7" s="766">
        <v>1</v>
      </c>
      <c r="D7" s="767"/>
      <c r="E7" s="768"/>
      <c r="F7" s="777" t="str">
        <f>lang!B159</f>
        <v>측정일</v>
      </c>
      <c r="G7" s="960"/>
      <c r="H7" s="970">
        <f>IF(FH_info!A2="","",FH_info!A2)</f>
        <v>45778.78328703704</v>
      </c>
      <c r="I7" s="970"/>
      <c r="J7" s="971"/>
      <c r="K7" s="166" t="str">
        <f>lang!B160</f>
        <v>나이</v>
      </c>
      <c r="L7" s="774" t="str">
        <f>IF(FH_info!B2="","",TRIM(MID(SUBSTITUTE(FH_info!B2,"^",REPT(" ",LEN(FH_info!B2))),LEN(FH_info!B2)*4-LEN(FH_info!B2)+1,LEN(FH_info!B2))))</f>
        <v>1</v>
      </c>
      <c r="M7" s="774"/>
      <c r="N7" s="777" t="str">
        <f>lang!B161</f>
        <v>성별</v>
      </c>
      <c r="O7" s="960"/>
      <c r="P7" s="775" t="str">
        <f>IF(FH_info!B2="","", FH_info!Y2)</f>
        <v>남성</v>
      </c>
      <c r="Q7" s="776"/>
      <c r="R7" s="777" t="str">
        <f>lang!B164</f>
        <v>측정장소</v>
      </c>
      <c r="S7" s="778"/>
      <c r="T7" s="779"/>
    </row>
    <row r="8" spans="2:20">
      <c r="C8" s="769"/>
      <c r="D8" s="749"/>
      <c r="E8" s="770"/>
      <c r="F8" s="961" t="str">
        <f>lang!B165</f>
        <v>이름</v>
      </c>
      <c r="G8" s="962"/>
      <c r="H8" s="781" t="str">
        <f>IF(FH_info!B2="","",TRIM(MID(SUBSTITUTE(FH_info!B2,"^",REPT(" ",LEN(FH_info!B2))),LEN(FH_info!B2)*2-LEN(FH_info!B2)+1,LEN(FH_info!B2))))</f>
        <v>mj6r</v>
      </c>
      <c r="I8" s="781"/>
      <c r="J8" s="782"/>
      <c r="K8" s="146" t="str">
        <f>lang!B166</f>
        <v>직업</v>
      </c>
      <c r="L8" s="783"/>
      <c r="M8" s="783"/>
      <c r="N8" s="961" t="str">
        <f>lang!B167</f>
        <v>ID</v>
      </c>
      <c r="O8" s="962"/>
      <c r="P8" s="784"/>
      <c r="Q8" s="785"/>
      <c r="R8" s="780" t="str">
        <f>IF(FH_info!B2="","",TRIM(MID(SUBSTITUTE(FH_info!B2,"^",REPT(" ",LEN(FH_info!B2))),LEN(FH_info!B2)*5-LEN(FH_info!B2)+1,LEN(FH_info!B2))))</f>
        <v/>
      </c>
      <c r="S8" s="781"/>
      <c r="T8" s="786"/>
    </row>
    <row r="9" spans="2:20" ht="10" customHeight="1">
      <c r="C9" s="769"/>
      <c r="D9" s="749"/>
      <c r="E9" s="770"/>
      <c r="F9" s="972" t="str">
        <f>lang!B168</f>
        <v>상담
내용</v>
      </c>
      <c r="G9" s="973"/>
      <c r="H9" s="357"/>
      <c r="I9" s="357"/>
      <c r="J9" s="357"/>
      <c r="K9" s="357"/>
      <c r="L9" s="357"/>
      <c r="M9" s="357"/>
      <c r="N9" s="357"/>
      <c r="O9" s="357"/>
      <c r="P9" s="357"/>
      <c r="Q9" s="357"/>
      <c r="R9" s="357"/>
      <c r="S9" s="357"/>
      <c r="T9" s="358"/>
    </row>
    <row r="10" spans="2:20" ht="10" customHeight="1">
      <c r="C10" s="769"/>
      <c r="D10" s="749"/>
      <c r="E10" s="770"/>
      <c r="F10" s="974"/>
      <c r="G10" s="975"/>
      <c r="H10" s="93"/>
      <c r="I10" s="93"/>
      <c r="J10" s="93"/>
      <c r="K10" s="93"/>
      <c r="L10" s="93"/>
      <c r="M10" s="93"/>
      <c r="N10" s="93"/>
      <c r="O10" s="93"/>
      <c r="P10" s="93"/>
      <c r="Q10" s="93"/>
      <c r="R10" s="93"/>
      <c r="S10" s="93"/>
      <c r="T10" s="359"/>
    </row>
    <row r="11" spans="2:20" ht="18.75" customHeight="1" thickBot="1">
      <c r="C11" s="963"/>
      <c r="D11" s="964"/>
      <c r="E11" s="965"/>
      <c r="F11" s="976"/>
      <c r="G11" s="977"/>
      <c r="H11" s="360"/>
      <c r="I11" s="360"/>
      <c r="J11" s="360"/>
      <c r="K11" s="360"/>
      <c r="L11" s="360"/>
      <c r="M11" s="360"/>
      <c r="N11" s="360"/>
      <c r="O11" s="360"/>
      <c r="P11" s="360"/>
      <c r="Q11" s="360"/>
      <c r="R11" s="360"/>
      <c r="S11" s="360"/>
      <c r="T11" s="361"/>
    </row>
    <row r="12" spans="2:20" ht="11.25" customHeight="1">
      <c r="C12" s="980"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81"/>
      <c r="D13" s="189"/>
      <c r="E13" s="190"/>
      <c r="F13" s="190"/>
      <c r="G13" s="190"/>
      <c r="H13" s="190"/>
      <c r="I13" s="190"/>
      <c r="J13" s="190"/>
      <c r="K13" s="190"/>
      <c r="L13" s="190"/>
      <c r="M13" s="190"/>
      <c r="N13" s="190"/>
      <c r="O13" s="190"/>
      <c r="P13" s="190"/>
      <c r="Q13" s="190"/>
      <c r="R13" s="190"/>
      <c r="S13" s="190"/>
      <c r="T13" s="191"/>
    </row>
    <row r="14" spans="2:20" ht="11.25" customHeight="1">
      <c r="C14" s="981"/>
      <c r="D14" s="189"/>
      <c r="E14" s="190"/>
      <c r="F14" s="190"/>
      <c r="G14" s="190"/>
      <c r="H14" s="190"/>
      <c r="I14" s="190"/>
      <c r="J14" s="190"/>
      <c r="K14" s="190"/>
      <c r="L14" s="190"/>
      <c r="M14" s="190"/>
      <c r="N14" s="190"/>
      <c r="O14" s="190"/>
      <c r="P14" s="190"/>
      <c r="Q14" s="190"/>
      <c r="R14" s="190"/>
      <c r="S14" s="190"/>
      <c r="T14" s="191"/>
    </row>
    <row r="15" spans="2:20" ht="11.25" customHeight="1">
      <c r="C15" s="981"/>
      <c r="D15" s="189"/>
      <c r="E15" s="190"/>
      <c r="F15" s="190"/>
      <c r="G15" s="190"/>
      <c r="H15" s="190"/>
      <c r="I15" s="190"/>
      <c r="J15" s="190"/>
      <c r="K15" s="190"/>
      <c r="L15" s="190"/>
      <c r="M15" s="190"/>
      <c r="N15" s="190"/>
      <c r="O15" s="190"/>
      <c r="P15" s="190"/>
      <c r="Q15" s="190"/>
      <c r="R15" s="190"/>
      <c r="S15" s="190"/>
      <c r="T15" s="191"/>
    </row>
    <row r="16" spans="2:20" ht="11.25" customHeight="1" thickBot="1">
      <c r="B16" s="79"/>
      <c r="C16" s="982"/>
      <c r="D16" s="192"/>
      <c r="E16" s="193"/>
      <c r="F16" s="193"/>
      <c r="G16" s="193"/>
      <c r="H16" s="193"/>
      <c r="I16" s="193"/>
      <c r="J16" s="193"/>
      <c r="K16" s="193"/>
      <c r="L16" s="193"/>
      <c r="M16" s="193"/>
      <c r="N16" s="193"/>
      <c r="O16" s="193"/>
      <c r="P16" s="193"/>
      <c r="Q16" s="193"/>
      <c r="R16" s="193"/>
      <c r="S16" s="193"/>
      <c r="T16" s="194"/>
    </row>
    <row r="17" spans="2:22" ht="16.5" customHeight="1">
      <c r="B17" s="79"/>
      <c r="C17" s="978" t="str">
        <f>lang!B325</f>
        <v>I-E (정보-에너지) 그래프</v>
      </c>
      <c r="D17" s="979"/>
      <c r="E17" s="979"/>
      <c r="F17" s="979"/>
      <c r="G17" s="979"/>
      <c r="H17" s="979"/>
      <c r="I17" s="979"/>
      <c r="J17" s="979"/>
      <c r="K17" s="979"/>
      <c r="L17" s="979"/>
      <c r="M17" s="979"/>
      <c r="N17" s="979"/>
      <c r="O17" s="979"/>
      <c r="P17" s="979"/>
      <c r="Q17" s="979"/>
      <c r="R17" s="933" t="str">
        <f>lang!B331</f>
        <v>비 고</v>
      </c>
      <c r="S17" s="934"/>
      <c r="T17" s="935"/>
    </row>
    <row r="18" spans="2:22" ht="17.25" customHeight="1">
      <c r="C18" s="942" t="str">
        <f>lang!B326</f>
        <v>정보 변화량(I)</v>
      </c>
      <c r="D18" s="943"/>
      <c r="E18" s="943"/>
      <c r="F18" s="943"/>
      <c r="G18" s="943"/>
      <c r="H18" s="943"/>
      <c r="I18" s="943"/>
      <c r="J18" s="943"/>
      <c r="K18" s="943" t="str">
        <f>lang!B327</f>
        <v>에너지 변화량(E)</v>
      </c>
      <c r="L18" s="943"/>
      <c r="M18" s="943"/>
      <c r="N18" s="943"/>
      <c r="O18" s="943"/>
      <c r="P18" s="943"/>
      <c r="Q18" s="943"/>
      <c r="R18" s="944" t="str">
        <f>IF(M!B15&lt;&gt;"",IF(M!B16&lt;&gt;"","(" &amp; ROUND(M!B15,2) &amp; "," &amp; ROUND(M!B16,2)&amp;")",""),"")</f>
        <v>(-0.08,-0.17)</v>
      </c>
      <c r="S18" s="945"/>
      <c r="T18" s="946"/>
    </row>
    <row r="19" spans="2:22" ht="16.5" customHeight="1">
      <c r="C19" s="136" t="str">
        <f>lang!B328</f>
        <v>최소값</v>
      </c>
      <c r="D19" s="105">
        <f ca="1">info!M7</f>
        <v>35.696300000000001</v>
      </c>
      <c r="E19" s="94" t="str">
        <f>lang!B330</f>
        <v>평균값</v>
      </c>
      <c r="F19" s="950">
        <f ca="1">info!N9</f>
        <v>48.581180769230777</v>
      </c>
      <c r="G19" s="951"/>
      <c r="H19" s="968" t="str">
        <f>lang!B329</f>
        <v>최대값</v>
      </c>
      <c r="I19" s="969"/>
      <c r="J19" s="105">
        <f ca="1">info!M8</f>
        <v>64.014499999999998</v>
      </c>
      <c r="K19" s="137" t="str">
        <f>lang!B328</f>
        <v>최소값</v>
      </c>
      <c r="L19" s="105">
        <f ca="1">info!M5</f>
        <v>1.68953</v>
      </c>
      <c r="M19" s="94" t="str">
        <f>lang!B330</f>
        <v>평균값</v>
      </c>
      <c r="N19" s="950">
        <f ca="1">info!M9</f>
        <v>2.140043846153846</v>
      </c>
      <c r="O19" s="951">
        <f>info!T9</f>
        <v>1</v>
      </c>
      <c r="P19" s="94" t="str">
        <f>lang!B329</f>
        <v>최대값</v>
      </c>
      <c r="Q19" s="105">
        <f ca="1">info!M6</f>
        <v>2.5216100000000004</v>
      </c>
      <c r="R19" s="947"/>
      <c r="S19" s="948"/>
      <c r="T19" s="949"/>
    </row>
    <row r="20" spans="2:22" ht="24" customHeight="1">
      <c r="C20" s="150" t="s">
        <v>241</v>
      </c>
      <c r="D20" s="945"/>
      <c r="E20" s="945"/>
      <c r="F20" s="945"/>
      <c r="G20" s="151"/>
      <c r="H20" s="151"/>
      <c r="I20" s="151"/>
      <c r="J20" s="151"/>
      <c r="K20" s="151"/>
      <c r="L20" s="151"/>
      <c r="M20" s="151"/>
      <c r="N20" s="151"/>
      <c r="O20" s="151"/>
      <c r="P20" s="151"/>
      <c r="Q20" s="945"/>
      <c r="R20" s="945"/>
      <c r="S20" s="945"/>
      <c r="T20" s="152"/>
      <c r="V20" s="80"/>
    </row>
    <row r="21" spans="2:22" ht="25.5" customHeight="1">
      <c r="C21" s="991" t="str">
        <f>lang!B337</f>
        <v>에너지</v>
      </c>
      <c r="D21" s="992"/>
      <c r="E21" s="159"/>
      <c r="F21" s="154"/>
      <c r="G21" s="154"/>
      <c r="H21" s="154"/>
      <c r="I21" s="154"/>
      <c r="J21" s="154"/>
      <c r="K21" s="154"/>
      <c r="L21" s="154"/>
      <c r="M21" s="154"/>
      <c r="N21" s="154"/>
      <c r="O21" s="154"/>
      <c r="P21" s="154"/>
      <c r="Q21" s="159"/>
      <c r="R21" s="954" t="str">
        <f>lang!B336</f>
        <v>심리생리
정보 변화</v>
      </c>
      <c r="S21" s="954"/>
      <c r="T21" s="955"/>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26" t="str">
        <f>lang!B333</f>
        <v>I-E 상관 관계</v>
      </c>
      <c r="D28" s="927"/>
      <c r="E28" s="927"/>
      <c r="F28" s="927"/>
      <c r="G28" s="927"/>
      <c r="H28" s="927"/>
      <c r="I28" s="927"/>
      <c r="J28" s="927"/>
      <c r="K28" s="927"/>
      <c r="L28" s="927"/>
      <c r="M28" s="927"/>
      <c r="N28" s="927"/>
      <c r="O28" s="927"/>
      <c r="P28" s="927"/>
      <c r="Q28" s="927"/>
      <c r="R28" s="927"/>
      <c r="S28" s="927"/>
      <c r="T28" s="928"/>
    </row>
    <row r="29" spans="2:22" ht="18" customHeight="1">
      <c r="C29" s="936"/>
      <c r="D29" s="937"/>
      <c r="E29" s="937"/>
      <c r="F29" s="937"/>
      <c r="G29" s="937"/>
      <c r="H29" s="937"/>
      <c r="I29" s="937"/>
      <c r="J29" s="937"/>
      <c r="K29" s="937"/>
      <c r="L29" s="937"/>
      <c r="M29" s="937"/>
      <c r="N29" s="937"/>
      <c r="O29" s="937"/>
      <c r="P29" s="937"/>
      <c r="Q29" s="937"/>
      <c r="R29" s="937"/>
      <c r="S29" s="937"/>
      <c r="T29" s="952" t="str">
        <f>lang!B332</f>
        <v>평균값</v>
      </c>
    </row>
    <row r="30" spans="2:22" ht="18" customHeight="1">
      <c r="C30" s="938"/>
      <c r="D30" s="939"/>
      <c r="E30" s="939"/>
      <c r="F30" s="939"/>
      <c r="G30" s="939"/>
      <c r="H30" s="939"/>
      <c r="I30" s="939"/>
      <c r="J30" s="939"/>
      <c r="K30" s="939"/>
      <c r="L30" s="939"/>
      <c r="M30" s="939"/>
      <c r="N30" s="939"/>
      <c r="O30" s="939"/>
      <c r="P30" s="939"/>
      <c r="Q30" s="939"/>
      <c r="R30" s="939"/>
      <c r="S30" s="939"/>
      <c r="T30" s="953"/>
    </row>
    <row r="31" spans="2:22" ht="12" customHeight="1">
      <c r="C31" s="938"/>
      <c r="D31" s="939"/>
      <c r="E31" s="939"/>
      <c r="F31" s="939"/>
      <c r="G31" s="939"/>
      <c r="H31" s="939"/>
      <c r="I31" s="939"/>
      <c r="J31" s="939"/>
      <c r="K31" s="939"/>
      <c r="L31" s="939"/>
      <c r="M31" s="939"/>
      <c r="N31" s="939"/>
      <c r="O31" s="939"/>
      <c r="P31" s="939"/>
      <c r="Q31" s="939"/>
      <c r="R31" s="939"/>
      <c r="S31" s="939"/>
      <c r="T31" s="956">
        <f>info!Z2</f>
        <v>23.584454424479706</v>
      </c>
    </row>
    <row r="32" spans="2:22" ht="18" customHeight="1">
      <c r="C32" s="938"/>
      <c r="D32" s="939"/>
      <c r="E32" s="939"/>
      <c r="F32" s="939"/>
      <c r="G32" s="939"/>
      <c r="H32" s="939"/>
      <c r="I32" s="939"/>
      <c r="J32" s="939"/>
      <c r="K32" s="939"/>
      <c r="L32" s="939"/>
      <c r="M32" s="939"/>
      <c r="N32" s="939"/>
      <c r="O32" s="939"/>
      <c r="P32" s="939"/>
      <c r="Q32" s="939"/>
      <c r="R32" s="939"/>
      <c r="S32" s="939"/>
      <c r="T32" s="957"/>
    </row>
    <row r="33" spans="3:20" ht="11.25" customHeight="1">
      <c r="C33" s="938"/>
      <c r="D33" s="939"/>
      <c r="E33" s="939"/>
      <c r="F33" s="939"/>
      <c r="G33" s="939"/>
      <c r="H33" s="939"/>
      <c r="I33" s="939"/>
      <c r="J33" s="939"/>
      <c r="K33" s="939"/>
      <c r="L33" s="939"/>
      <c r="M33" s="939"/>
      <c r="N33" s="939"/>
      <c r="O33" s="939"/>
      <c r="P33" s="939"/>
      <c r="Q33" s="939"/>
      <c r="R33" s="939"/>
      <c r="S33" s="939"/>
      <c r="T33" s="957"/>
    </row>
    <row r="34" spans="3:20" ht="12.75" customHeight="1">
      <c r="C34" s="938"/>
      <c r="D34" s="939"/>
      <c r="E34" s="939"/>
      <c r="F34" s="939"/>
      <c r="G34" s="939"/>
      <c r="H34" s="939"/>
      <c r="I34" s="939"/>
      <c r="J34" s="939"/>
      <c r="K34" s="939"/>
      <c r="L34" s="939"/>
      <c r="M34" s="939"/>
      <c r="N34" s="939"/>
      <c r="O34" s="939"/>
      <c r="P34" s="939"/>
      <c r="Q34" s="939"/>
      <c r="R34" s="939"/>
      <c r="S34" s="939"/>
      <c r="T34" s="957"/>
    </row>
    <row r="35" spans="3:20" ht="8.25" customHeight="1">
      <c r="C35" s="938"/>
      <c r="D35" s="939"/>
      <c r="E35" s="939"/>
      <c r="F35" s="939"/>
      <c r="G35" s="939"/>
      <c r="H35" s="939"/>
      <c r="I35" s="939"/>
      <c r="J35" s="939"/>
      <c r="K35" s="939"/>
      <c r="L35" s="939"/>
      <c r="M35" s="939"/>
      <c r="N35" s="939"/>
      <c r="O35" s="939"/>
      <c r="P35" s="939"/>
      <c r="Q35" s="939"/>
      <c r="R35" s="939"/>
      <c r="S35" s="939"/>
      <c r="T35" s="957"/>
    </row>
    <row r="36" spans="3:20" ht="14.25" customHeight="1" thickBot="1">
      <c r="C36" s="940"/>
      <c r="D36" s="941"/>
      <c r="E36" s="941"/>
      <c r="F36" s="941"/>
      <c r="G36" s="941"/>
      <c r="H36" s="941"/>
      <c r="I36" s="941"/>
      <c r="J36" s="941"/>
      <c r="K36" s="941"/>
      <c r="L36" s="941"/>
      <c r="M36" s="941"/>
      <c r="N36" s="941"/>
      <c r="O36" s="941"/>
      <c r="P36" s="941"/>
      <c r="Q36" s="941"/>
      <c r="R36" s="941"/>
      <c r="S36" s="941"/>
      <c r="T36" s="958"/>
    </row>
    <row r="37" spans="3:20" ht="18.75" customHeight="1" thickBot="1">
      <c r="C37" s="926" t="str">
        <f>lang!B338</f>
        <v>마음 상태 [쾌-불쾌 상태와 활력도 관계]</v>
      </c>
      <c r="D37" s="927"/>
      <c r="E37" s="927"/>
      <c r="F37" s="927"/>
      <c r="G37" s="927"/>
      <c r="H37" s="927"/>
      <c r="I37" s="927"/>
      <c r="J37" s="927"/>
      <c r="K37" s="927"/>
      <c r="L37" s="927"/>
      <c r="M37" s="926" t="str">
        <f>lang!B362</f>
        <v>마음 분포</v>
      </c>
      <c r="N37" s="927"/>
      <c r="O37" s="927"/>
      <c r="P37" s="927"/>
      <c r="Q37" s="927"/>
      <c r="R37" s="927"/>
      <c r="S37" s="927"/>
      <c r="T37" s="928"/>
    </row>
    <row r="38" spans="3:20" ht="18" customHeight="1">
      <c r="C38" s="983" t="str">
        <f>lang!B354</f>
        <v>불쾌 (0%)</v>
      </c>
      <c r="D38" s="986" t="str">
        <f>lang!B352</f>
        <v>고활력도 (100%)</v>
      </c>
      <c r="E38" s="986"/>
      <c r="F38" s="986"/>
      <c r="G38" s="986"/>
      <c r="H38" s="986"/>
      <c r="I38" s="986"/>
      <c r="J38" s="986"/>
      <c r="K38" s="986"/>
      <c r="L38" s="988" t="str">
        <f>lang!B355</f>
        <v>쾌 (100%)</v>
      </c>
      <c r="M38" s="246"/>
      <c r="N38" s="174"/>
      <c r="O38" s="174"/>
      <c r="P38" s="174"/>
      <c r="Q38" s="174"/>
      <c r="R38" s="174"/>
      <c r="S38" s="174"/>
      <c r="T38" s="175"/>
    </row>
    <row r="39" spans="3:20" ht="18" customHeight="1">
      <c r="C39" s="984"/>
      <c r="D39" s="932" t="str">
        <f>lang!B356</f>
        <v>공포
분노
두려움
불만
초조
근심</v>
      </c>
      <c r="E39" s="932"/>
      <c r="F39" s="353"/>
      <c r="G39" s="353"/>
      <c r="H39" s="354"/>
      <c r="I39" s="354"/>
      <c r="J39" s="931" t="str">
        <f>lang!B357</f>
        <v>공격적
충동적
의기양양
흥분
설렘
적극적
즐거움</v>
      </c>
      <c r="K39" s="931"/>
      <c r="L39" s="989"/>
      <c r="M39" s="247"/>
      <c r="N39" s="165"/>
      <c r="O39" s="165"/>
      <c r="P39" s="165"/>
      <c r="Q39" s="165"/>
      <c r="R39" s="165"/>
      <c r="S39" s="165"/>
      <c r="T39" s="176"/>
    </row>
    <row r="40" spans="3:20" ht="18" customHeight="1">
      <c r="C40" s="984"/>
      <c r="D40" s="932"/>
      <c r="E40" s="932"/>
      <c r="F40" s="353"/>
      <c r="G40" s="353"/>
      <c r="H40" s="354"/>
      <c r="I40" s="354"/>
      <c r="J40" s="931"/>
      <c r="K40" s="931"/>
      <c r="L40" s="989"/>
      <c r="M40" s="247"/>
      <c r="N40" s="165"/>
      <c r="O40" s="165"/>
      <c r="P40" s="165"/>
      <c r="Q40" s="165"/>
      <c r="R40" s="165"/>
      <c r="S40" s="165"/>
      <c r="T40" s="176"/>
    </row>
    <row r="41" spans="3:20" ht="18" customHeight="1">
      <c r="C41" s="984"/>
      <c r="D41" s="932"/>
      <c r="E41" s="932"/>
      <c r="F41" s="353"/>
      <c r="G41" s="353"/>
      <c r="H41" s="354"/>
      <c r="I41" s="354"/>
      <c r="J41" s="931"/>
      <c r="K41" s="931"/>
      <c r="L41" s="989"/>
      <c r="M41" s="247"/>
      <c r="N41" s="165"/>
      <c r="O41" s="165"/>
      <c r="P41" s="165"/>
      <c r="Q41" s="165"/>
      <c r="R41" s="165"/>
      <c r="S41" s="165"/>
      <c r="T41" s="176"/>
    </row>
    <row r="42" spans="3:20" ht="18" customHeight="1">
      <c r="C42" s="984"/>
      <c r="D42" s="932"/>
      <c r="E42" s="932"/>
      <c r="F42" s="353"/>
      <c r="G42" s="353"/>
      <c r="H42" s="354"/>
      <c r="I42" s="354"/>
      <c r="J42" s="931"/>
      <c r="K42" s="931"/>
      <c r="L42" s="989"/>
      <c r="M42" s="247"/>
      <c r="N42" s="165"/>
      <c r="O42" s="165"/>
      <c r="P42" s="165"/>
      <c r="Q42" s="165"/>
      <c r="R42" s="165"/>
      <c r="S42" s="165"/>
      <c r="T42" s="176"/>
    </row>
    <row r="43" spans="3:20" ht="18" customHeight="1">
      <c r="C43" s="984"/>
      <c r="D43" s="932"/>
      <c r="E43" s="932"/>
      <c r="F43" s="353"/>
      <c r="G43" s="967" t="str">
        <f>lang!B360</f>
        <v>중립</v>
      </c>
      <c r="H43" s="967"/>
      <c r="I43" s="354"/>
      <c r="J43" s="931"/>
      <c r="K43" s="931"/>
      <c r="L43" s="989"/>
      <c r="M43" s="247"/>
      <c r="N43" s="165"/>
      <c r="O43" s="165"/>
      <c r="P43" s="165"/>
      <c r="Q43" s="165"/>
      <c r="R43" s="165"/>
      <c r="S43" s="165"/>
      <c r="T43" s="176"/>
    </row>
    <row r="44" spans="3:20" ht="18" customHeight="1">
      <c r="C44" s="984"/>
      <c r="D44" s="966" t="str">
        <f>lang!B359</f>
        <v>주의깊은
수동적
슬픔
무기력
절망감
우울징후</v>
      </c>
      <c r="E44" s="966"/>
      <c r="F44" s="355"/>
      <c r="G44" s="967"/>
      <c r="H44" s="967"/>
      <c r="I44" s="356"/>
      <c r="J44" s="929" t="str">
        <f>lang!B358</f>
        <v>다정한
만족한
차분한
편안한
나른한
평온한</v>
      </c>
      <c r="K44" s="930"/>
      <c r="L44" s="989"/>
      <c r="M44" s="247"/>
      <c r="N44" s="165"/>
      <c r="O44" s="165"/>
      <c r="P44" s="165"/>
      <c r="Q44" s="165"/>
      <c r="R44" s="165"/>
      <c r="S44" s="165"/>
      <c r="T44" s="176"/>
    </row>
    <row r="45" spans="3:20" ht="18" customHeight="1">
      <c r="C45" s="984"/>
      <c r="D45" s="966"/>
      <c r="E45" s="966"/>
      <c r="F45" s="355"/>
      <c r="G45" s="355"/>
      <c r="H45" s="356"/>
      <c r="I45" s="356"/>
      <c r="J45" s="930"/>
      <c r="K45" s="930"/>
      <c r="L45" s="989"/>
      <c r="M45" s="247"/>
      <c r="N45" s="165"/>
      <c r="O45" s="165"/>
      <c r="P45" s="165"/>
      <c r="Q45" s="165"/>
      <c r="R45" s="165"/>
      <c r="S45" s="165"/>
      <c r="T45" s="176"/>
    </row>
    <row r="46" spans="3:20" ht="18" customHeight="1">
      <c r="C46" s="984"/>
      <c r="D46" s="966"/>
      <c r="E46" s="966"/>
      <c r="F46" s="355"/>
      <c r="G46" s="355"/>
      <c r="H46" s="356"/>
      <c r="I46" s="356"/>
      <c r="J46" s="930"/>
      <c r="K46" s="930"/>
      <c r="L46" s="989"/>
      <c r="M46" s="913" t="str">
        <f>lang!B367</f>
        <v>주파수(녹색)</v>
      </c>
      <c r="N46" s="914"/>
      <c r="O46" s="914"/>
      <c r="P46" s="492" t="str">
        <f>lang!B369</f>
        <v>항목</v>
      </c>
      <c r="Q46" s="915" t="str">
        <f>lang!B368</f>
        <v>진폭(붉은색)</v>
      </c>
      <c r="R46" s="916"/>
      <c r="S46" s="917"/>
      <c r="T46" s="493" t="str">
        <f>lang!B370</f>
        <v>비고</v>
      </c>
    </row>
    <row r="47" spans="3:20" ht="18" customHeight="1">
      <c r="C47" s="984"/>
      <c r="D47" s="966"/>
      <c r="E47" s="966"/>
      <c r="F47" s="355"/>
      <c r="G47" s="355"/>
      <c r="H47" s="356"/>
      <c r="I47" s="356"/>
      <c r="J47" s="930"/>
      <c r="K47" s="930"/>
      <c r="L47" s="989"/>
      <c r="M47" s="918">
        <f>hist!M2</f>
        <v>1.062611</v>
      </c>
      <c r="N47" s="919"/>
      <c r="O47" s="451"/>
      <c r="P47" s="491" t="s">
        <v>1101</v>
      </c>
      <c r="Q47" s="920">
        <f>hist!M3</f>
        <v>0.28840700000000002</v>
      </c>
      <c r="R47" s="919"/>
      <c r="S47" s="451"/>
      <c r="T47" s="452"/>
    </row>
    <row r="48" spans="3:20" ht="18" customHeight="1">
      <c r="C48" s="984"/>
      <c r="D48" s="966"/>
      <c r="E48" s="966"/>
      <c r="F48" s="355"/>
      <c r="G48" s="355"/>
      <c r="H48" s="356"/>
      <c r="I48" s="356"/>
      <c r="J48" s="930"/>
      <c r="K48" s="930"/>
      <c r="L48" s="989"/>
      <c r="M48" s="921">
        <f>hist!N2</f>
        <v>0.51474399999999998</v>
      </c>
      <c r="N48" s="922"/>
      <c r="O48" s="451"/>
      <c r="P48" s="491" t="s">
        <v>1102</v>
      </c>
      <c r="Q48" s="919">
        <f>hist!N3</f>
        <v>0.30685400000000002</v>
      </c>
      <c r="R48" s="922"/>
      <c r="S48" s="451"/>
      <c r="T48" s="452"/>
    </row>
    <row r="49" spans="3:20" ht="22.5" customHeight="1" thickBot="1">
      <c r="C49" s="985"/>
      <c r="D49" s="987" t="str">
        <f>lang!B353</f>
        <v>저활력도 (0%)</v>
      </c>
      <c r="E49" s="987"/>
      <c r="F49" s="987"/>
      <c r="G49" s="987"/>
      <c r="H49" s="987"/>
      <c r="I49" s="987"/>
      <c r="J49" s="987"/>
      <c r="K49" s="987"/>
      <c r="L49" s="990"/>
      <c r="M49" s="923">
        <f>hist!O2</f>
        <v>0.264961</v>
      </c>
      <c r="N49" s="924"/>
      <c r="O49" s="453"/>
      <c r="P49" s="454" t="s">
        <v>1588</v>
      </c>
      <c r="Q49" s="925">
        <f>hist!O3</f>
        <v>9.4159999999999994E-2</v>
      </c>
      <c r="R49" s="924"/>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10" t="str">
        <f>lang!B371</f>
        <v>히스토그램 분석</v>
      </c>
      <c r="N50" s="911"/>
      <c r="O50" s="911"/>
      <c r="P50" s="911"/>
      <c r="Q50" s="911"/>
      <c r="R50" s="911"/>
      <c r="S50" s="911"/>
      <c r="T50" s="912"/>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 ref="T31:T36"/>
    <mergeCell ref="C3:P4"/>
    <mergeCell ref="L7:M7"/>
    <mergeCell ref="N7:O7"/>
    <mergeCell ref="P7:Q7"/>
    <mergeCell ref="L8:M8"/>
    <mergeCell ref="N8:O8"/>
    <mergeCell ref="P8:Q8"/>
    <mergeCell ref="Q3:T4"/>
    <mergeCell ref="R7:T7"/>
    <mergeCell ref="R8:T8"/>
    <mergeCell ref="C7:E11"/>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M50:T50"/>
    <mergeCell ref="M46:O46"/>
    <mergeCell ref="Q46:S46"/>
    <mergeCell ref="M47:N47"/>
    <mergeCell ref="Q47:R47"/>
    <mergeCell ref="M48:N48"/>
    <mergeCell ref="Q48:R48"/>
    <mergeCell ref="M49:N49"/>
    <mergeCell ref="Q49:R49"/>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993" t="str">
        <f>lang!B534</f>
        <v>무드 미터 (MOOD METER)</v>
      </c>
      <c r="D3" s="993"/>
      <c r="E3" s="993"/>
      <c r="F3" s="993"/>
      <c r="G3" s="993"/>
      <c r="H3" s="993"/>
      <c r="I3" s="993"/>
      <c r="J3" s="993"/>
      <c r="K3" s="993"/>
      <c r="L3" s="993"/>
      <c r="M3" s="993"/>
      <c r="N3" s="993"/>
    </row>
    <row r="4" spans="3:14" ht="15" customHeight="1">
      <c r="C4" s="994"/>
      <c r="D4" s="994"/>
      <c r="E4" s="994"/>
      <c r="F4" s="994"/>
      <c r="G4" s="994"/>
      <c r="H4" s="994"/>
      <c r="I4" s="415"/>
      <c r="J4" s="414"/>
      <c r="K4" s="414"/>
      <c r="L4" s="414"/>
      <c r="M4" s="414"/>
      <c r="N4" s="414"/>
    </row>
    <row r="5" spans="3:14" ht="15" customHeight="1">
      <c r="C5" s="995" t="str">
        <f>lang!B535</f>
        <v>활력높음 High Energy</v>
      </c>
      <c r="D5" s="996" t="str">
        <f>lang!B540</f>
        <v>격분한</v>
      </c>
      <c r="E5" s="997" t="str">
        <f>lang!B545</f>
        <v>뚜껑열리는</v>
      </c>
      <c r="F5" s="998" t="str">
        <f>lang!B550</f>
        <v>스트레스</v>
      </c>
      <c r="G5" s="999" t="str">
        <f>lang!B555</f>
        <v>초조한</v>
      </c>
      <c r="H5" s="1000" t="str">
        <f>lang!B560</f>
        <v>충격받은</v>
      </c>
      <c r="I5" s="415"/>
      <c r="J5" s="1001" t="str">
        <f>lang!B565</f>
        <v>놀란</v>
      </c>
      <c r="K5" s="1002" t="str">
        <f>lang!B570</f>
        <v>낙관적인</v>
      </c>
      <c r="L5" s="1003" t="str">
        <f>lang!B575</f>
        <v>흥겨운</v>
      </c>
      <c r="M5" s="1004" t="str">
        <f>lang!B580</f>
        <v>아주 신나는</v>
      </c>
      <c r="N5" s="1005" t="str">
        <f>lang!B585</f>
        <v>황홀한</v>
      </c>
    </row>
    <row r="6" spans="3:14" ht="15" customHeight="1">
      <c r="C6" s="995"/>
      <c r="D6" s="996"/>
      <c r="E6" s="997"/>
      <c r="F6" s="998"/>
      <c r="G6" s="999"/>
      <c r="H6" s="1000"/>
      <c r="I6" s="415"/>
      <c r="J6" s="1001"/>
      <c r="K6" s="1002"/>
      <c r="L6" s="1003"/>
      <c r="M6" s="1004"/>
      <c r="N6" s="1005"/>
    </row>
    <row r="7" spans="3:14" ht="15" customHeight="1">
      <c r="C7" s="995"/>
      <c r="D7" s="996" t="str">
        <f>lang!B541</f>
        <v>격노한</v>
      </c>
      <c r="E7" s="997" t="str">
        <f>lang!B546</f>
        <v>몹시 화가 난</v>
      </c>
      <c r="F7" s="998" t="str">
        <f>lang!B551</f>
        <v>좌절한</v>
      </c>
      <c r="G7" s="999" t="str">
        <f>lang!B556</f>
        <v>신경이 날카로운</v>
      </c>
      <c r="H7" s="1000" t="str">
        <f>lang!B561</f>
        <v>망연자실한</v>
      </c>
      <c r="I7" s="415"/>
      <c r="J7" s="1001" t="str">
        <f>lang!B566</f>
        <v>들뜬</v>
      </c>
      <c r="K7" s="1002" t="str">
        <f>lang!B571</f>
        <v>쾌활한</v>
      </c>
      <c r="L7" s="1003" t="str">
        <f>lang!B576</f>
        <v>동기 부여된</v>
      </c>
      <c r="M7" s="1004" t="str">
        <f>lang!B581</f>
        <v>영감을 받은</v>
      </c>
      <c r="N7" s="1005" t="str">
        <f>lang!B586</f>
        <v>의기양양한</v>
      </c>
    </row>
    <row r="8" spans="3:14" ht="15" customHeight="1">
      <c r="C8" s="995"/>
      <c r="D8" s="996"/>
      <c r="E8" s="997"/>
      <c r="F8" s="998"/>
      <c r="G8" s="999"/>
      <c r="H8" s="1000"/>
      <c r="I8" s="415"/>
      <c r="J8" s="1001"/>
      <c r="K8" s="1002"/>
      <c r="L8" s="1003"/>
      <c r="M8" s="1004"/>
      <c r="N8" s="1005"/>
    </row>
    <row r="9" spans="3:14" ht="15" customHeight="1">
      <c r="C9" s="995"/>
      <c r="D9" s="996" t="str">
        <f>lang!B542</f>
        <v>약이 오른</v>
      </c>
      <c r="E9" s="997" t="str">
        <f>lang!B547</f>
        <v>겁먹은</v>
      </c>
      <c r="F9" s="998" t="str">
        <f>lang!B552</f>
        <v>화난</v>
      </c>
      <c r="G9" s="999" t="str">
        <f>lang!B557</f>
        <v>긴장한</v>
      </c>
      <c r="H9" s="1000" t="str">
        <f>lang!B562</f>
        <v>안절부절한</v>
      </c>
      <c r="I9" s="415"/>
      <c r="J9" s="1001" t="str">
        <f>lang!B567</f>
        <v>기운이 넘치는</v>
      </c>
      <c r="K9" s="1002" t="str">
        <f>lang!B572</f>
        <v>활발한</v>
      </c>
      <c r="L9" s="1003" t="str">
        <f>lang!B577</f>
        <v>흥분한</v>
      </c>
      <c r="M9" s="1004" t="str">
        <f>lang!B582</f>
        <v>낙천적인</v>
      </c>
      <c r="N9" s="1005" t="str">
        <f>lang!B587</f>
        <v>열광하는</v>
      </c>
    </row>
    <row r="10" spans="3:14" ht="15" customHeight="1">
      <c r="C10" s="995"/>
      <c r="D10" s="996"/>
      <c r="E10" s="997"/>
      <c r="F10" s="998"/>
      <c r="G10" s="999"/>
      <c r="H10" s="1000"/>
      <c r="I10" s="415"/>
      <c r="J10" s="1001"/>
      <c r="K10" s="1002"/>
      <c r="L10" s="1003"/>
      <c r="M10" s="1004"/>
      <c r="N10" s="1005"/>
    </row>
    <row r="11" spans="3:14" ht="15" customHeight="1">
      <c r="C11" s="995"/>
      <c r="D11" s="996" t="str">
        <f>lang!B543</f>
        <v>불안한</v>
      </c>
      <c r="E11" s="997" t="str">
        <f>lang!B548</f>
        <v>우려하는</v>
      </c>
      <c r="F11" s="998" t="str">
        <f>lang!B553</f>
        <v>근심하는</v>
      </c>
      <c r="G11" s="999" t="str">
        <f>lang!B558</f>
        <v>짜증 나는</v>
      </c>
      <c r="H11" s="1000" t="str">
        <f>lang!B563</f>
        <v>거슬리는</v>
      </c>
      <c r="I11" s="415"/>
      <c r="J11" s="1001" t="str">
        <f>lang!B568</f>
        <v>기꺼이</v>
      </c>
      <c r="K11" s="1002" t="str">
        <f>lang!B573</f>
        <v>기쁜</v>
      </c>
      <c r="L11" s="1003" t="str">
        <f>lang!B578</f>
        <v>행복한</v>
      </c>
      <c r="M11" s="1004" t="str">
        <f>lang!B583</f>
        <v>자랑스러운</v>
      </c>
      <c r="N11" s="1005" t="str">
        <f>lang!B588</f>
        <v>짜릿한</v>
      </c>
    </row>
    <row r="12" spans="3:14" ht="15" customHeight="1">
      <c r="C12" s="995"/>
      <c r="D12" s="996"/>
      <c r="E12" s="997"/>
      <c r="F12" s="998"/>
      <c r="G12" s="999"/>
      <c r="H12" s="1000"/>
      <c r="I12" s="415"/>
      <c r="J12" s="1001"/>
      <c r="K12" s="1002"/>
      <c r="L12" s="1003"/>
      <c r="M12" s="1004"/>
      <c r="N12" s="1005"/>
    </row>
    <row r="13" spans="3:14" ht="15" customHeight="1">
      <c r="C13" s="995"/>
      <c r="D13" s="996" t="str">
        <f>lang!B544</f>
        <v>불쾌한</v>
      </c>
      <c r="E13" s="997" t="str">
        <f>lang!B549</f>
        <v>골치아픈</v>
      </c>
      <c r="F13" s="998" t="str">
        <f>lang!B554</f>
        <v>염려하는</v>
      </c>
      <c r="G13" s="999" t="str">
        <f>lang!B559</f>
        <v>마음이 불편한</v>
      </c>
      <c r="H13" s="1000" t="str">
        <f>lang!B564</f>
        <v>언짢은</v>
      </c>
      <c r="I13" s="415"/>
      <c r="J13" s="1001" t="str">
        <f>lang!B569</f>
        <v>유쾌한</v>
      </c>
      <c r="K13" s="1002" t="str">
        <f>lang!B574</f>
        <v>즐거운</v>
      </c>
      <c r="L13" s="1003" t="str">
        <f>lang!B579</f>
        <v>희망 찬</v>
      </c>
      <c r="M13" s="1004" t="str">
        <f>lang!B584</f>
        <v>재미있는</v>
      </c>
      <c r="N13" s="1005" t="str">
        <f>lang!B589</f>
        <v>행복이 넘치는</v>
      </c>
    </row>
    <row r="14" spans="3:14" ht="15" customHeight="1">
      <c r="C14" s="995"/>
      <c r="D14" s="996"/>
      <c r="E14" s="997"/>
      <c r="F14" s="998"/>
      <c r="G14" s="999"/>
      <c r="H14" s="1000"/>
      <c r="I14" s="415"/>
      <c r="J14" s="1001"/>
      <c r="K14" s="1002"/>
      <c r="L14" s="1003"/>
      <c r="M14" s="1004"/>
      <c r="N14" s="1005"/>
    </row>
    <row r="15" spans="3:14" ht="3" customHeight="1">
      <c r="C15" s="416"/>
      <c r="D15" s="414"/>
      <c r="E15" s="414"/>
      <c r="F15" s="414"/>
      <c r="G15" s="414"/>
      <c r="H15" s="415"/>
      <c r="I15" s="415"/>
      <c r="J15" s="414"/>
      <c r="K15" s="414"/>
      <c r="L15" s="414"/>
      <c r="M15" s="414"/>
      <c r="N15" s="414"/>
    </row>
    <row r="16" spans="3:14" ht="15" customHeight="1">
      <c r="C16" s="995" t="str">
        <f>lang!B536</f>
        <v>활력낮음 Low Energy</v>
      </c>
      <c r="D16" s="1006" t="str">
        <f>lang!B590</f>
        <v>역겨운</v>
      </c>
      <c r="E16" s="1007" t="str">
        <f>lang!B595</f>
        <v>침울한</v>
      </c>
      <c r="F16" s="1008" t="str">
        <f>lang!B600</f>
        <v>실망스러운</v>
      </c>
      <c r="G16" s="1009" t="str">
        <f>lang!B605</f>
        <v>의욕 없는</v>
      </c>
      <c r="H16" s="1010" t="str">
        <f>lang!B610</f>
        <v>냉담한</v>
      </c>
      <c r="I16" s="415"/>
      <c r="J16" s="1011" t="str">
        <f>lang!B615</f>
        <v>속 편한</v>
      </c>
      <c r="K16" s="1012" t="str">
        <f>lang!B620</f>
        <v>태평한</v>
      </c>
      <c r="L16" s="1013" t="str">
        <f>lang!B625</f>
        <v>자족하는</v>
      </c>
      <c r="M16" s="1014" t="str">
        <f>lang!B630</f>
        <v>다정한</v>
      </c>
      <c r="N16" s="1015" t="str">
        <f>lang!B635</f>
        <v>충만한</v>
      </c>
    </row>
    <row r="17" spans="3:14" ht="15" customHeight="1">
      <c r="C17" s="995"/>
      <c r="D17" s="1006"/>
      <c r="E17" s="1007"/>
      <c r="F17" s="1008"/>
      <c r="G17" s="1009"/>
      <c r="H17" s="1010"/>
      <c r="I17" s="414"/>
      <c r="J17" s="1011"/>
      <c r="K17" s="1012"/>
      <c r="L17" s="1013"/>
      <c r="M17" s="1014"/>
      <c r="N17" s="1015"/>
    </row>
    <row r="18" spans="3:14" ht="15" customHeight="1">
      <c r="C18" s="995"/>
      <c r="D18" s="1006" t="str">
        <f>lang!B591</f>
        <v>비관적인</v>
      </c>
      <c r="E18" s="1007" t="str">
        <f>lang!B596</f>
        <v>시무룩한</v>
      </c>
      <c r="F18" s="1008" t="str">
        <f>lang!B601</f>
        <v>의욕을 꺽는</v>
      </c>
      <c r="G18" s="1009" t="str">
        <f>lang!B606</f>
        <v>슬픈</v>
      </c>
      <c r="H18" s="1010" t="str">
        <f>lang!B611</f>
        <v>지루한</v>
      </c>
      <c r="I18" s="414"/>
      <c r="J18" s="1011" t="str">
        <f>lang!B616</f>
        <v>침착한</v>
      </c>
      <c r="K18" s="1012" t="str">
        <f>lang!B621</f>
        <v>안심하는</v>
      </c>
      <c r="L18" s="1013" t="str">
        <f>lang!B626</f>
        <v>만족스러운</v>
      </c>
      <c r="M18" s="1014" t="str">
        <f>lang!B631</f>
        <v>감사하는</v>
      </c>
      <c r="N18" s="1015" t="str">
        <f>lang!B636</f>
        <v>감동적인</v>
      </c>
    </row>
    <row r="19" spans="3:14" ht="15" customHeight="1">
      <c r="C19" s="995"/>
      <c r="D19" s="1006"/>
      <c r="E19" s="1007"/>
      <c r="F19" s="1008"/>
      <c r="G19" s="1009"/>
      <c r="H19" s="1010"/>
      <c r="I19" s="414"/>
      <c r="J19" s="1011"/>
      <c r="K19" s="1012"/>
      <c r="L19" s="1013"/>
      <c r="M19" s="1014"/>
      <c r="N19" s="1015"/>
    </row>
    <row r="20" spans="3:14" ht="15" customHeight="1">
      <c r="C20" s="995"/>
      <c r="D20" s="1006" t="str">
        <f>lang!B592</f>
        <v>답답한</v>
      </c>
      <c r="E20" s="1007" t="str">
        <f>lang!B597</f>
        <v>비참한</v>
      </c>
      <c r="F20" s="1008" t="str">
        <f>lang!B602</f>
        <v>쓸쓸한</v>
      </c>
      <c r="G20" s="1009" t="str">
        <f>lang!B607</f>
        <v>좌절된</v>
      </c>
      <c r="H20" s="1010" t="str">
        <f>lang!B612</f>
        <v>피곤한</v>
      </c>
      <c r="I20" s="414"/>
      <c r="J20" s="1011" t="str">
        <f>lang!B617</f>
        <v>여유로운</v>
      </c>
      <c r="K20" s="1012" t="str">
        <f>lang!B622</f>
        <v>차분한</v>
      </c>
      <c r="L20" s="1013" t="str">
        <f>lang!B627</f>
        <v>휴식하는</v>
      </c>
      <c r="M20" s="1014" t="str">
        <f>lang!B632</f>
        <v>축복받은</v>
      </c>
      <c r="N20" s="1015" t="str">
        <f>lang!B637</f>
        <v>안정적인</v>
      </c>
    </row>
    <row r="21" spans="3:14" ht="15" customHeight="1">
      <c r="C21" s="995"/>
      <c r="D21" s="1006"/>
      <c r="E21" s="1007"/>
      <c r="F21" s="1008"/>
      <c r="G21" s="1009"/>
      <c r="H21" s="1010"/>
      <c r="I21" s="414"/>
      <c r="J21" s="1011"/>
      <c r="K21" s="1012"/>
      <c r="L21" s="1013"/>
      <c r="M21" s="1014"/>
      <c r="N21" s="1015"/>
    </row>
    <row r="22" spans="3:14" ht="15" customHeight="1">
      <c r="C22" s="995"/>
      <c r="D22" s="1006" t="str">
        <f>lang!B593</f>
        <v>의기소침한</v>
      </c>
      <c r="E22" s="1007" t="str">
        <f>lang!B598</f>
        <v>우울한</v>
      </c>
      <c r="F22" s="1008" t="str">
        <f>lang!B603</f>
        <v>시무룩한</v>
      </c>
      <c r="G22" s="1009" t="str">
        <f>lang!B608</f>
        <v>기진맥진한</v>
      </c>
      <c r="H22" s="1010" t="str">
        <f>lang!B613</f>
        <v>지친</v>
      </c>
      <c r="I22" s="414"/>
      <c r="J22" s="1011" t="str">
        <f>lang!B618</f>
        <v>한가로운</v>
      </c>
      <c r="K22" s="1012" t="str">
        <f>lang!B623</f>
        <v>생각에 잠긴</v>
      </c>
      <c r="L22" s="1013" t="str">
        <f>lang!B628</f>
        <v>평화로운</v>
      </c>
      <c r="M22" s="1014" t="str">
        <f>lang!B633</f>
        <v>편안한</v>
      </c>
      <c r="N22" s="1015" t="str">
        <f>lang!B638</f>
        <v>근심 걱정 없는</v>
      </c>
    </row>
    <row r="23" spans="3:14" ht="15" customHeight="1">
      <c r="C23" s="995"/>
      <c r="D23" s="1006"/>
      <c r="E23" s="1007"/>
      <c r="F23" s="1008"/>
      <c r="G23" s="1009"/>
      <c r="H23" s="1010"/>
      <c r="I23" s="414"/>
      <c r="J23" s="1011"/>
      <c r="K23" s="1012"/>
      <c r="L23" s="1013"/>
      <c r="M23" s="1014"/>
      <c r="N23" s="1015"/>
    </row>
    <row r="24" spans="3:14" ht="15" customHeight="1">
      <c r="C24" s="995"/>
      <c r="D24" s="1006" t="str">
        <f>lang!B594</f>
        <v>절망한</v>
      </c>
      <c r="E24" s="1007" t="str">
        <f>lang!B599</f>
        <v>심각한</v>
      </c>
      <c r="F24" s="1008" t="str">
        <f>lang!B604</f>
        <v>고독한</v>
      </c>
      <c r="G24" s="1009" t="str">
        <f>lang!B609</f>
        <v>힘이 다 빠진</v>
      </c>
      <c r="H24" s="1010" t="str">
        <f>lang!B614</f>
        <v>진이 빠진</v>
      </c>
      <c r="I24" s="414"/>
      <c r="J24" s="1011" t="str">
        <f>lang!B619</f>
        <v>나른한</v>
      </c>
      <c r="K24" s="1012" t="str">
        <f>lang!B624</f>
        <v>안일한</v>
      </c>
      <c r="L24" s="1013" t="str">
        <f>lang!B629</f>
        <v>고요한</v>
      </c>
      <c r="M24" s="1014" t="str">
        <f>lang!B634</f>
        <v>안락한</v>
      </c>
      <c r="N24" s="1015" t="str">
        <f>lang!B639</f>
        <v>평온한</v>
      </c>
    </row>
    <row r="25" spans="3:14" ht="15" customHeight="1">
      <c r="C25" s="995"/>
      <c r="D25" s="1006"/>
      <c r="E25" s="1007"/>
      <c r="F25" s="1008"/>
      <c r="G25" s="1009"/>
      <c r="H25" s="1010"/>
      <c r="I25" s="414"/>
      <c r="J25" s="1011"/>
      <c r="K25" s="1012"/>
      <c r="L25" s="1013"/>
      <c r="M25" s="1014"/>
      <c r="N25" s="1015"/>
    </row>
    <row r="26" spans="3:14">
      <c r="C26" s="413"/>
      <c r="D26" s="1028" t="str">
        <f>lang!B538</f>
        <v>쾌적함 낮음 Low Pleasantness</v>
      </c>
      <c r="E26" s="1028"/>
      <c r="F26" s="1028"/>
      <c r="G26" s="1028"/>
      <c r="H26" s="1028"/>
      <c r="I26" s="414"/>
      <c r="J26" s="1028" t="str">
        <f>lang!B537</f>
        <v>쾌적함 높음 High Pleasantness</v>
      </c>
      <c r="K26" s="1028"/>
      <c r="L26" s="1028"/>
      <c r="M26" s="1028"/>
      <c r="N26" s="1028"/>
    </row>
    <row r="28" spans="3:14" ht="16.8" thickBot="1"/>
    <row r="29" spans="3:14" ht="16.8" thickBot="1">
      <c r="D29" s="1016" t="str">
        <f>lang!B539</f>
        <v>검사 결과 설명</v>
      </c>
      <c r="E29" s="1017"/>
      <c r="F29" s="1017"/>
      <c r="G29" s="1017"/>
      <c r="H29" s="1017"/>
      <c r="I29" s="1017"/>
      <c r="J29" s="1017"/>
      <c r="K29" s="1017"/>
      <c r="L29" s="1017"/>
      <c r="M29" s="1017"/>
      <c r="N29" s="1018"/>
    </row>
    <row r="30" spans="3:14" ht="4.5" customHeight="1" thickBot="1"/>
    <row r="31" spans="3:14">
      <c r="D31" s="1019"/>
      <c r="E31" s="1020"/>
      <c r="F31" s="1020"/>
      <c r="G31" s="1020"/>
      <c r="H31" s="1020"/>
      <c r="I31" s="1020"/>
      <c r="J31" s="1020"/>
      <c r="K31" s="1020"/>
      <c r="L31" s="1020"/>
      <c r="M31" s="1020"/>
      <c r="N31" s="1021"/>
    </row>
    <row r="32" spans="3:14">
      <c r="D32" s="1022"/>
      <c r="E32" s="1023"/>
      <c r="F32" s="1023"/>
      <c r="G32" s="1023"/>
      <c r="H32" s="1023"/>
      <c r="I32" s="1023"/>
      <c r="J32" s="1023"/>
      <c r="K32" s="1023"/>
      <c r="L32" s="1023"/>
      <c r="M32" s="1023"/>
      <c r="N32" s="1024"/>
    </row>
    <row r="33" spans="4:14">
      <c r="D33" s="1022"/>
      <c r="E33" s="1023"/>
      <c r="F33" s="1023"/>
      <c r="G33" s="1023"/>
      <c r="H33" s="1023"/>
      <c r="I33" s="1023"/>
      <c r="J33" s="1023"/>
      <c r="K33" s="1023"/>
      <c r="L33" s="1023"/>
      <c r="M33" s="1023"/>
      <c r="N33" s="1024"/>
    </row>
    <row r="34" spans="4:14">
      <c r="D34" s="1022"/>
      <c r="E34" s="1023"/>
      <c r="F34" s="1023"/>
      <c r="G34" s="1023"/>
      <c r="H34" s="1023"/>
      <c r="I34" s="1023"/>
      <c r="J34" s="1023"/>
      <c r="K34" s="1023"/>
      <c r="L34" s="1023"/>
      <c r="M34" s="1023"/>
      <c r="N34" s="1024"/>
    </row>
    <row r="35" spans="4:14">
      <c r="D35" s="1022"/>
      <c r="E35" s="1023"/>
      <c r="F35" s="1023"/>
      <c r="G35" s="1023"/>
      <c r="H35" s="1023"/>
      <c r="I35" s="1023"/>
      <c r="J35" s="1023"/>
      <c r="K35" s="1023"/>
      <c r="L35" s="1023"/>
      <c r="M35" s="1023"/>
      <c r="N35" s="1024"/>
    </row>
    <row r="36" spans="4:14">
      <c r="D36" s="1022"/>
      <c r="E36" s="1023"/>
      <c r="F36" s="1023"/>
      <c r="G36" s="1023"/>
      <c r="H36" s="1023"/>
      <c r="I36" s="1023"/>
      <c r="J36" s="1023"/>
      <c r="K36" s="1023"/>
      <c r="L36" s="1023"/>
      <c r="M36" s="1023"/>
      <c r="N36" s="1024"/>
    </row>
    <row r="37" spans="4:14">
      <c r="D37" s="1022"/>
      <c r="E37" s="1023"/>
      <c r="F37" s="1023"/>
      <c r="G37" s="1023"/>
      <c r="H37" s="1023"/>
      <c r="I37" s="1023"/>
      <c r="J37" s="1023"/>
      <c r="K37" s="1023"/>
      <c r="L37" s="1023"/>
      <c r="M37" s="1023"/>
      <c r="N37" s="1024"/>
    </row>
    <row r="38" spans="4:14">
      <c r="D38" s="1022"/>
      <c r="E38" s="1023"/>
      <c r="F38" s="1023"/>
      <c r="G38" s="1023"/>
      <c r="H38" s="1023"/>
      <c r="I38" s="1023"/>
      <c r="J38" s="1023"/>
      <c r="K38" s="1023"/>
      <c r="L38" s="1023"/>
      <c r="M38" s="1023"/>
      <c r="N38" s="1024"/>
    </row>
    <row r="39" spans="4:14">
      <c r="D39" s="1022"/>
      <c r="E39" s="1023"/>
      <c r="F39" s="1023"/>
      <c r="G39" s="1023"/>
      <c r="H39" s="1023"/>
      <c r="I39" s="1023"/>
      <c r="J39" s="1023"/>
      <c r="K39" s="1023"/>
      <c r="L39" s="1023"/>
      <c r="M39" s="1023"/>
      <c r="N39" s="1024"/>
    </row>
    <row r="40" spans="4:14">
      <c r="D40" s="1022"/>
      <c r="E40" s="1023"/>
      <c r="F40" s="1023"/>
      <c r="G40" s="1023"/>
      <c r="H40" s="1023"/>
      <c r="I40" s="1023"/>
      <c r="J40" s="1023"/>
      <c r="K40" s="1023"/>
      <c r="L40" s="1023"/>
      <c r="M40" s="1023"/>
      <c r="N40" s="1024"/>
    </row>
    <row r="41" spans="4:14">
      <c r="D41" s="1022"/>
      <c r="E41" s="1023"/>
      <c r="F41" s="1023"/>
      <c r="G41" s="1023"/>
      <c r="H41" s="1023"/>
      <c r="I41" s="1023"/>
      <c r="J41" s="1023"/>
      <c r="K41" s="1023"/>
      <c r="L41" s="1023"/>
      <c r="M41" s="1023"/>
      <c r="N41" s="1024"/>
    </row>
    <row r="42" spans="4:14">
      <c r="D42" s="1022"/>
      <c r="E42" s="1023"/>
      <c r="F42" s="1023"/>
      <c r="G42" s="1023"/>
      <c r="H42" s="1023"/>
      <c r="I42" s="1023"/>
      <c r="J42" s="1023"/>
      <c r="K42" s="1023"/>
      <c r="L42" s="1023"/>
      <c r="M42" s="1023"/>
      <c r="N42" s="1024"/>
    </row>
    <row r="43" spans="4:14">
      <c r="D43" s="1022"/>
      <c r="E43" s="1023"/>
      <c r="F43" s="1023"/>
      <c r="G43" s="1023"/>
      <c r="H43" s="1023"/>
      <c r="I43" s="1023"/>
      <c r="J43" s="1023"/>
      <c r="K43" s="1023"/>
      <c r="L43" s="1023"/>
      <c r="M43" s="1023"/>
      <c r="N43" s="1024"/>
    </row>
    <row r="44" spans="4:14">
      <c r="D44" s="1022"/>
      <c r="E44" s="1023"/>
      <c r="F44" s="1023"/>
      <c r="G44" s="1023"/>
      <c r="H44" s="1023"/>
      <c r="I44" s="1023"/>
      <c r="J44" s="1023"/>
      <c r="K44" s="1023"/>
      <c r="L44" s="1023"/>
      <c r="M44" s="1023"/>
      <c r="N44" s="1024"/>
    </row>
    <row r="45" spans="4:14">
      <c r="D45" s="1022"/>
      <c r="E45" s="1023"/>
      <c r="F45" s="1023"/>
      <c r="G45" s="1023"/>
      <c r="H45" s="1023"/>
      <c r="I45" s="1023"/>
      <c r="J45" s="1023"/>
      <c r="K45" s="1023"/>
      <c r="L45" s="1023"/>
      <c r="M45" s="1023"/>
      <c r="N45" s="1024"/>
    </row>
    <row r="46" spans="4:14" ht="16.8" thickBot="1">
      <c r="D46" s="1025"/>
      <c r="E46" s="1026"/>
      <c r="F46" s="1026"/>
      <c r="G46" s="1026"/>
      <c r="H46" s="1026"/>
      <c r="I46" s="1026"/>
      <c r="J46" s="1026"/>
      <c r="K46" s="1026"/>
      <c r="L46" s="1026"/>
      <c r="M46" s="1026"/>
      <c r="N46" s="1027"/>
    </row>
  </sheetData>
  <mergeCells count="108">
    <mergeCell ref="D29:N29"/>
    <mergeCell ref="D31:N46"/>
    <mergeCell ref="J24:J25"/>
    <mergeCell ref="K24:K25"/>
    <mergeCell ref="L24:L25"/>
    <mergeCell ref="M24:M25"/>
    <mergeCell ref="N24:N25"/>
    <mergeCell ref="D26:H26"/>
    <mergeCell ref="J26:N26"/>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67"/>
      <c r="D1" s="1068"/>
      <c r="E1" s="1068"/>
      <c r="F1" s="1068"/>
      <c r="G1" s="1068"/>
      <c r="H1" s="1068"/>
      <c r="I1" s="1068"/>
      <c r="L1" s="2"/>
      <c r="M1" s="2"/>
      <c r="N1" s="2"/>
      <c r="O1" s="2"/>
      <c r="P1" s="2"/>
    </row>
    <row r="2" spans="2:119">
      <c r="B2" s="1069" t="str">
        <f>lang!B2</f>
        <v>정신기능상태 측정 결과표</v>
      </c>
      <c r="C2" s="1070"/>
      <c r="D2" s="1070"/>
      <c r="E2" s="1070"/>
      <c r="F2" s="1070"/>
      <c r="G2" s="1070"/>
      <c r="H2" s="1070"/>
      <c r="I2" s="1070"/>
      <c r="J2" s="1070"/>
      <c r="K2" s="1071"/>
      <c r="CG2" t="s">
        <v>1875</v>
      </c>
      <c r="CJ2" t="s">
        <v>1874</v>
      </c>
    </row>
    <row r="3" spans="2:119" ht="31.5" customHeight="1" thickBot="1">
      <c r="B3" s="1072"/>
      <c r="C3" s="1073"/>
      <c r="D3" s="1073"/>
      <c r="E3" s="1073"/>
      <c r="F3" s="1073"/>
      <c r="G3" s="1073"/>
      <c r="H3" s="1073"/>
      <c r="I3" s="1073"/>
      <c r="J3" s="1073"/>
      <c r="K3" s="1074"/>
      <c r="Z3" s="1029" t="s">
        <v>2129</v>
      </c>
      <c r="AA3" s="1029"/>
      <c r="AB3" s="1029" t="s">
        <v>2130</v>
      </c>
      <c r="AC3" s="1029"/>
      <c r="AD3" s="1029" t="s">
        <v>2131</v>
      </c>
      <c r="AE3" s="1029"/>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081" t="str">
        <f>FH_info!B2</f>
        <v>vision^mj6r^1^1^</v>
      </c>
      <c r="D4" s="1082"/>
      <c r="E4" s="1082"/>
      <c r="F4" s="1083"/>
      <c r="G4" s="38" t="str">
        <f>lang!B27</f>
        <v>ID</v>
      </c>
      <c r="H4" s="1081"/>
      <c r="I4" s="1082"/>
      <c r="J4" s="1082"/>
      <c r="K4" s="1084"/>
      <c r="AF4" s="169" t="str">
        <f>'Report-뇌피로'!K7</f>
        <v>1</v>
      </c>
      <c r="AG4" s="168" t="s">
        <v>1049</v>
      </c>
      <c r="AZ4" t="s">
        <v>1092</v>
      </c>
      <c r="BK4" t="s">
        <v>1096</v>
      </c>
      <c r="BV4" t="s">
        <v>1094</v>
      </c>
      <c r="CG4" s="305">
        <f>IF(SUM($AY$7:$AY$13)&gt;0,HLOOKUP(1,$BV$6:$CE$8,3,FALSE),"")</f>
        <v>3</v>
      </c>
      <c r="CH4" s="305">
        <f>IF(SUM($AY$7:$AY$13)&gt;0,HLOOKUP(2,$BV$6:$CE$8,3,FALSE),"")</f>
        <v>2</v>
      </c>
      <c r="CI4" t="s">
        <v>1570</v>
      </c>
      <c r="CJ4" s="426">
        <f>DK17*100</f>
        <v>47.783580907560264</v>
      </c>
      <c r="CK4" s="422">
        <f>info!W21</f>
        <v>12.007565559540772</v>
      </c>
      <c r="CL4">
        <f>100-M!B19*100</f>
        <v>26.750600000000006</v>
      </c>
      <c r="DA4" s="250"/>
      <c r="DB4" s="251"/>
      <c r="DC4" s="252"/>
      <c r="DD4" s="1043" t="s">
        <v>1209</v>
      </c>
      <c r="DE4" s="1044"/>
      <c r="DF4" s="1045"/>
      <c r="DG4" s="1046"/>
      <c r="DH4" s="1047" t="s">
        <v>1210</v>
      </c>
      <c r="DI4" s="1048"/>
      <c r="DJ4" s="1048"/>
      <c r="DK4" s="1048"/>
      <c r="DL4" s="1049"/>
      <c r="DO4" t="str">
        <f>lang!B360</f>
        <v>중립</v>
      </c>
    </row>
    <row r="5" spans="2:119" ht="17.25" customHeight="1" thickBot="1">
      <c r="B5" s="36" t="str">
        <f>lang!B25</f>
        <v>성별</v>
      </c>
      <c r="C5" s="1060"/>
      <c r="D5" s="1061"/>
      <c r="E5" s="1061"/>
      <c r="F5" s="1062"/>
      <c r="G5" s="39" t="str">
        <f>lang!B28</f>
        <v>날자</v>
      </c>
      <c r="H5" s="1085">
        <f>FH_info!A2</f>
        <v>45778.78328703704</v>
      </c>
      <c r="I5" s="1086"/>
      <c r="J5" s="1086"/>
      <c r="K5" s="1087"/>
      <c r="M5" s="9" t="s">
        <v>5</v>
      </c>
      <c r="N5" s="10"/>
      <c r="O5" s="10"/>
      <c r="P5" s="10"/>
      <c r="Q5" s="10"/>
      <c r="R5" s="10"/>
      <c r="S5" s="10"/>
      <c r="T5" s="10"/>
      <c r="U5" s="1129" t="s">
        <v>2155</v>
      </c>
      <c r="V5" s="1130"/>
      <c r="W5" s="1130"/>
      <c r="X5" s="11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053" t="s">
        <v>1211</v>
      </c>
      <c r="DC5" s="1054"/>
      <c r="DD5" s="1055" t="s">
        <v>1212</v>
      </c>
      <c r="DE5" s="1046"/>
      <c r="DF5" s="1056" t="s">
        <v>1213</v>
      </c>
      <c r="DG5" s="1054"/>
      <c r="DH5" s="1050"/>
      <c r="DI5" s="1051"/>
      <c r="DJ5" s="1051"/>
      <c r="DK5" s="1051"/>
      <c r="DL5" s="1052"/>
    </row>
    <row r="6" spans="2:119" ht="45.3" thickBot="1">
      <c r="B6" s="37" t="str">
        <f>lang!B26</f>
        <v>나이</v>
      </c>
      <c r="C6" s="1057"/>
      <c r="D6" s="1058"/>
      <c r="E6" s="1058"/>
      <c r="F6" s="1063"/>
      <c r="G6" s="40" t="str">
        <f>lang!B29</f>
        <v>Σ Vi</v>
      </c>
      <c r="H6" s="1057">
        <f>M!B17*1</f>
        <v>9.7936800000000002</v>
      </c>
      <c r="I6" s="1058"/>
      <c r="J6" s="1058"/>
      <c r="K6" s="1059"/>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2</v>
      </c>
      <c r="BX6" s="220">
        <f t="shared" si="0"/>
        <v>1</v>
      </c>
      <c r="BY6" s="220">
        <f t="shared" si="0"/>
        <v>7</v>
      </c>
      <c r="BZ6" s="220">
        <f t="shared" si="0"/>
        <v>10</v>
      </c>
      <c r="CA6" s="220">
        <f t="shared" si="0"/>
        <v>8</v>
      </c>
      <c r="CB6" s="220">
        <f t="shared" si="0"/>
        <v>3</v>
      </c>
      <c r="CC6" s="220">
        <f t="shared" si="0"/>
        <v>4</v>
      </c>
      <c r="CD6" s="220">
        <f t="shared" si="0"/>
        <v>9</v>
      </c>
      <c r="CE6" s="220">
        <f t="shared" si="0"/>
        <v>5</v>
      </c>
      <c r="CF6" s="220"/>
      <c r="CG6" s="423" t="s">
        <v>1097</v>
      </c>
      <c r="CH6" s="423" t="s">
        <v>1098</v>
      </c>
      <c r="CJ6" s="423" t="s">
        <v>1097</v>
      </c>
      <c r="CK6" s="423" t="s">
        <v>1098</v>
      </c>
      <c r="CN6" s="1033" t="str">
        <f>lang!B256</f>
        <v>정상/휴식 집단</v>
      </c>
      <c r="CO6" s="1034"/>
      <c r="CP6" s="1034"/>
      <c r="CQ6" s="1035"/>
      <c r="CR6" s="461" t="str">
        <f>lang!B258</f>
        <v>힐링/치유 집단</v>
      </c>
      <c r="CS6" s="1033" t="str">
        <f>lang!B257</f>
        <v>정상/휴식 집단</v>
      </c>
      <c r="CT6" s="1034"/>
      <c r="CU6" s="1034"/>
      <c r="CV6" s="1035"/>
      <c r="CW6" s="1036" t="str">
        <f>lang!B258</f>
        <v>힐링/치유 집단</v>
      </c>
      <c r="CX6" s="1037"/>
      <c r="CY6" s="103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100" t="str">
        <f>lang!B30</f>
        <v>10 매개변수 측정값</v>
      </c>
      <c r="C7" s="1101"/>
      <c r="D7" s="1102"/>
      <c r="E7" s="1102"/>
      <c r="F7" s="1102"/>
      <c r="G7" s="1102"/>
      <c r="H7" s="1102"/>
      <c r="I7" s="1102"/>
      <c r="J7" s="1102"/>
      <c r="K7" s="1103"/>
      <c r="L7" s="1">
        <f>IF(M!B5="","",IF(N7&lt;U7,1,IF(N7&lt;V7,2,IF(N7&lt;W7,3,IF(N7&lt;X7,4,5)))))</f>
        <v>3</v>
      </c>
      <c r="M7" s="162" t="str">
        <f>lang!B14</f>
        <v>적극/공격성</v>
      </c>
      <c r="N7" s="48">
        <f>IF(M!B5="","",M!B5*1)</f>
        <v>25.583400000000001</v>
      </c>
      <c r="O7" s="48">
        <f>M!C5*1</f>
        <v>4.0309999999999997</v>
      </c>
      <c r="P7" s="48">
        <f>M!D5*1</f>
        <v>15.7563</v>
      </c>
      <c r="Q7" s="48">
        <f>M!E5*1</f>
        <v>20</v>
      </c>
      <c r="R7" s="48">
        <f>IF(M!B5="","",M!F5*1)</f>
        <v>18.661000000000001</v>
      </c>
      <c r="S7" s="48">
        <f>M!G5*1</f>
        <v>50</v>
      </c>
      <c r="T7" s="48">
        <f>IF(M!B5="","",M!H5*1)</f>
        <v>32.557899999999997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-3.015271929231893</v>
      </c>
      <c r="AI7" s="98">
        <v>2.5024862326905418E-2</v>
      </c>
      <c r="AJ7" s="98">
        <v>-7.7313821231156016E-2</v>
      </c>
      <c r="AK7" s="98">
        <v>0.50012525104428274</v>
      </c>
      <c r="AL7" s="98">
        <v>-8.545985269705475E-2</v>
      </c>
      <c r="AM7" s="98">
        <f>$AH7*AI7+$AH8*AI8+$AH9*AI9+$AH10*AI10+$AH11*AI11+$AH12*AI12+$AH13*AI13+$AH14*AI14+$AH15*AI15+$AH16*AI16</f>
        <v>-3.0777715686210319</v>
      </c>
      <c r="AN7" s="98">
        <f t="shared" ref="AN7:AP7" si="2">$AH7*AJ7+$AH8*AJ8+$AH9*AJ9+$AH10*AJ10+$AH11*AJ11+$AH12*AJ12+$AH13*AJ13+$AH14*AJ14+$AH15*AJ15+$AH16*AJ16</f>
        <v>3.0630420701614844</v>
      </c>
      <c r="AO7" s="98">
        <f t="shared" si="2"/>
        <v>-2.4511614840284439</v>
      </c>
      <c r="AP7" s="98">
        <f t="shared" si="2"/>
        <v>1.3728514643408225</v>
      </c>
      <c r="AQ7" s="335">
        <f>IF(SUM(N7:N16)&gt;0, 0.8608*AM7+0.333*AN7+0.104*AO7+1.129*AP7,"")</f>
        <v>-0.33432424800337945</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25.583400000000001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302.79372794560004</v>
      </c>
      <c r="BL7" s="56">
        <f t="shared" ref="BL7:BT7" si="3">BB7*$AY7+BB8*$AY8+BB9*$AY9+BB10*$AY10+BB11*$AY11+BB12*$AY12+BB13*$AY13+BB14</f>
        <v>309.77733099359995</v>
      </c>
      <c r="BM7" s="56">
        <f t="shared" si="3"/>
        <v>312.85178225660013</v>
      </c>
      <c r="BN7" s="56">
        <f t="shared" si="3"/>
        <v>300.27158507280006</v>
      </c>
      <c r="BO7" s="56">
        <f t="shared" si="3"/>
        <v>282.19272109840017</v>
      </c>
      <c r="BP7" s="56">
        <f t="shared" si="3"/>
        <v>297.12901489199999</v>
      </c>
      <c r="BQ7" s="56">
        <f t="shared" si="3"/>
        <v>309.71082462180004</v>
      </c>
      <c r="BR7" s="56">
        <f t="shared" si="3"/>
        <v>308.71093075860006</v>
      </c>
      <c r="BS7" s="56">
        <f t="shared" si="3"/>
        <v>290.18399727340005</v>
      </c>
      <c r="BT7" s="56">
        <f t="shared" si="3"/>
        <v>306.95799657120011</v>
      </c>
      <c r="BU7" s="56">
        <f>EXP(BK7)+EXP(BL7)+EXP(BM7)+EXP(BN7)+EXP(BO7)+EXP(BP7)+EXP(BQ7)+EXP(BR7)+EXP(BS7)+EXP(BT7)</f>
        <v>8.2112358611957744E+135</v>
      </c>
      <c r="BV7" s="56">
        <f>IF(SUM($AY$7:$AY$13)&gt;0,EXP(BK7)/$BU$7,"")</f>
        <v>3.8657759031620745E-5</v>
      </c>
      <c r="BW7" s="56">
        <f t="shared" ref="BW7:CE7" si="4">IF(SUM($AY$7:$AY$13)&gt;0,EXP(BL7)/$BU$7,"")</f>
        <v>4.170392608302545E-2</v>
      </c>
      <c r="BX7" s="56">
        <f t="shared" si="4"/>
        <v>0.90238976440676366</v>
      </c>
      <c r="BY7" s="56">
        <f t="shared" si="4"/>
        <v>3.1037300596712955E-6</v>
      </c>
      <c r="BZ7" s="56">
        <f t="shared" si="4"/>
        <v>4.3685074352966287E-14</v>
      </c>
      <c r="CA7" s="56">
        <f t="shared" si="4"/>
        <v>1.3399329098337367E-7</v>
      </c>
      <c r="CB7" s="56">
        <f t="shared" si="4"/>
        <v>3.9020568449454091E-2</v>
      </c>
      <c r="CC7" s="56">
        <f t="shared" si="4"/>
        <v>1.4356388575660713E-2</v>
      </c>
      <c r="CD7" s="56">
        <f t="shared" si="4"/>
        <v>1.2909226635915422E-10</v>
      </c>
      <c r="CE7" s="56">
        <f t="shared" si="4"/>
        <v>2.4874568735776398E-3</v>
      </c>
      <c r="CF7" s="418" t="s">
        <v>1870</v>
      </c>
      <c r="CG7" s="221">
        <f>IF(SUM($AY$7:$AY$13)&gt;0,HLOOKUP(1,$BV$6:$CE$7,2,FALSE),"")</f>
        <v>0.90238976440676366</v>
      </c>
      <c r="CH7" s="221">
        <f>IF(SUM($AY$7:$AY$13)&gt;0,HLOOKUP(2,$BV$6:$CE$7,2,FALSE),"")</f>
        <v>4.170392608302545E-2</v>
      </c>
      <c r="CI7" s="425" t="str">
        <f>"( "&amp;IF(CG7&lt;&gt;"",ROUND(CG7*100,0),"")&amp;" , "&amp;IF(CH7&lt;&gt;"",ROUND(CH7*100,0),"")&amp;" )"</f>
        <v>( 90 , 4 )</v>
      </c>
      <c r="CJ7" s="420">
        <f>CG7</f>
        <v>0.90238976440676366</v>
      </c>
      <c r="CK7" s="420">
        <f>CH7</f>
        <v>4.170392608302545E-2</v>
      </c>
      <c r="CL7" s="425" t="str">
        <f>CI7</f>
        <v>( 90 , 4 )</v>
      </c>
      <c r="CN7" s="1040" t="s">
        <v>1268</v>
      </c>
      <c r="CO7" s="1040"/>
      <c r="CP7" s="1040"/>
      <c r="CQ7" s="1040"/>
      <c r="CR7" s="1041" t="s">
        <v>1269</v>
      </c>
      <c r="CS7" s="1041"/>
      <c r="CT7" s="1041"/>
      <c r="CU7" s="1041"/>
      <c r="CV7" s="1042" t="s">
        <v>1270</v>
      </c>
      <c r="CW7" s="1042"/>
      <c r="DA7" s="224" t="s">
        <v>1084</v>
      </c>
      <c r="DB7" s="260">
        <v>36.336111111111101</v>
      </c>
      <c r="DC7" s="261">
        <v>6.8347156464076955</v>
      </c>
      <c r="DD7" s="260">
        <v>44.171249999999944</v>
      </c>
      <c r="DE7" s="261">
        <v>50.226530612244851</v>
      </c>
      <c r="DF7" s="262">
        <v>1.1463737914256851</v>
      </c>
      <c r="DG7" s="263">
        <v>2.032333197129351</v>
      </c>
      <c r="DH7" s="264">
        <v>1</v>
      </c>
      <c r="DI7" s="285">
        <f>N7</f>
        <v>25.583400000000001</v>
      </c>
      <c r="DJ7" s="265">
        <f>(DI7-$DB7)/$DC7</f>
        <v>-1.5732492275319003</v>
      </c>
      <c r="DK7" s="266">
        <f>IF(DH7=1,(DJ7-DF7)^2,0)</f>
        <v>7.39634936524397</v>
      </c>
      <c r="DL7" s="267">
        <f>IF(DH7=1,(DJ7-DG7)^2,0)</f>
        <v>13.000224621026106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39.966099999999997</v>
      </c>
      <c r="O8" s="48">
        <f>M!C6*1</f>
        <v>2.1263299999999998</v>
      </c>
      <c r="P8" s="48">
        <f>M!D6*1</f>
        <v>5.3203399999999998</v>
      </c>
      <c r="Q8" s="48">
        <f>M!E6*1</f>
        <v>20</v>
      </c>
      <c r="R8" s="48">
        <f>IF(M!B6="","",M!F6*1)</f>
        <v>35.127400000000002</v>
      </c>
      <c r="S8" s="48">
        <f>M!G6*1</f>
        <v>40</v>
      </c>
      <c r="T8" s="48">
        <f>IF(M!B6="","",M!H6*1)</f>
        <v>41.722999999999999</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5.828139975221486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39.966099999999997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3</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39.966099999999997</v>
      </c>
      <c r="DJ8" s="265">
        <f t="shared" ref="DJ8:DJ14" si="8">(DI8-$DB8)/$DC8</f>
        <v>1.0607692638303279</v>
      </c>
      <c r="DK8" s="273">
        <f t="shared" ref="DK8:DK14" si="9">IF(DH8=1,(DJ8-DF8)^2,0)</f>
        <v>6.4689286076427193</v>
      </c>
      <c r="DL8" s="274">
        <f t="shared" ref="DL8:DL14" si="10">IF(DH8=1,(DJ8-DG8)^2,0)</f>
        <v>0.6229440948288345</v>
      </c>
    </row>
    <row r="9" spans="2:119" s="5" customFormat="1" ht="24.75" customHeight="1" thickBot="1">
      <c r="B9" s="62" t="str">
        <f>CONCATENATE(M7,"
(20 ~ 50)")</f>
        <v>적극/공격성
(20 ~ 50)</v>
      </c>
      <c r="C9" s="63">
        <f>R7</f>
        <v>18.661000000000001</v>
      </c>
      <c r="D9" s="64">
        <f>N7</f>
        <v>25.583400000000001</v>
      </c>
      <c r="E9" s="65">
        <f>T7</f>
        <v>32.557899999999997</v>
      </c>
      <c r="F9" s="65">
        <f>P7</f>
        <v>15.7563</v>
      </c>
      <c r="G9" s="66" t="str">
        <f>CONCATENATE(M8,"
(20 ~ 40)")</f>
        <v>스트레스
(20 ~ 40)</v>
      </c>
      <c r="H9" s="63">
        <f>R8</f>
        <v>35.127400000000002</v>
      </c>
      <c r="I9" s="67">
        <f>N8</f>
        <v>39.966099999999997</v>
      </c>
      <c r="J9" s="63">
        <f>T8</f>
        <v>41.722999999999999</v>
      </c>
      <c r="K9" s="68">
        <f>P8</f>
        <v>5.3203399999999998</v>
      </c>
      <c r="L9" s="1">
        <f>IF(M!B7="","",IF(N9&lt;U9,1,IF(N9&lt;V9,2,IF(N9&lt;W9,3,IF(N9&lt;X9,4,5)))))</f>
        <v>4</v>
      </c>
      <c r="M9" s="162" t="str">
        <f>lang!B16</f>
        <v>불안</v>
      </c>
      <c r="N9" s="48">
        <f>IF(M!B7="","",M!B7*1)</f>
        <v>35.196800000000003</v>
      </c>
      <c r="O9" s="48">
        <f>M!C7*1</f>
        <v>4.2784300000000002</v>
      </c>
      <c r="P9" s="48">
        <f>M!D7*1</f>
        <v>12.1557</v>
      </c>
      <c r="Q9" s="48">
        <f>M!E7*1</f>
        <v>15</v>
      </c>
      <c r="R9" s="48">
        <f>IF(M!B7="","",M!F7*1)</f>
        <v>16.345500000000001</v>
      </c>
      <c r="S9" s="48">
        <f>M!G7*1</f>
        <v>40</v>
      </c>
      <c r="T9" s="48">
        <f>IF(M!B7="","",M!H7*1)</f>
        <v>39.297400000000003</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1.8770494179431501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35.196800000000003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35.196800000000003</v>
      </c>
      <c r="DJ9" s="265">
        <f t="shared" si="8"/>
        <v>0.88728770531457357</v>
      </c>
      <c r="DK9" s="273">
        <f t="shared" si="9"/>
        <v>4.4330175943065244</v>
      </c>
      <c r="DL9" s="274">
        <f t="shared" si="10"/>
        <v>0.53144545565179346</v>
      </c>
      <c r="DM9"/>
      <c r="DN9"/>
    </row>
    <row r="10" spans="2:119" s="4" customFormat="1" ht="30.3" thickBot="1">
      <c r="B10" s="57" t="str">
        <f>CONCATENATE(M9,"
(15 ~ 40)")</f>
        <v>불안
(15 ~ 40)</v>
      </c>
      <c r="C10" s="17">
        <f>R9</f>
        <v>16.345500000000001</v>
      </c>
      <c r="D10" s="41">
        <f>N9</f>
        <v>35.196800000000003</v>
      </c>
      <c r="E10" s="43">
        <f>T9</f>
        <v>39.297400000000003</v>
      </c>
      <c r="F10" s="43">
        <f>P9</f>
        <v>12.1557</v>
      </c>
      <c r="G10" s="59" t="str">
        <f>CONCATENATE(M10,"
(20 ~ 50)")</f>
        <v>의심
(20 ~ 50)</v>
      </c>
      <c r="H10" s="17">
        <f>R10</f>
        <v>22.773900000000001</v>
      </c>
      <c r="I10" s="42">
        <f>N10</f>
        <v>32.251399999999997</v>
      </c>
      <c r="J10" s="17">
        <f>T10</f>
        <v>35.773800000000001</v>
      </c>
      <c r="K10" s="18">
        <f>P10</f>
        <v>12.372</v>
      </c>
      <c r="L10" s="1">
        <f>IF(M!B8="","",IF(N10&lt;U10,1,IF(N10&lt;V10,2,IF(N10&lt;W10,3,IF(N10&lt;X10,4,5)))))</f>
        <v>3</v>
      </c>
      <c r="M10" s="162" t="str">
        <f>lang!B17</f>
        <v>의심</v>
      </c>
      <c r="N10" s="48">
        <f>IF(M!B8="","",M!B8*1)</f>
        <v>32.251399999999997</v>
      </c>
      <c r="O10" s="48">
        <f>M!C8*1</f>
        <v>3.9901300000000002</v>
      </c>
      <c r="P10" s="48">
        <f>M!D8*1</f>
        <v>12.372</v>
      </c>
      <c r="Q10" s="48">
        <f>M!E8*1</f>
        <v>20</v>
      </c>
      <c r="R10" s="48">
        <f>IF(M!B8="","",M!F8*1)</f>
        <v>22.773900000000001</v>
      </c>
      <c r="S10" s="48">
        <f>M!G8*1</f>
        <v>50</v>
      </c>
      <c r="T10" s="48">
        <f>IF(M!B8="","",M!H8*1)</f>
        <v>35.773800000000001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0.69406761561932651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74.331500000000005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차분한 상태</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74.331500000000005</v>
      </c>
      <c r="DJ10" s="265">
        <f t="shared" si="8"/>
        <v>0.94035229570290313</v>
      </c>
      <c r="DK10" s="273">
        <f t="shared" si="9"/>
        <v>1.4347870375606562</v>
      </c>
      <c r="DL10" s="274">
        <f t="shared" si="10"/>
        <v>6.2729459471576812</v>
      </c>
      <c r="DM10"/>
      <c r="DN10"/>
    </row>
    <row r="11" spans="2:119" s="4" customFormat="1" ht="24.75" customHeight="1" thickBot="1">
      <c r="B11" s="57" t="str">
        <f>CONCATENATE(M11,"
(50 ~ 100)")</f>
        <v>밸런스
(50 ~ 100)</v>
      </c>
      <c r="C11" s="17">
        <f>R11</f>
        <v>70.245999999999995</v>
      </c>
      <c r="D11" s="42">
        <f>N11</f>
        <v>74.331500000000005</v>
      </c>
      <c r="E11" s="17">
        <f>T11</f>
        <v>82.680800000000005</v>
      </c>
      <c r="F11" s="17">
        <f>P11</f>
        <v>3.7420100000000001</v>
      </c>
      <c r="G11" s="59" t="str">
        <f>CONCATENATE(M12,"
(40 ~ 100)")</f>
        <v>카리스마
(40 ~ 100)</v>
      </c>
      <c r="H11" s="17">
        <f>R12</f>
        <v>65.675399999999996</v>
      </c>
      <c r="I11" s="42">
        <f>N12</f>
        <v>66.790400000000005</v>
      </c>
      <c r="J11" s="17">
        <f>T12</f>
        <v>69.625699999999995</v>
      </c>
      <c r="K11" s="18">
        <f>P12</f>
        <v>1.9636899999999999</v>
      </c>
      <c r="L11" s="1">
        <f>IF(M!B9="","",IF(N11&lt;U11,1,IF(N11&lt;V11,2,IF(N11&lt;W11,3,IF(N11&lt;X11,4,5)))))</f>
        <v>4</v>
      </c>
      <c r="M11" s="162" t="str">
        <f>lang!B18</f>
        <v>밸런스</v>
      </c>
      <c r="N11" s="48">
        <f>IF(M!B9="","",M!B9*1)</f>
        <v>74.331500000000005</v>
      </c>
      <c r="O11" s="48">
        <f>M!C9*1</f>
        <v>2.7814899999999998</v>
      </c>
      <c r="P11" s="48">
        <f>M!D9*1</f>
        <v>3.7420100000000001</v>
      </c>
      <c r="Q11" s="48">
        <f>M!E9*1</f>
        <v>50</v>
      </c>
      <c r="R11" s="48">
        <f>IF(M!B9="","",M!F9*1)</f>
        <v>70.245999999999995</v>
      </c>
      <c r="S11" s="48">
        <f>M!G9*1</f>
        <v>100</v>
      </c>
      <c r="T11" s="48">
        <f>IF(M!B9="","",M!H9*1)</f>
        <v>82.680800000000005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0.76209083392442734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66.790400000000005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차분한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66.790400000000005</v>
      </c>
      <c r="DJ11" s="265">
        <f t="shared" si="8"/>
        <v>4.0955502596015415E-2</v>
      </c>
      <c r="DK11" s="273">
        <f t="shared" si="9"/>
        <v>0.93986362464611506</v>
      </c>
      <c r="DL11" s="274">
        <f t="shared" si="10"/>
        <v>0.17416187731497257</v>
      </c>
      <c r="DM11"/>
      <c r="DN11"/>
    </row>
    <row r="12" spans="2:119" s="4" customFormat="1" ht="24.75" customHeight="1" thickBot="1">
      <c r="B12" s="57" t="str">
        <f>CONCATENATE(M13,"
(10 ~ 50)")</f>
        <v>에너지
(10 ~ 50)</v>
      </c>
      <c r="C12" s="17">
        <f>R13</f>
        <v>8.9468300000000003</v>
      </c>
      <c r="D12" s="41">
        <f>N13</f>
        <v>10.7736</v>
      </c>
      <c r="E12" s="43">
        <f>T13</f>
        <v>12.3071</v>
      </c>
      <c r="F12" s="43">
        <f>P13</f>
        <v>7.9950799999999997</v>
      </c>
      <c r="G12" s="59" t="str">
        <f>CONCATENATE(M14,"
(50 ~ 100)")</f>
        <v>자기조절
(50 ~ 100)</v>
      </c>
      <c r="H12" s="17">
        <f>R14</f>
        <v>68.828100000000006</v>
      </c>
      <c r="I12" s="42">
        <f>N14</f>
        <v>70.715299999999999</v>
      </c>
      <c r="J12" s="17">
        <f>T14</f>
        <v>76.124300000000005</v>
      </c>
      <c r="K12" s="18">
        <f>P14</f>
        <v>2.07118</v>
      </c>
      <c r="L12" s="1">
        <f>IF(M!B10="","",IF(N12&lt;U12,1,IF(N12&lt;V12,2,IF(N12&lt;W12,3,IF(N12&lt;X12,4,5)))))</f>
        <v>3</v>
      </c>
      <c r="M12" s="162" t="str">
        <f>lang!B19</f>
        <v>카리스마</v>
      </c>
      <c r="N12" s="48">
        <f>IF(M!B10="","",M!B10*1)</f>
        <v>66.790400000000005</v>
      </c>
      <c r="O12" s="48">
        <f>M!C10*1</f>
        <v>1.31155</v>
      </c>
      <c r="P12" s="48">
        <f>M!D10*1</f>
        <v>1.9636899999999999</v>
      </c>
      <c r="Q12" s="48">
        <f>M!E10*1</f>
        <v>40</v>
      </c>
      <c r="R12" s="48">
        <f>IF(M!B10="","",M!F10*1)</f>
        <v>65.675399999999996</v>
      </c>
      <c r="S12" s="48">
        <f>M!G10*1</f>
        <v>100</v>
      </c>
      <c r="T12" s="48">
        <f>IF(M!B10="","",M!H10*1)</f>
        <v>69.625699999999995</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-0.79484359556192774</v>
      </c>
      <c r="AI12" s="98">
        <v>0.31913434649697919</v>
      </c>
      <c r="AJ12" s="98">
        <v>3.8587997439955973E-2</v>
      </c>
      <c r="AK12" s="98">
        <v>1.0272327081707585E-2</v>
      </c>
      <c r="AL12" s="98">
        <v>1.9404033844491575E-2</v>
      </c>
      <c r="AM12" s="101"/>
      <c r="AN12" s="101"/>
      <c r="AO12" s="101"/>
      <c r="AP12" s="101"/>
      <c r="AX12" s="171"/>
      <c r="AY12" s="219">
        <f>N13</f>
        <v>10.7736</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에너지가 낮아 정적이고 지금 하는 일에 집중을 잘하고 있습니다. 일에 만족도를 높이기 위해선 신체적인 활력에너지를 높여주면 좋습니다.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10.7736</v>
      </c>
      <c r="DJ12" s="265">
        <f t="shared" si="8"/>
        <v>-1.1261406436768171</v>
      </c>
      <c r="DK12" s="273">
        <f t="shared" si="9"/>
        <v>9.0838211107648803</v>
      </c>
      <c r="DL12" s="274">
        <f t="shared" si="10"/>
        <v>2.1536198763427099</v>
      </c>
      <c r="DM12"/>
      <c r="DN12"/>
    </row>
    <row r="13" spans="2:119" ht="24.75" customHeight="1" thickBot="1">
      <c r="B13" s="58" t="str">
        <f>CONCATENATE(M15,"
(10 ~ 25)")</f>
        <v>억제
(10 ~ 25)</v>
      </c>
      <c r="C13" s="44">
        <f>R15</f>
        <v>11.539</v>
      </c>
      <c r="D13" s="45">
        <f>N15</f>
        <v>13.9268</v>
      </c>
      <c r="E13" s="46">
        <f>T15</f>
        <v>16.3445</v>
      </c>
      <c r="F13" s="46">
        <f>P15</f>
        <v>10.3109</v>
      </c>
      <c r="G13" s="60" t="str">
        <f>CONCATENATE(M16,"
(10 ~ 50)")</f>
        <v>신경성
(10 ~ 50)</v>
      </c>
      <c r="H13" s="44">
        <f>R16</f>
        <v>0.498199</v>
      </c>
      <c r="I13" s="45">
        <f>N16</f>
        <v>14.3598</v>
      </c>
      <c r="J13" s="46">
        <f>T16</f>
        <v>14.6265</v>
      </c>
      <c r="K13" s="47">
        <f>P16</f>
        <v>26.249600000000001</v>
      </c>
      <c r="L13" s="1">
        <f>IF(M!B11="","",IF(N13&lt;U13,1,IF(N13&lt;V13,2,IF(N13&lt;W13,3,IF(N13&lt;X13,4,5)))))</f>
        <v>1</v>
      </c>
      <c r="M13" s="162" t="str">
        <f>lang!B20</f>
        <v>에너지</v>
      </c>
      <c r="N13" s="48">
        <f>IF(M!B11="","",M!B11*1)</f>
        <v>10.7736</v>
      </c>
      <c r="O13" s="48">
        <f>M!C11*1</f>
        <v>0.86135600000000001</v>
      </c>
      <c r="P13" s="48">
        <f>M!D11*1</f>
        <v>7.9950799999999997</v>
      </c>
      <c r="Q13" s="48">
        <f>M!E11*1</f>
        <v>10</v>
      </c>
      <c r="R13" s="48">
        <f>IF(M!B11="","",M!F11*1)</f>
        <v>8.9468300000000003</v>
      </c>
      <c r="S13" s="48">
        <f>M!G11*1</f>
        <v>50</v>
      </c>
      <c r="T13" s="48">
        <f>IF(M!B11="","",M!H11*1)</f>
        <v>12.3071</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-3.6508616218545287</v>
      </c>
      <c r="AI13" s="98">
        <v>0.16093442074971984</v>
      </c>
      <c r="AJ13" s="98">
        <v>-1.0988594420247608E-2</v>
      </c>
      <c r="AK13" s="98">
        <v>0.37151940745754808</v>
      </c>
      <c r="AL13" s="98">
        <v>8.9062029657998948E-2</v>
      </c>
      <c r="AM13" s="96"/>
      <c r="AN13" s="96"/>
      <c r="AO13" s="96"/>
      <c r="AP13" s="96"/>
      <c r="AX13" s="171"/>
      <c r="AY13" s="219">
        <f>info!W36</f>
        <v>53.935840000000006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저/중강도의 신체활동과 뇌 자극/뇌 휴식 프로그램을 Mix. 문제 해결 과제도 바람직. 단 개인화 성향이 있어 집단및 협력 프로그램을 일정 수준 구성.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14.3598</v>
      </c>
      <c r="DJ13" s="265">
        <f t="shared" si="8"/>
        <v>-1.2876654274332426</v>
      </c>
      <c r="DK13" s="273">
        <f>IF(DH13=1,(DJ13-DF13)^2,0)</f>
        <v>2.9842547366990027</v>
      </c>
      <c r="DL13" s="274">
        <f t="shared" si="10"/>
        <v>0.84593310161790836</v>
      </c>
    </row>
    <row r="14" spans="2:119" ht="24.75" customHeight="1" thickBot="1">
      <c r="B14" s="1078" t="str">
        <f>lang!B3</f>
        <v>감정심리 차트</v>
      </c>
      <c r="C14" s="1079"/>
      <c r="D14" s="1079"/>
      <c r="E14" s="1079"/>
      <c r="F14" s="1080"/>
      <c r="G14" s="1075" t="str">
        <f>lang!B4</f>
        <v>평군값-감정변이도 분포율</v>
      </c>
      <c r="H14" s="1076"/>
      <c r="I14" s="1076"/>
      <c r="J14" s="1076"/>
      <c r="K14" s="1077"/>
      <c r="L14" s="1">
        <f>IF(M!B12="","",IF(N14&lt;U14,1,IF(N14&lt;V14,2,IF(N14&lt;W14,3,IF(N14&lt;X14,4,5)))))</f>
        <v>3</v>
      </c>
      <c r="M14" s="162" t="str">
        <f>lang!B21</f>
        <v>자기조절</v>
      </c>
      <c r="N14" s="48">
        <f>IF(M!B12="","",M!B12*1)</f>
        <v>70.715299999999999</v>
      </c>
      <c r="O14" s="48">
        <f>M!C12*1</f>
        <v>1.4646399999999999</v>
      </c>
      <c r="P14" s="48">
        <f>M!D12*1</f>
        <v>2.07118</v>
      </c>
      <c r="Q14" s="48">
        <f>M!E12*1</f>
        <v>50</v>
      </c>
      <c r="R14" s="48">
        <f>IF(M!B12="","",M!F12*1)</f>
        <v>68.828100000000006</v>
      </c>
      <c r="S14" s="48">
        <f>M!G12*1</f>
        <v>100</v>
      </c>
      <c r="T14" s="48">
        <f>IF(M!B12="","",M!H12*1)</f>
        <v>76.124300000000005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-8.5140663574866604E-2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60.726500000000009</v>
      </c>
      <c r="DJ14" s="265">
        <f t="shared" si="8"/>
        <v>0.42669880812671435</v>
      </c>
      <c r="DK14" s="279">
        <f t="shared" si="9"/>
        <v>0.2463706327310646</v>
      </c>
      <c r="DL14" s="280">
        <f t="shared" si="10"/>
        <v>6.5857002316541751</v>
      </c>
    </row>
    <row r="15" spans="2:119" ht="24.75" customHeight="1" thickBot="1">
      <c r="B15" s="28"/>
      <c r="C15" s="19"/>
      <c r="D15" s="19"/>
      <c r="E15" s="19"/>
      <c r="F15" s="19"/>
      <c r="G15" s="1047"/>
      <c r="H15" s="1048"/>
      <c r="I15" s="1048"/>
      <c r="J15" s="1048"/>
      <c r="K15" s="1049"/>
      <c r="L15" s="513">
        <f>IF(M!B13="","",IF(N15&lt;U15,2,IF(N15&lt;V15,2,IF(N15&lt;W15,3,IF(N15&lt;X15,4,4)))))</f>
        <v>2</v>
      </c>
      <c r="M15" s="162" t="str">
        <f>lang!B22</f>
        <v>억제</v>
      </c>
      <c r="N15" s="48">
        <f>IF(M!B13="","",M!B13*1)</f>
        <v>13.9268</v>
      </c>
      <c r="O15" s="48">
        <f>M!C13*1</f>
        <v>1.43598</v>
      </c>
      <c r="P15" s="48">
        <f>M!D13*1</f>
        <v>10.3109</v>
      </c>
      <c r="Q15" s="48">
        <f>M!E13*1</f>
        <v>10</v>
      </c>
      <c r="R15" s="48">
        <f>IF(M!B13="","",M!F13*1)</f>
        <v>11.539</v>
      </c>
      <c r="S15" s="48">
        <f>M!G13*1</f>
        <v>25</v>
      </c>
      <c r="T15" s="48">
        <f>IF(M!B13="","",M!H13*1)</f>
        <v>16.3445</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-1.8701607727109064</v>
      </c>
      <c r="AI15" s="98">
        <v>-8.3250321124619289E-2</v>
      </c>
      <c r="AJ15" s="98">
        <v>-0.44690513063775733</v>
      </c>
      <c r="AK15" s="98">
        <v>0.12052818186953573</v>
      </c>
      <c r="AL15" s="98">
        <v>-2.4174505446491225E-2</v>
      </c>
      <c r="AM15" s="96"/>
      <c r="AN15" s="96"/>
      <c r="AO15" s="96"/>
      <c r="AP15" s="96"/>
      <c r="AX15" s="171"/>
      <c r="AY15" s="50">
        <f>SUM(AY7:AY14)</f>
        <v>306.57763999999997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32.987392709594936</v>
      </c>
      <c r="DL15" s="281">
        <f>IF(SUM($DI$7:$DI$14)&gt;0,SUM(DL7:DL14),0)</f>
        <v>30.186975205594184</v>
      </c>
      <c r="DM15" t="s">
        <v>1206</v>
      </c>
    </row>
    <row r="16" spans="2:119" ht="24.75" customHeight="1" thickBot="1">
      <c r="B16" s="20"/>
      <c r="C16"/>
      <c r="D16"/>
      <c r="E16"/>
      <c r="F16"/>
      <c r="G16" s="1121"/>
      <c r="H16" s="843"/>
      <c r="I16" s="843"/>
      <c r="J16" s="843"/>
      <c r="K16" s="844"/>
      <c r="L16" s="1">
        <f>IF(M!B14="","",IF(N16&lt;U16,1,IF(N16&lt;V16,2,IF(N16&lt;W16,3,IF(N16&lt;X16,4,5)))))</f>
        <v>2</v>
      </c>
      <c r="M16" s="162" t="str">
        <f>lang!B23</f>
        <v>신경성</v>
      </c>
      <c r="N16" s="370">
        <f>IF(M!B14="","",IF(M!B14&gt;100, 100, M!B14*1))</f>
        <v>14.3598</v>
      </c>
      <c r="O16" s="48">
        <f>M!C14*1</f>
        <v>3.76939</v>
      </c>
      <c r="P16" s="48">
        <f>M!D14*1</f>
        <v>26.249600000000001</v>
      </c>
      <c r="Q16" s="48">
        <f>M!E14*1</f>
        <v>10</v>
      </c>
      <c r="R16" s="48">
        <f>IF(M!B14="","",M!F14*1)</f>
        <v>0.498199</v>
      </c>
      <c r="S16" s="48">
        <f>M!G14*1</f>
        <v>50</v>
      </c>
      <c r="T16" s="48">
        <f>IF(M!B14="","",M!H14*1)</f>
        <v>14.6265</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-3.4986183946637355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3.0314611670086106E-2</v>
      </c>
      <c r="DL16" s="281">
        <f>IF(DL15&gt;0,1/DL15,0)</f>
        <v>3.3126869889722577E-2</v>
      </c>
      <c r="DM16" t="s">
        <v>1207</v>
      </c>
    </row>
    <row r="17" spans="2:117" ht="21" customHeight="1" thickBot="1">
      <c r="B17" s="20"/>
      <c r="C17"/>
      <c r="D17"/>
      <c r="E17"/>
      <c r="F17"/>
      <c r="G17" s="1121"/>
      <c r="H17" s="843"/>
      <c r="I17" s="843"/>
      <c r="J17" s="843"/>
      <c r="K17" s="844"/>
      <c r="M17" s="163" t="str">
        <f>lang!B7</f>
        <v>긍정감정</v>
      </c>
      <c r="N17" s="54">
        <f>SUM(N11:N14)/4</f>
        <v>55.652699999999996</v>
      </c>
      <c r="O17" s="16">
        <f>N17/(N17+N18+N19)</f>
        <v>0.54007929027416801</v>
      </c>
      <c r="P17" s="54">
        <f>SUM(P11:P14)/4</f>
        <v>3.94299</v>
      </c>
      <c r="Q17" s="16">
        <f>P17/(P17+P18+P19)</f>
        <v>0.1172659971612813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0.47783580907560264</v>
      </c>
      <c r="DL17" s="283"/>
      <c r="DM17" s="284" t="s">
        <v>1208</v>
      </c>
    </row>
    <row r="18" spans="2:117" ht="21" customHeight="1">
      <c r="B18" s="20"/>
      <c r="C18"/>
      <c r="D18"/>
      <c r="E18"/>
      <c r="F18"/>
      <c r="G18" s="1121"/>
      <c r="H18" s="843"/>
      <c r="I18" s="843"/>
      <c r="J18" s="843"/>
      <c r="K18" s="844"/>
      <c r="M18" s="163" t="str">
        <f>lang!B8</f>
        <v>부정감정</v>
      </c>
      <c r="N18" s="14">
        <f>SUM(N7:N10)/4</f>
        <v>33.249424999999995</v>
      </c>
      <c r="O18" s="16">
        <f>N18/(N17+N18+N19)</f>
        <v>0.32266764875781728</v>
      </c>
      <c r="P18" s="14">
        <f>SUM(P7:P10)/4</f>
        <v>11.401084999999998</v>
      </c>
      <c r="Q18" s="16">
        <f>P18/(P17+P18+P19)</f>
        <v>0.33907253156754819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121"/>
      <c r="H19" s="843"/>
      <c r="I19" s="843"/>
      <c r="J19" s="843"/>
      <c r="K19" s="844"/>
      <c r="M19" s="163" t="str">
        <f>lang!B9</f>
        <v>생리감정</v>
      </c>
      <c r="N19" s="14">
        <f>(N15+N16)/2</f>
        <v>14.1433</v>
      </c>
      <c r="O19" s="16">
        <f>N19/(N17+N18+N19)</f>
        <v>0.13725306096801487</v>
      </c>
      <c r="P19" s="14">
        <f>(P15+P16)/2</f>
        <v>18.280250000000002</v>
      </c>
      <c r="Q19" s="16">
        <f>P19/(P17+P18+P19)</f>
        <v>0.54366147127117059</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121"/>
      <c r="H20" s="843"/>
      <c r="I20" s="843"/>
      <c r="J20" s="843"/>
      <c r="K20" s="844"/>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121"/>
      <c r="H21" s="843"/>
      <c r="I21" s="843"/>
      <c r="J21" s="843"/>
      <c r="K21" s="844"/>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122"/>
      <c r="H22" s="1123"/>
      <c r="I22" s="1123"/>
      <c r="J22" s="1123"/>
      <c r="K22" s="112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64" t="str">
        <f>lang!B5</f>
        <v>주파수 히스토그램</v>
      </c>
      <c r="C23" s="1065"/>
      <c r="D23" s="1065"/>
      <c r="E23" s="1065"/>
      <c r="F23" s="1066"/>
      <c r="G23" s="1118" t="str">
        <f>lang!B6</f>
        <v>I-E 그래프</v>
      </c>
      <c r="H23" s="1119"/>
      <c r="I23" s="1119"/>
      <c r="J23" s="1119"/>
      <c r="K23" s="1120"/>
      <c r="M23" s="11"/>
      <c r="O23" s="13"/>
      <c r="Q23"/>
      <c r="T23"/>
    </row>
    <row r="24" spans="2:117" ht="15" customHeight="1" thickBot="1">
      <c r="B24" s="33" t="str">
        <f>lang!B10</f>
        <v>평균값(Mf)</v>
      </c>
      <c r="C24" s="30">
        <f>FH_info!F2*1</f>
        <v>1.0626100000000001</v>
      </c>
      <c r="D24" s="34" t="str">
        <f>lang!B11</f>
        <v>편차</v>
      </c>
      <c r="E24" s="1127">
        <f>FH_info!G2*1</f>
        <v>0.51474399999999998</v>
      </c>
      <c r="F24" s="1128"/>
      <c r="G24" s="1125" t="str">
        <f>lang!B12</f>
        <v>정보(I)변화량</v>
      </c>
      <c r="H24" s="1126"/>
      <c r="I24" s="51" t="str">
        <f ca="1">CONCATENATE(info!N7,"-",info!N8)</f>
        <v>35.7-64</v>
      </c>
      <c r="J24" s="32" t="str">
        <f>lang!B13</f>
        <v>Kcal/분</v>
      </c>
      <c r="K24" s="31" t="str">
        <f ca="1">CONCATENATE(info!N5,"-",info!N6)</f>
        <v>1.7-2.5</v>
      </c>
      <c r="M24" s="11"/>
      <c r="O24" s="13"/>
      <c r="Q24"/>
      <c r="T24"/>
    </row>
    <row r="25" spans="2:117" ht="156.75" customHeight="1" thickBot="1">
      <c r="B25" s="1111" ph="1"/>
      <c r="C25" s="1112" ph="1"/>
      <c r="D25" s="1112" ph="1"/>
      <c r="E25" s="1113" ph="1"/>
      <c r="F25" s="29" ph="1"/>
      <c r="G25" s="1114"/>
      <c r="H25" s="1115"/>
      <c r="I25" s="1115"/>
      <c r="J25" s="1116"/>
      <c r="K25" s="1117"/>
      <c r="M25" s="11"/>
      <c r="O25" s="13"/>
      <c r="P25" s="13"/>
      <c r="Q25"/>
      <c r="T25"/>
    </row>
    <row r="26" spans="2:117" ht="15" customHeight="1" thickBot="1">
      <c r="B26" s="1094" t="str">
        <f>CONCATENATE( lang!B31," ",ROUND(100-FH_info!L2,0),"%]")</f>
        <v>외향성-심리안정성 결과 [품질 [ 0%]</v>
      </c>
      <c r="C26" s="1095"/>
      <c r="D26" s="1095"/>
      <c r="E26" s="1095"/>
      <c r="F26" s="1095"/>
      <c r="G26" s="1095"/>
      <c r="H26" s="1095"/>
      <c r="I26" s="1095"/>
      <c r="J26" s="1095"/>
      <c r="K26" s="1096"/>
      <c r="M26"/>
      <c r="O26" s="13"/>
      <c r="Q26"/>
      <c r="T26"/>
      <c r="AQ26" s="287" t="s">
        <v>2168</v>
      </c>
      <c r="CG26" s="287" t="s">
        <v>1875</v>
      </c>
    </row>
    <row r="27" spans="2:117" ht="16.8" thickBot="1">
      <c r="B27" s="1108" t="str">
        <f>lang!B32</f>
        <v>외향성</v>
      </c>
      <c r="C27" s="1109"/>
      <c r="D27" s="1110"/>
      <c r="E27" s="1094">
        <f>M!B18*100</f>
        <v>60.726500000000009</v>
      </c>
      <c r="F27" s="1096"/>
      <c r="G27" s="1108" t="str">
        <f>lang!B33</f>
        <v>정서안정성</v>
      </c>
      <c r="H27" s="1109"/>
      <c r="I27" s="1110"/>
      <c r="J27" s="1016">
        <f>M!B19*100</f>
        <v>73.249399999999994</v>
      </c>
      <c r="K27" s="1018"/>
      <c r="M27"/>
      <c r="Q27"/>
      <c r="T27"/>
      <c r="AQ27" s="1132" t="s">
        <v>2172</v>
      </c>
      <c r="AR27" s="1133" t="s">
        <v>2181</v>
      </c>
      <c r="AS27" s="505" t="s">
        <v>2174</v>
      </c>
      <c r="AT27" s="506" t="s">
        <v>2175</v>
      </c>
      <c r="CG27" t="s">
        <v>2097</v>
      </c>
      <c r="CJ27" s="287" t="s">
        <v>2029</v>
      </c>
    </row>
    <row r="28" spans="2:117" ht="24.75" customHeight="1">
      <c r="B28" s="1097" t="str">
        <f>lang!B34</f>
        <v>당신의 정신기능상태의 측정 결과는</v>
      </c>
      <c r="C28" s="1098"/>
      <c r="D28" s="1098"/>
      <c r="E28" s="1098"/>
      <c r="F28" s="1098"/>
      <c r="G28" s="1098"/>
      <c r="H28" s="1098"/>
      <c r="I28" s="1098"/>
      <c r="J28" s="1098"/>
      <c r="K28" s="1099"/>
      <c r="AQ28" s="1132"/>
      <c r="AR28" s="11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132"/>
      <c r="AR29" s="11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132"/>
      <c r="AR30" s="1134"/>
      <c r="AS30" s="510" t="s">
        <v>2184</v>
      </c>
      <c r="AT30" s="511" t="s">
        <v>1637</v>
      </c>
      <c r="CG30" t="s">
        <v>2100</v>
      </c>
      <c r="CJ30" t="s">
        <v>2024</v>
      </c>
    </row>
    <row r="31" spans="2:117" ht="21" customHeight="1">
      <c r="B31" s="1104" t="str">
        <f>lang!B37</f>
        <v>의 견</v>
      </c>
      <c r="C31" s="1105"/>
      <c r="D31" s="1106"/>
      <c r="E31" s="1106"/>
      <c r="F31" s="1106"/>
      <c r="G31" s="1106"/>
      <c r="H31" s="1106"/>
      <c r="I31" s="1106"/>
      <c r="J31" s="1106"/>
      <c r="K31" s="1107"/>
      <c r="M31"/>
      <c r="Q31"/>
      <c r="T31"/>
      <c r="W31" s="23"/>
      <c r="X31" s="23"/>
      <c r="CJ31" t="s">
        <v>2025</v>
      </c>
    </row>
    <row r="32" spans="2:117" ht="18" customHeight="1">
      <c r="B32" s="1088"/>
      <c r="C32" s="1089"/>
      <c r="D32" s="1089"/>
      <c r="E32" s="1089"/>
      <c r="F32" s="1089"/>
      <c r="G32" s="1089"/>
      <c r="H32" s="1089"/>
      <c r="I32" s="1089"/>
      <c r="J32" s="1089"/>
      <c r="K32" s="1090"/>
      <c r="M32"/>
      <c r="Q32"/>
      <c r="T32"/>
      <c r="W32" s="23"/>
      <c r="X32" s="23"/>
    </row>
    <row r="33" spans="2:91" ht="20.25" customHeight="1">
      <c r="B33" s="1088"/>
      <c r="C33" s="1089"/>
      <c r="D33" s="1089"/>
      <c r="E33" s="1089"/>
      <c r="F33" s="1089"/>
      <c r="G33" s="1089"/>
      <c r="H33" s="1089"/>
      <c r="I33" s="1089"/>
      <c r="J33" s="1089"/>
      <c r="K33" s="1090"/>
      <c r="M33"/>
      <c r="Q33"/>
      <c r="T33"/>
      <c r="W33" s="23"/>
      <c r="X33" s="23"/>
    </row>
    <row r="34" spans="2:91" ht="35.25" customHeight="1" thickBot="1">
      <c r="B34" s="1091"/>
      <c r="C34" s="1092"/>
      <c r="D34" s="1092"/>
      <c r="E34" s="1092"/>
      <c r="F34" s="1092"/>
      <c r="G34" s="1092"/>
      <c r="H34" s="1092"/>
      <c r="I34" s="1092"/>
      <c r="J34" s="1092"/>
      <c r="K34" s="1093"/>
      <c r="M34"/>
      <c r="Q34"/>
      <c r="T34"/>
      <c r="W34" s="23"/>
      <c r="X34" s="23"/>
      <c r="AQ34" s="287" t="s">
        <v>2180</v>
      </c>
    </row>
    <row r="35" spans="2:91" ht="33.6" customHeight="1" thickBot="1">
      <c r="M35"/>
      <c r="Q35"/>
      <c r="T35"/>
      <c r="U35" s="287" t="s">
        <v>2168</v>
      </c>
      <c r="W35" s="23"/>
      <c r="X35" s="23"/>
      <c r="Y35" t="s">
        <v>2169</v>
      </c>
      <c r="AQ35" s="1132" t="s">
        <v>2172</v>
      </c>
      <c r="AR35" s="11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132"/>
      <c r="AR36" s="11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132"/>
      <c r="AR37" s="11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132"/>
      <c r="AR38" s="11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039" t="s">
        <v>2104</v>
      </c>
      <c r="CL55" s="103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031" t="s">
        <v>2111</v>
      </c>
      <c r="CM65" s="473" t="s">
        <v>2112</v>
      </c>
    </row>
    <row r="66" spans="26:91">
      <c r="CJ66" s="1"/>
      <c r="CK66" s="474"/>
      <c r="CL66" s="1032"/>
      <c r="CM66" s="473" t="s">
        <v>2076</v>
      </c>
    </row>
    <row r="67" spans="26:91" ht="33">
      <c r="Z67" s="490" t="s">
        <v>2128</v>
      </c>
      <c r="AA67" s="1029" t="s">
        <v>2129</v>
      </c>
      <c r="AB67" s="1029"/>
      <c r="AC67" s="1029" t="s">
        <v>2130</v>
      </c>
      <c r="AD67" s="1029"/>
      <c r="AE67" s="1029" t="s">
        <v>2131</v>
      </c>
      <c r="AF67" s="1029"/>
      <c r="AG67" s="1030" t="s">
        <v>2132</v>
      </c>
      <c r="AH67" s="1030"/>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03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03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U5:X5"/>
    <mergeCell ref="AQ27:AQ30"/>
    <mergeCell ref="AR27:AR30"/>
    <mergeCell ref="AQ35:AQ38"/>
    <mergeCell ref="AR35:AR38"/>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H6:K6"/>
    <mergeCell ref="C5:F5"/>
    <mergeCell ref="C6:F6"/>
    <mergeCell ref="B23:F23"/>
    <mergeCell ref="C1:I1"/>
    <mergeCell ref="B2:K3"/>
    <mergeCell ref="G14:K14"/>
    <mergeCell ref="B14:F14"/>
    <mergeCell ref="C4:F4"/>
    <mergeCell ref="H4:K4"/>
    <mergeCell ref="H5:K5"/>
    <mergeCell ref="DD4:DG4"/>
    <mergeCell ref="DH4:DL5"/>
    <mergeCell ref="DB5:DC5"/>
    <mergeCell ref="DD5:DE5"/>
    <mergeCell ref="DF5:DG5"/>
    <mergeCell ref="CL75:CL76"/>
    <mergeCell ref="CN6:CQ6"/>
    <mergeCell ref="CS6:CV6"/>
    <mergeCell ref="CW6:CY6"/>
    <mergeCell ref="CK55:CL55"/>
    <mergeCell ref="CL65:CL66"/>
    <mergeCell ref="CN7:CQ7"/>
    <mergeCell ref="CR7:CU7"/>
    <mergeCell ref="CV7:CW7"/>
    <mergeCell ref="AA67:AB67"/>
    <mergeCell ref="AC67:AD67"/>
    <mergeCell ref="AE67:AF67"/>
    <mergeCell ref="AG67:AH67"/>
    <mergeCell ref="Z3:AA3"/>
    <mergeCell ref="AB3:AC3"/>
    <mergeCell ref="AD3:AE3"/>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1.68953</v>
      </c>
      <c r="H2" s="50">
        <f>IF(FT!B2&lt;&gt;"",FT!B2*100,"")</f>
        <v>64.014499999999998</v>
      </c>
      <c r="I2" s="50">
        <f>(IF(G2&lt;&gt;"",1,""))</f>
        <v>1</v>
      </c>
      <c r="J2" t="str">
        <f>IF(FT!B2&lt;&gt;"",FT!E2,"")</f>
        <v>0 [0.000000]</v>
      </c>
      <c r="K2">
        <f>IF(FT!B2&lt;&gt;"",IF(FT!C2&lt;&gt;"",FT!C2,F2/$M$3*$M$4),"")</f>
        <v>0</v>
      </c>
      <c r="L2" t="s">
        <v>52</v>
      </c>
      <c r="M2">
        <f>FH_info!E2</f>
        <v>4.9207200000000002</v>
      </c>
      <c r="N2" s="75">
        <f>LOOKUP(O3,A2:A1000,B2:B1000)</f>
        <v>0.65609600000000001</v>
      </c>
      <c r="O2" s="50">
        <f>MAX(C2:C1000)</f>
        <v>1</v>
      </c>
      <c r="P2" t="s">
        <v>60</v>
      </c>
      <c r="Q2" t="s">
        <v>61</v>
      </c>
      <c r="R2" t="s">
        <v>62</v>
      </c>
      <c r="S2" t="s">
        <v>63</v>
      </c>
      <c r="T2" t="s">
        <v>64</v>
      </c>
      <c r="V2" s="50">
        <f>FT!G2*10</f>
        <v>1.72295</v>
      </c>
      <c r="W2" s="50">
        <f>FT!H2*100</f>
        <v>63.063000000000002</v>
      </c>
      <c r="Y2">
        <f>IF(I2=1,H2/G2,"")</f>
        <v>37.888939527560922</v>
      </c>
      <c r="Z2">
        <f>AVERAGE(Y2:Y2000)</f>
        <v>23.584454424479706</v>
      </c>
      <c r="AB2" s="843" t="s">
        <v>450</v>
      </c>
      <c r="AC2" s="843"/>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1.72295</v>
      </c>
      <c r="H3" s="50">
        <f>IF(FT!B3&lt;&gt;"",FT!B3*100,"")</f>
        <v>63.063000000000002</v>
      </c>
      <c r="I3" s="50">
        <f t="shared" ref="I3:I66" si="2">(IF(G3&lt;&gt;"",1,""))</f>
        <v>1</v>
      </c>
      <c r="J3" t="str">
        <f>IF(FT!B3&lt;&gt;"",FT!E3,"")</f>
        <v>0 [0.352360]</v>
      </c>
      <c r="K3">
        <f>IF(FT!B3&lt;&gt;"",IF(FT!C3&lt;&gt;"",FT!C3,F3/$M$3*$M$4),"")</f>
        <v>0.35236000000000001</v>
      </c>
      <c r="L3" t="s">
        <v>53</v>
      </c>
      <c r="M3">
        <f>SUM(I2:I2005)</f>
        <v>26</v>
      </c>
      <c r="O3" s="104">
        <f>MATCH(O2,C2:C1000,0)-1</f>
        <v>34</v>
      </c>
      <c r="P3">
        <v>0</v>
      </c>
      <c r="Q3">
        <v>0</v>
      </c>
      <c r="R3">
        <f>IF(S4=0,M3,0)</f>
        <v>26</v>
      </c>
      <c r="S3">
        <f t="array" ref="S3">MAX(IF(ft_nq=0,row_n))</f>
        <v>1998</v>
      </c>
      <c r="T3">
        <f>R3-Q3</f>
        <v>26</v>
      </c>
      <c r="V3" s="50">
        <f>FT!G3*10</f>
        <v>2.4537300000000002</v>
      </c>
      <c r="W3" s="50">
        <f>FT!H3*100</f>
        <v>37.868299999999998</v>
      </c>
      <c r="Y3" s="75">
        <f t="shared" ref="Y3:Y66" si="3">IF(I3=1,H3/G3,"")</f>
        <v>36.601758611683451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1.7630100000000002</v>
      </c>
      <c r="H4" s="50">
        <f>IF(FT!B4&lt;&gt;"",FT!B4*100,"")</f>
        <v>61.763900000000007</v>
      </c>
      <c r="I4" s="50">
        <f t="shared" si="2"/>
        <v>1</v>
      </c>
      <c r="J4" t="str">
        <f>IF(FT!B4&lt;&gt;"",FT!E4,"")</f>
        <v>0 [0.775129]</v>
      </c>
      <c r="K4">
        <f>IF(FT!B4&lt;&gt;"",IF(FT!C4&lt;&gt;"",FT!C4,F4/$M$3*$M$4),"")</f>
        <v>0.77512899999999996</v>
      </c>
      <c r="L4" t="s">
        <v>246</v>
      </c>
      <c r="M4">
        <f>IF(M2&lt;&gt;0,M3/M2*2,0)</f>
        <v>10.567559218976085</v>
      </c>
      <c r="P4">
        <f>P3+1</f>
        <v>1</v>
      </c>
      <c r="Q4">
        <v>0</v>
      </c>
      <c r="R4">
        <f>IF(S4=1998,0,S4)</f>
        <v>0</v>
      </c>
      <c r="S4">
        <f t="array" ref="S4">MAX(IF(ft_nq=P4,row_n))</f>
        <v>0</v>
      </c>
      <c r="T4">
        <f>R4-Q4+1</f>
        <v>1</v>
      </c>
      <c r="V4" t="s">
        <v>209</v>
      </c>
      <c r="W4" s="23">
        <f>IF(ISERROR(V3-V2)=FALSE,(V3-V2)*10,0)</f>
        <v>7.3078000000000021</v>
      </c>
      <c r="Y4" s="75">
        <f t="shared" si="3"/>
        <v>35.033210248382026</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0.93836093933971443</v>
      </c>
      <c r="E5" s="50">
        <f t="shared" si="1"/>
        <v>2.2678414566217979E-5</v>
      </c>
      <c r="F5">
        <f t="shared" si="6"/>
        <v>3</v>
      </c>
      <c r="G5" s="50">
        <f>IF(FT!A5&lt;&gt;"",FT!A5*10,"")</f>
        <v>1.8008899999999999</v>
      </c>
      <c r="H5" s="50">
        <f>IF(FT!B5&lt;&gt;"",FT!B5*100,"")</f>
        <v>60.544600000000003</v>
      </c>
      <c r="I5" s="50">
        <f t="shared" si="2"/>
        <v>1</v>
      </c>
      <c r="J5" t="str">
        <f>IF(FT!B5&lt;&gt;"",FT!E5,"")</f>
        <v>0 [1.199980]</v>
      </c>
      <c r="K5">
        <f>IF(FT!B5&lt;&gt;"",IF(FT!C5&lt;&gt;"",FT!C5,F5/$M$3*$M$4),"")</f>
        <v>1.19998</v>
      </c>
      <c r="L5" t="s">
        <v>54</v>
      </c>
      <c r="M5" s="52">
        <f ca="1">IF(M3&gt;0,MIN(FT_E),0)</f>
        <v>1.68953</v>
      </c>
      <c r="N5" s="52">
        <f ca="1">IF(M3&gt;0,ROUND(M5,1),0)</f>
        <v>1.7</v>
      </c>
      <c r="P5">
        <f t="shared" ref="P5:P27" si="10">P4+1</f>
        <v>2</v>
      </c>
      <c r="Q5">
        <f>IF(S5=1998,0,R4)</f>
        <v>0</v>
      </c>
      <c r="R5">
        <f>IF(S5=1998,0,S5)</f>
        <v>0</v>
      </c>
      <c r="S5">
        <f t="array" ref="S5">MAX(IF(ft_nq=P5,row_n))</f>
        <v>0</v>
      </c>
      <c r="T5">
        <f t="shared" ref="T5:T27" si="11">R5-Q5+1</f>
        <v>1</v>
      </c>
      <c r="V5" t="s">
        <v>210</v>
      </c>
      <c r="W5" s="23">
        <f>IF(ISERROR(W3-W2)=FALSE,W3-W2,0)</f>
        <v>-25.194700000000005</v>
      </c>
      <c r="Y5" s="75">
        <f t="shared" si="3"/>
        <v>33.61926602957427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1.8374599999999999</v>
      </c>
      <c r="H6" s="50">
        <f>IF(FT!B6&lt;&gt;"",FT!B6*100,"")</f>
        <v>59.319999999999993</v>
      </c>
      <c r="I6" s="50">
        <f t="shared" si="2"/>
        <v>1</v>
      </c>
      <c r="J6" t="str">
        <f>IF(FT!B6&lt;&gt;"",FT!E6,"")</f>
        <v>0 [1.596200]</v>
      </c>
      <c r="K6">
        <f>IF(FT!B6&lt;&gt;"",IF(FT!C6&lt;&gt;"",FT!C6,F6/$M$3*$M$4),"")</f>
        <v>1.5962000000000001</v>
      </c>
      <c r="L6" t="s">
        <v>55</v>
      </c>
      <c r="M6" s="52">
        <f ca="1">IF(M3&gt;0,MAX(FT_E),0)</f>
        <v>2.5216100000000004</v>
      </c>
      <c r="N6" s="52">
        <f ca="1">IF(M3&gt;0,ROUND(M6,1),0)</f>
        <v>2.5</v>
      </c>
      <c r="P6">
        <f t="shared" si="10"/>
        <v>3</v>
      </c>
      <c r="Q6">
        <f t="shared" ref="Q6:Q27" si="12">IF(S6=1998,0,R5)</f>
        <v>0</v>
      </c>
      <c r="R6">
        <f t="shared" ref="R6:R27" si="13">IF(S6=1998,0,S6)</f>
        <v>0</v>
      </c>
      <c r="S6">
        <f t="array" ref="S6">MAX(IF(ft_nq=P6,row_n))</f>
        <v>0</v>
      </c>
      <c r="T6">
        <f t="shared" si="11"/>
        <v>1</v>
      </c>
      <c r="V6" t="s">
        <v>211</v>
      </c>
      <c r="W6" s="23">
        <f>IF(W4&lt;&gt;0,W5/W4,0)</f>
        <v>-3.4476449820739479</v>
      </c>
      <c r="Y6" s="75">
        <f t="shared" si="3"/>
        <v>32.283695971612985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1.8750500000000001</v>
      </c>
      <c r="H7" s="50">
        <f>IF(FT!B7&lt;&gt;"",FT!B7*100,"")</f>
        <v>57.972100000000005</v>
      </c>
      <c r="I7" s="50">
        <f t="shared" si="2"/>
        <v>1</v>
      </c>
      <c r="J7" t="str">
        <f>IF(FT!B7&lt;&gt;"",FT!E7,"")</f>
        <v>0 [1.978308]</v>
      </c>
      <c r="K7">
        <f>IF(FT!B7&lt;&gt;"",IF(FT!C7&lt;&gt;"",FT!C7,F7/$M$3*$M$4),"")</f>
        <v>1.97831</v>
      </c>
      <c r="L7" t="s">
        <v>56</v>
      </c>
      <c r="M7" s="366">
        <f ca="1">IF(M3&gt;0,MIN(FT_PH),0)</f>
        <v>35.696300000000001</v>
      </c>
      <c r="N7" s="52">
        <f ca="1">IF(M3&gt;0,ROUND(M7,1),0)</f>
        <v>35.700000000000003</v>
      </c>
      <c r="P7">
        <f t="shared" si="10"/>
        <v>4</v>
      </c>
      <c r="Q7">
        <f t="shared" si="12"/>
        <v>0</v>
      </c>
      <c r="R7">
        <f t="shared" si="13"/>
        <v>0</v>
      </c>
      <c r="S7">
        <f t="array" ref="S7">MAX(IF(ft_nq=P7,row_n))</f>
        <v>0</v>
      </c>
      <c r="T7">
        <f t="shared" si="11"/>
        <v>1</v>
      </c>
      <c r="V7" t="s">
        <v>212</v>
      </c>
      <c r="W7" s="23">
        <f>DEGREES(ATAN(W6))</f>
        <v>-73.825036394493409</v>
      </c>
      <c r="X7" s="106">
        <v>0.05</v>
      </c>
      <c r="Y7" s="75">
        <f t="shared" si="3"/>
        <v>30.917628863230316</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9.5684107573369551E-2</v>
      </c>
      <c r="D8" s="50">
        <f>IF(hist!$D$2&gt;0,hist!B8/hist!$D$2,0)</f>
        <v>1</v>
      </c>
      <c r="E8" s="50">
        <f t="shared" si="1"/>
        <v>4.2363836864975295E-5</v>
      </c>
      <c r="F8">
        <f t="shared" si="6"/>
        <v>6</v>
      </c>
      <c r="G8" s="50">
        <f>IF(FT!A8&lt;&gt;"",FT!A8*10,"")</f>
        <v>1.91337</v>
      </c>
      <c r="H8" s="50">
        <f>IF(FT!B8&lt;&gt;"",FT!B8*100,"")</f>
        <v>56.527400000000007</v>
      </c>
      <c r="I8" s="50">
        <f t="shared" si="2"/>
        <v>1</v>
      </c>
      <c r="J8" t="str">
        <f>IF(FT!B8&lt;&gt;"",FT!E8,"")</f>
        <v>0 [2.384438]</v>
      </c>
      <c r="K8">
        <f>IF(FT!B8&lt;&gt;"",IF(FT!C8&lt;&gt;"",FT!C8,F8/$M$3*$M$4),"")</f>
        <v>2.3844400000000001</v>
      </c>
      <c r="L8" t="s">
        <v>57</v>
      </c>
      <c r="M8" s="52">
        <f ca="1">IF(M3&gt;0,MAX(FT_PH),0)</f>
        <v>64.014499999999998</v>
      </c>
      <c r="N8" s="52">
        <f ca="1">IF(M3&gt;0,ROUND(M8,1),0)</f>
        <v>64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29.543371120065647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1.9496199999999999</v>
      </c>
      <c r="H9" s="50">
        <f>IF(FT!B9&lt;&gt;"",FT!B9*100,"")</f>
        <v>55.203199999999995</v>
      </c>
      <c r="I9" s="50">
        <f t="shared" si="2"/>
        <v>1</v>
      </c>
      <c r="J9" t="str">
        <f>IF(FT!B9&lt;&gt;"",FT!E9,"")</f>
        <v>0 [2.790368]</v>
      </c>
      <c r="K9">
        <f>IF(FT!B9&lt;&gt;"",IF(FT!C9&lt;&gt;"",FT!C9,F9/$M$3*$M$4),"")</f>
        <v>2.7903699999999998</v>
      </c>
      <c r="L9" t="s">
        <v>222</v>
      </c>
      <c r="M9" s="74">
        <f ca="1">IF(M3&gt;0,IF(COUNT(FT_E)&gt;0,AVERAGE(FT_E),0),0)</f>
        <v>2.140043846153846</v>
      </c>
      <c r="N9" s="365">
        <f ca="1">IF(M3&gt;0,IF(COUNT(FT_PH)&gt;0,AVERAGE(FT_PH),0),0)</f>
        <v>48.581180769230777</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28.314851099188559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0.30472268771453315</v>
      </c>
      <c r="D10" s="50">
        <f>IF(hist!$D$2&gt;0,hist!B10/hist!$D$2,0)</f>
        <v>0.68995337072643448</v>
      </c>
      <c r="E10" s="50">
        <f t="shared" si="1"/>
        <v>6.3585032038445378E-5</v>
      </c>
      <c r="F10">
        <f t="shared" si="6"/>
        <v>8</v>
      </c>
      <c r="G10" s="50">
        <f>IF(FT!A10&lt;&gt;"",FT!A10*10,"")</f>
        <v>1.9850999999999999</v>
      </c>
      <c r="H10" s="50">
        <f>IF(FT!B10&lt;&gt;"",FT!B10*100,"")</f>
        <v>53.889200000000002</v>
      </c>
      <c r="I10" s="50">
        <f t="shared" si="2"/>
        <v>1</v>
      </c>
      <c r="J10" t="str">
        <f>IF(FT!B10&lt;&gt;"",FT!E10,"")</f>
        <v>0 [3.191749]</v>
      </c>
      <c r="K10">
        <f>IF(FT!B10&lt;&gt;"",IF(FT!C10&lt;&gt;"",FT!C10,F10/$M$3*$M$4),"")</f>
        <v>3.1917499999999999</v>
      </c>
      <c r="M10">
        <v>2</v>
      </c>
      <c r="P10">
        <f t="shared" si="10"/>
        <v>7</v>
      </c>
      <c r="Q10">
        <f t="shared" si="12"/>
        <v>0</v>
      </c>
      <c r="R10">
        <f t="shared" si="13"/>
        <v>0</v>
      </c>
      <c r="S10">
        <f t="array" ref="S10">MAX(IF(ft_nq=P10,row_n))</f>
        <v>0</v>
      </c>
      <c r="T10">
        <f t="shared" si="11"/>
        <v>1</v>
      </c>
      <c r="V10" t="s">
        <v>215</v>
      </c>
      <c r="X10" s="71" t="s">
        <v>270</v>
      </c>
      <c r="Y10" s="75">
        <f t="shared" si="3"/>
        <v>27.146843987708429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2.0225999999999997</v>
      </c>
      <c r="H11" s="50">
        <f>IF(FT!B11&lt;&gt;"",FT!B11*100,"")</f>
        <v>52.520599999999995</v>
      </c>
      <c r="I11" s="50">
        <f t="shared" si="2"/>
        <v>1</v>
      </c>
      <c r="J11" t="str">
        <f>IF(FT!B11&lt;&gt;"",FT!E11,"")</f>
        <v>0 [3.605008]</v>
      </c>
      <c r="K11">
        <f>IF(FT!B11&lt;&gt;"",IF(FT!C11&lt;&gt;"",FT!C11,F11/$M$3*$M$4),"")</f>
        <v>3.60501</v>
      </c>
      <c r="M11" s="49">
        <f>MAX(IF(ft_nq=1,row_n))</f>
        <v>0</v>
      </c>
      <c r="P11">
        <f t="shared" si="10"/>
        <v>8</v>
      </c>
      <c r="Q11">
        <f t="shared" si="12"/>
        <v>0</v>
      </c>
      <c r="R11">
        <f t="shared" si="13"/>
        <v>0</v>
      </c>
      <c r="S11">
        <f t="array" ref="S11">MAX(IF(ft_nq=P11,row_n))</f>
        <v>0</v>
      </c>
      <c r="T11">
        <f t="shared" si="11"/>
        <v>1</v>
      </c>
      <c r="V11" s="71" t="s">
        <v>216</v>
      </c>
      <c r="W11" s="23">
        <f>FT!H11*100</f>
        <v>35.696300000000001</v>
      </c>
      <c r="Y11" s="75">
        <f t="shared" si="3"/>
        <v>25.966874320181944</v>
      </c>
      <c r="AB11" s="1">
        <v>80</v>
      </c>
      <c r="AC11" s="1">
        <v>90</v>
      </c>
      <c r="AD11" s="1">
        <f t="shared" si="7"/>
        <v>0</v>
      </c>
      <c r="AE11" s="1">
        <f t="shared" si="8"/>
        <v>0</v>
      </c>
      <c r="AF11" s="430">
        <f>AE4</f>
        <v>1</v>
      </c>
      <c r="AG11" s="113">
        <f t="shared" si="9"/>
        <v>0</v>
      </c>
      <c r="AH11">
        <f t="shared" si="9"/>
        <v>0</v>
      </c>
      <c r="AI11">
        <f t="shared" si="4"/>
        <v>0</v>
      </c>
      <c r="AJ11">
        <f t="shared" si="4"/>
        <v>0</v>
      </c>
      <c r="AK11" s="107">
        <f t="shared" si="4"/>
        <v>1</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2.0629900000000001</v>
      </c>
      <c r="H12" s="50">
        <f>IF(FT!B12&lt;&gt;"",FT!B12*100,"")</f>
        <v>51.0533</v>
      </c>
      <c r="I12" s="50">
        <f t="shared" si="2"/>
        <v>1</v>
      </c>
      <c r="J12" t="str">
        <f>IF(FT!B12&lt;&gt;"",FT!E12,"")</f>
        <v>0 [4.005473]</v>
      </c>
      <c r="K12">
        <f>IF(FT!B12&lt;&gt;"",IF(FT!C12&lt;&gt;"",FT!C12,F12/$M$3*$M$4),"")</f>
        <v>4.0054699999999999</v>
      </c>
      <c r="M12">
        <f>M11+1</f>
        <v>1</v>
      </c>
      <c r="P12">
        <f t="shared" si="10"/>
        <v>9</v>
      </c>
      <c r="Q12">
        <f t="shared" si="12"/>
        <v>0</v>
      </c>
      <c r="R12">
        <f t="shared" si="13"/>
        <v>0</v>
      </c>
      <c r="S12">
        <f t="array" ref="S12">MAX(IF(ft_nq=P12,row_n))</f>
        <v>0</v>
      </c>
      <c r="T12">
        <f t="shared" si="11"/>
        <v>1</v>
      </c>
      <c r="V12" s="71" t="s">
        <v>217</v>
      </c>
      <c r="W12" s="23">
        <f>FT!H12*100</f>
        <v>64.014499999999998</v>
      </c>
      <c r="Y12" s="75">
        <f t="shared" si="3"/>
        <v>24.747235808220108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0.24796384318758061</v>
      </c>
      <c r="D13" s="50">
        <f>IF(hist!$D$2&gt;0,hist!B13/hist!$D$2,0)</f>
        <v>0.50651999408997339</v>
      </c>
      <c r="E13" s="50">
        <f t="shared" si="1"/>
        <v>1.1509358552241159E-4</v>
      </c>
      <c r="F13">
        <f t="shared" si="6"/>
        <v>11</v>
      </c>
      <c r="G13" s="50">
        <f>IF(FT!A13&lt;&gt;"",FT!A13*10,"")</f>
        <v>2.1038000000000001</v>
      </c>
      <c r="H13" s="50">
        <f>IF(FT!B13&lt;&gt;"",FT!B13*100,"")</f>
        <v>49.586999999999996</v>
      </c>
      <c r="I13" s="50">
        <f t="shared" si="2"/>
        <v>1</v>
      </c>
      <c r="J13" t="str">
        <f>IF(FT!B13&lt;&gt;"",FT!E13,"")</f>
        <v>0 [4.432920]</v>
      </c>
      <c r="K13">
        <f>IF(FT!B13&lt;&gt;"",IF(FT!C13&lt;&gt;"",FT!C13,F13/$M$3*$M$4),"")</f>
        <v>4.4329200000000002</v>
      </c>
      <c r="M13" s="49">
        <f t="array" ref="M13">MAX(IF(ft_nq=2,row_n))</f>
        <v>0</v>
      </c>
      <c r="P13">
        <f t="shared" si="10"/>
        <v>10</v>
      </c>
      <c r="Q13">
        <f t="shared" si="12"/>
        <v>0</v>
      </c>
      <c r="R13">
        <f t="shared" si="13"/>
        <v>0</v>
      </c>
      <c r="S13">
        <f t="array" ref="S13">MAX(IF(ft_nq=P13,row_n))</f>
        <v>0</v>
      </c>
      <c r="T13">
        <f t="shared" si="11"/>
        <v>1</v>
      </c>
      <c r="V13" s="71" t="s">
        <v>219</v>
      </c>
      <c r="W13">
        <f>FT!H13</f>
        <v>26</v>
      </c>
      <c r="Y13" s="75">
        <f t="shared" si="3"/>
        <v>23.570206293373893</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2.1415000000000002</v>
      </c>
      <c r="H14" s="50">
        <f>IF(FT!B14&lt;&gt;"",FT!B14*100,"")</f>
        <v>48.309200000000004</v>
      </c>
      <c r="I14" s="50">
        <f t="shared" si="2"/>
        <v>1</v>
      </c>
      <c r="J14" t="str">
        <f>IF(FT!B14&lt;&gt;"",FT!E14,"")</f>
        <v>0 [4.823222]</v>
      </c>
      <c r="K14">
        <f>IF(FT!B14&lt;&gt;"",IF(FT!C14&lt;&gt;"",FT!C14,F14/$M$3*$M$4),"")</f>
        <v>4.8232200000000001</v>
      </c>
      <c r="M14">
        <f>M13+1</f>
        <v>1</v>
      </c>
      <c r="P14">
        <f t="shared" si="10"/>
        <v>11</v>
      </c>
      <c r="Q14">
        <f t="shared" si="12"/>
        <v>0</v>
      </c>
      <c r="R14">
        <f t="shared" si="13"/>
        <v>0</v>
      </c>
      <c r="S14">
        <f t="array" ref="S14">MAX(IF(ft_nq=P14,row_n))</f>
        <v>0</v>
      </c>
      <c r="T14">
        <f t="shared" si="11"/>
        <v>1</v>
      </c>
      <c r="V14" s="71" t="s">
        <v>221</v>
      </c>
      <c r="W14">
        <f>FT!H14</f>
        <v>1</v>
      </c>
      <c r="Y14" s="75">
        <f t="shared" si="3"/>
        <v>22.55858043427504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0.36376220230122791</v>
      </c>
      <c r="D15" s="50">
        <f>IF(hist!$D$2&gt;0,hist!B15/hist!$D$2,0)</f>
        <v>0.33027535507935413</v>
      </c>
      <c r="E15" s="50">
        <f t="shared" si="1"/>
        <v>1.6915563884809702E-4</v>
      </c>
      <c r="F15">
        <f t="shared" si="6"/>
        <v>13</v>
      </c>
      <c r="G15" s="50">
        <f>IF(FT!A15&lt;&gt;"",FT!A15*10,"")</f>
        <v>2.1764600000000001</v>
      </c>
      <c r="H15" s="50">
        <f>IF(FT!B15&lt;&gt;"",FT!B15*100,"")</f>
        <v>47.119199999999999</v>
      </c>
      <c r="I15" s="50">
        <f t="shared" si="2"/>
        <v>1</v>
      </c>
      <c r="J15" t="str">
        <f>IF(FT!B15&lt;&gt;"",FT!E15,"")</f>
        <v>0 [5.231226]</v>
      </c>
      <c r="K15">
        <f>IF(FT!B15&lt;&gt;"",IF(FT!C15&lt;&gt;"",FT!C15,F15/$M$3*$M$4),"")</f>
        <v>5.23123</v>
      </c>
      <c r="M15">
        <f t="array" ref="M15">MAX(IF(ft_nq=3,row_n))</f>
        <v>0</v>
      </c>
      <c r="P15">
        <f t="shared" si="10"/>
        <v>12</v>
      </c>
      <c r="Q15">
        <f t="shared" si="12"/>
        <v>0</v>
      </c>
      <c r="R15">
        <f t="shared" si="13"/>
        <v>0</v>
      </c>
      <c r="S15">
        <f t="array" ref="S15">MAX(IF(ft_nq=P15,row_n))</f>
        <v>0</v>
      </c>
      <c r="T15">
        <f t="shared" si="11"/>
        <v>1</v>
      </c>
      <c r="V15" s="23">
        <f>FT!G15*10</f>
        <v>2.5216100000000004</v>
      </c>
      <c r="W15" s="23">
        <f>FT!H15*100</f>
        <v>35.696300000000001</v>
      </c>
      <c r="Y15" s="75">
        <f t="shared" si="3"/>
        <v>21.649467483895865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2.2101500000000001</v>
      </c>
      <c r="H16" s="50">
        <f>IF(FT!B16&lt;&gt;"",FT!B16*100,"")</f>
        <v>45.976399999999998</v>
      </c>
      <c r="I16" s="50">
        <f t="shared" si="2"/>
        <v>1</v>
      </c>
      <c r="J16" t="str">
        <f>IF(FT!B16&lt;&gt;"",FT!E16,"")</f>
        <v>0 [5.638632]</v>
      </c>
      <c r="K16">
        <f>IF(FT!B16&lt;&gt;"",IF(FT!C16&lt;&gt;"",FT!C16,F16/$M$3*$M$4),"")</f>
        <v>5.63863</v>
      </c>
      <c r="M16">
        <f>M15+1</f>
        <v>1</v>
      </c>
      <c r="P16">
        <f t="shared" si="10"/>
        <v>13</v>
      </c>
      <c r="Q16">
        <f t="shared" si="12"/>
        <v>0</v>
      </c>
      <c r="R16">
        <f t="shared" si="13"/>
        <v>0</v>
      </c>
      <c r="S16">
        <f t="array" ref="S16">MAX(IF(ft_nq=P16,row_n))</f>
        <v>0</v>
      </c>
      <c r="T16">
        <f t="shared" si="11"/>
        <v>1</v>
      </c>
      <c r="V16" s="23">
        <f>FT!G16*10</f>
        <v>1.68953</v>
      </c>
      <c r="W16" s="23">
        <f>FT!H16*100</f>
        <v>64.014499999999998</v>
      </c>
      <c r="Y16" s="75">
        <f t="shared" si="3"/>
        <v>20.802388978123656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2.2454900000000002</v>
      </c>
      <c r="H17" s="50">
        <f>IF(FT!B17&lt;&gt;"",FT!B17*100,"")</f>
        <v>44.763500000000001</v>
      </c>
      <c r="I17" s="50">
        <f t="shared" si="2"/>
        <v>1</v>
      </c>
      <c r="J17" t="str">
        <f>IF(FT!B17&lt;&gt;"",FT!E17,"")</f>
        <v>0 [6.060344]</v>
      </c>
      <c r="K17">
        <f>IF(FT!B17&lt;&gt;"",IF(FT!C17&lt;&gt;"",FT!C17,F17/$M$3*$M$4),"")</f>
        <v>6.0603400000000001</v>
      </c>
      <c r="M17">
        <f>M3+1</f>
        <v>27</v>
      </c>
      <c r="P17">
        <f t="shared" si="10"/>
        <v>14</v>
      </c>
      <c r="Q17">
        <f t="shared" si="12"/>
        <v>0</v>
      </c>
      <c r="R17">
        <f t="shared" si="13"/>
        <v>0</v>
      </c>
      <c r="S17">
        <f t="array" ref="S17">MAX(IF(ft_nq=P17,row_n))</f>
        <v>0</v>
      </c>
      <c r="T17">
        <f t="shared" si="11"/>
        <v>1</v>
      </c>
      <c r="V17" t="s">
        <v>1522</v>
      </c>
      <c r="Y17" s="75">
        <f t="shared" si="3"/>
        <v>19.934847182574849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9" t="s">
        <v>257</v>
      </c>
      <c r="CK17" s="1146" t="s">
        <v>258</v>
      </c>
      <c r="CL17" s="1146" t="s">
        <v>259</v>
      </c>
      <c r="CM17" s="1146" t="s">
        <v>260</v>
      </c>
      <c r="CN17" s="1146" t="s">
        <v>261</v>
      </c>
      <c r="CO17" s="1146" t="s">
        <v>262</v>
      </c>
      <c r="CP17" s="1146" t="s">
        <v>263</v>
      </c>
      <c r="CQ17" s="1146" t="s">
        <v>264</v>
      </c>
    </row>
    <row r="18" spans="1:120">
      <c r="A18" s="50">
        <f t="shared" si="5"/>
        <v>16</v>
      </c>
      <c r="B18" s="50">
        <f t="shared" si="0"/>
        <v>0.30875105882352943</v>
      </c>
      <c r="C18" s="50">
        <f>IF(FH!$C$2&gt;0,FH!A18/FH!$C$2,0)</f>
        <v>0.33175868878603071</v>
      </c>
      <c r="D18" s="50">
        <f>IF(hist!$D$2&gt;0,hist!B18/hist!$D$2,0)</f>
        <v>0.24382690791659359</v>
      </c>
      <c r="E18" s="50">
        <f t="shared" si="1"/>
        <v>2.9668550832626301E-4</v>
      </c>
      <c r="F18">
        <f t="shared" si="6"/>
        <v>16</v>
      </c>
      <c r="G18" s="50">
        <f>IF(FT!A18&lt;&gt;"",FT!A18*10,"")</f>
        <v>2.2835000000000001</v>
      </c>
      <c r="H18" s="50">
        <f>IF(FT!B18&lt;&gt;"",FT!B18*100,"")</f>
        <v>43.428100000000001</v>
      </c>
      <c r="I18" s="50">
        <f t="shared" si="2"/>
        <v>1</v>
      </c>
      <c r="J18" t="str">
        <f>IF(FT!B18&lt;&gt;"",FT!E18,"")</f>
        <v>0 [6.485393]</v>
      </c>
      <c r="K18">
        <f>IF(FT!B18&lt;&gt;"",IF(FT!C18&lt;&gt;"",FT!C18,F18/$M$3*$M$4),"")</f>
        <v>6.4853899999999998</v>
      </c>
      <c r="P18">
        <f t="shared" si="10"/>
        <v>15</v>
      </c>
      <c r="Q18">
        <f t="shared" si="12"/>
        <v>0</v>
      </c>
      <c r="R18">
        <f t="shared" si="13"/>
        <v>0</v>
      </c>
      <c r="S18">
        <f t="array" ref="S18">MAX(IF(ft_nq=P18,row_n))</f>
        <v>0</v>
      </c>
      <c r="T18">
        <f t="shared" si="11"/>
        <v>1</v>
      </c>
      <c r="V18" s="288">
        <f>M!B18*100</f>
        <v>60.726500000000009</v>
      </c>
      <c r="W18" s="287">
        <f>100-M!B19*100</f>
        <v>26.750600000000006</v>
      </c>
      <c r="X18" t="str">
        <f>"(" &amp; ROUND(V18,1) &amp; " , " &amp; ROUND(100-W18,1) &amp; ")"</f>
        <v>(60.7 , 73.2)</v>
      </c>
      <c r="Y18" s="75">
        <f t="shared" si="3"/>
        <v>19.018217648346834</v>
      </c>
      <c r="Z18">
        <f>M!B18*100</f>
        <v>60.726500000000009</v>
      </c>
      <c r="AA18">
        <f>100-M!B19*100</f>
        <v>26.750600000000006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50"/>
      <c r="CK18" s="1147"/>
      <c r="CL18" s="1147"/>
      <c r="CM18" s="1147"/>
      <c r="CN18" s="1147"/>
      <c r="CO18" s="1147"/>
      <c r="CP18" s="1147"/>
      <c r="CQ18" s="1147"/>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2.3230899999999997</v>
      </c>
      <c r="H19" s="50">
        <f>IF(FT!B19&lt;&gt;"",FT!B19*100,"")</f>
        <v>42.055700000000002</v>
      </c>
      <c r="I19" s="50">
        <f t="shared" si="2"/>
        <v>1</v>
      </c>
      <c r="J19" t="str">
        <f>IF(FT!B19&lt;&gt;"",FT!E19,"")</f>
        <v>0 [6.879254]</v>
      </c>
      <c r="K19">
        <f>IF(FT!B19&lt;&gt;"",IF(FT!C19&lt;&gt;"",FT!C19,F19/$M$3*$M$4),"")</f>
        <v>6.8792499999999999</v>
      </c>
      <c r="P19">
        <f t="shared" si="10"/>
        <v>16</v>
      </c>
      <c r="Q19">
        <f t="shared" si="12"/>
        <v>0</v>
      </c>
      <c r="R19">
        <f t="shared" si="13"/>
        <v>0</v>
      </c>
      <c r="S19">
        <f t="array" ref="S19">MAX(IF(ft_nq=P19,row_n))</f>
        <v>0</v>
      </c>
      <c r="T19">
        <f t="shared" si="11"/>
        <v>1</v>
      </c>
      <c r="V19" t="s">
        <v>1521</v>
      </c>
      <c r="Y19" s="75">
        <f t="shared" si="3"/>
        <v>18.103345113620225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50"/>
      <c r="CK19" s="1147"/>
      <c r="CL19" s="1147"/>
      <c r="CM19" s="1147"/>
      <c r="CN19" s="1147"/>
      <c r="CO19" s="1147"/>
      <c r="CP19" s="1147"/>
      <c r="CQ19" s="1147"/>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2.3635299999999999</v>
      </c>
      <c r="H20" s="50">
        <f>IF(FT!B20&lt;&gt;"",FT!B20*100,"")</f>
        <v>40.7057</v>
      </c>
      <c r="I20" s="50">
        <f t="shared" si="2"/>
        <v>1</v>
      </c>
      <c r="J20" t="str">
        <f>IF(FT!B20&lt;&gt;"",FT!E20,"")</f>
        <v>0 [7.285474]</v>
      </c>
      <c r="K20">
        <f>IF(FT!B20&lt;&gt;"",IF(FT!C20&lt;&gt;"",FT!C20,F20/$M$3*$M$4),"")</f>
        <v>7.2854700000000001</v>
      </c>
      <c r="P20">
        <f t="shared" si="10"/>
        <v>17</v>
      </c>
      <c r="Q20">
        <f t="shared" si="12"/>
        <v>0</v>
      </c>
      <c r="R20">
        <f t="shared" si="13"/>
        <v>0</v>
      </c>
      <c r="S20">
        <f t="array" ref="S20">MAX(IF(ft_nq=P20,row_n))</f>
        <v>0</v>
      </c>
      <c r="T20">
        <f t="shared" si="11"/>
        <v>1</v>
      </c>
      <c r="V20" s="56">
        <v>50</v>
      </c>
      <c r="W20">
        <v>50</v>
      </c>
      <c r="Y20" s="75">
        <f t="shared" si="3"/>
        <v>17.222417316471549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50"/>
      <c r="CK20" s="1147"/>
      <c r="CL20" s="1147"/>
      <c r="CM20" s="1147"/>
      <c r="CN20" s="1147"/>
      <c r="CO20" s="1147"/>
      <c r="CP20" s="1147"/>
      <c r="CQ20" s="1147"/>
    </row>
    <row r="21" spans="1:120">
      <c r="A21" s="50">
        <f t="shared" si="5"/>
        <v>19</v>
      </c>
      <c r="B21" s="50">
        <f t="shared" si="0"/>
        <v>0.36664188235294121</v>
      </c>
      <c r="C21" s="50">
        <f>IF(FH!$C$2&gt;0,FH!A21/FH!$C$2,0)</f>
        <v>0.29161241691221818</v>
      </c>
      <c r="D21" s="50">
        <f>IF(hist!$D$2&gt;0,hist!B21/hist!$D$2,0)</f>
        <v>0.198383374126097</v>
      </c>
      <c r="E21" s="50">
        <f t="shared" si="1"/>
        <v>5.1061593588985126E-4</v>
      </c>
      <c r="F21">
        <f t="shared" si="6"/>
        <v>19</v>
      </c>
      <c r="G21" s="50">
        <f>IF(FT!A21&lt;&gt;"",FT!A21*10,"")</f>
        <v>2.3832100000000001</v>
      </c>
      <c r="H21" s="50">
        <f>IF(FT!B21&lt;&gt;"",FT!B21*100,"")</f>
        <v>40.1173</v>
      </c>
      <c r="I21" s="50">
        <f t="shared" si="2"/>
        <v>1</v>
      </c>
      <c r="J21" t="str">
        <f>IF(FT!B21&lt;&gt;"",FT!E21,"")</f>
        <v>0 [7.698868]</v>
      </c>
      <c r="K21">
        <f>IF(FT!B21&lt;&gt;"",IF(FT!C21&lt;&gt;"",FT!C21,F21/$M$3*$M$4),"")</f>
        <v>7.6988700000000003</v>
      </c>
      <c r="P21">
        <f t="shared" si="10"/>
        <v>18</v>
      </c>
      <c r="Q21">
        <f t="shared" si="12"/>
        <v>0</v>
      </c>
      <c r="R21">
        <f t="shared" si="13"/>
        <v>0</v>
      </c>
      <c r="S21">
        <f t="array" ref="S21">MAX(IF(ft_nq=P21,row_n))</f>
        <v>0</v>
      </c>
      <c r="T21">
        <f t="shared" si="11"/>
        <v>1</v>
      </c>
      <c r="V21" s="288">
        <f>Measurement!DK17*100</f>
        <v>47.783580907560264</v>
      </c>
      <c r="W21" s="287">
        <f>'R3'!I3</f>
        <v>12.007565559540772</v>
      </c>
      <c r="X21" t="str">
        <f>"(" &amp; ROUND(V21,1) &amp; " , " &amp; ROUND(W21,1) &amp; ")" &amp; CHAR(10) &amp; AR26</f>
        <v>(47.8 , 12)
지친</v>
      </c>
      <c r="Y21" s="75">
        <f t="shared" si="3"/>
        <v>16.833304660520895</v>
      </c>
      <c r="AA21">
        <f>100-M!B19*100</f>
        <v>26.750600000000006</v>
      </c>
      <c r="AC21">
        <f>'R3'!I3</f>
        <v>12.007565559540772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50"/>
      <c r="CK21" s="1147"/>
      <c r="CL21" s="1147"/>
      <c r="CM21" s="1147"/>
      <c r="CN21" s="1147"/>
      <c r="CO21" s="1147"/>
      <c r="CP21" s="1147"/>
      <c r="CQ21" s="1147"/>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2.4045199999999998</v>
      </c>
      <c r="H22" s="50">
        <f>IF(FT!B22&lt;&gt;"",FT!B22*100,"")</f>
        <v>39.459699999999998</v>
      </c>
      <c r="I22" s="50">
        <f t="shared" si="2"/>
        <v>1</v>
      </c>
      <c r="J22" t="str">
        <f>IF(FT!B22&lt;&gt;"",FT!E22,"")</f>
        <v>0 [8.097560]</v>
      </c>
      <c r="K22">
        <f>IF(FT!B22&lt;&gt;"",IF(FT!C22&lt;&gt;"",FT!C22,F22/$M$3*$M$4),"")</f>
        <v>8.0975599999999996</v>
      </c>
      <c r="P22">
        <f t="shared" si="10"/>
        <v>19</v>
      </c>
      <c r="Q22">
        <f t="shared" si="12"/>
        <v>0</v>
      </c>
      <c r="R22">
        <f t="shared" si="13"/>
        <v>0</v>
      </c>
      <c r="S22">
        <f t="array" ref="S22">MAX(IF(ft_nq=P22,row_n))</f>
        <v>0</v>
      </c>
      <c r="T22">
        <f t="shared" si="11"/>
        <v>1</v>
      </c>
      <c r="V22" s="300">
        <f>X23</f>
        <v>90</v>
      </c>
      <c r="W22" s="300">
        <f>X23</f>
        <v>90</v>
      </c>
      <c r="X22" t="s">
        <v>1188</v>
      </c>
      <c r="Y22" s="75">
        <f t="shared" si="3"/>
        <v>16.410634970804985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50"/>
      <c r="CK22" s="1147"/>
      <c r="CL22" s="1147"/>
      <c r="CM22" s="1147"/>
      <c r="CN22" s="1147"/>
      <c r="CO22" s="1147"/>
      <c r="CP22" s="1147"/>
      <c r="CQ22" s="1147"/>
    </row>
    <row r="23" spans="1:120">
      <c r="A23" s="50">
        <f t="shared" si="5"/>
        <v>21</v>
      </c>
      <c r="B23" s="50">
        <f t="shared" si="0"/>
        <v>0.40523576470588235</v>
      </c>
      <c r="C23" s="50">
        <f>IF(FH!$C$2&gt;0,FH!A23/FH!$C$2,0)</f>
        <v>0.38949496333858702</v>
      </c>
      <c r="D23" s="50">
        <f>IF(hist!$D$2&gt;0,hist!B23/hist!$D$2,0)</f>
        <v>0.16348468999395094</v>
      </c>
      <c r="E23" s="50">
        <f t="shared" si="1"/>
        <v>7.2565622996129293E-4</v>
      </c>
      <c r="F23">
        <f t="shared" si="6"/>
        <v>21</v>
      </c>
      <c r="G23" s="50">
        <f>IF(FT!A23&lt;&gt;"",FT!A23*10,"")</f>
        <v>2.4282900000000001</v>
      </c>
      <c r="H23" s="50">
        <f>IF(FT!B23&lt;&gt;"",FT!B23*100,"")</f>
        <v>38.703700000000005</v>
      </c>
      <c r="I23" s="50">
        <f t="shared" si="2"/>
        <v>1</v>
      </c>
      <c r="J23" t="str">
        <f>IF(FT!B23&lt;&gt;"",FT!E23,"")</f>
        <v>0 [8.540108]</v>
      </c>
      <c r="K23">
        <f>IF(FT!B23&lt;&gt;"",IF(FT!C23&lt;&gt;"",FT!C23,F23/$M$3*$M$4),"")</f>
        <v>8.5401100000000003</v>
      </c>
      <c r="P23">
        <f t="shared" si="10"/>
        <v>20</v>
      </c>
      <c r="Q23">
        <f t="shared" si="12"/>
        <v>0</v>
      </c>
      <c r="R23">
        <f t="shared" si="13"/>
        <v>0</v>
      </c>
      <c r="S23">
        <f t="array" ref="S23">MAX(IF(ft_nq=P23,row_n))</f>
        <v>0</v>
      </c>
      <c r="T23">
        <f t="shared" si="11"/>
        <v>1</v>
      </c>
      <c r="V23" s="300">
        <f>100-X23</f>
        <v>10</v>
      </c>
      <c r="W23" s="300">
        <f>X23</f>
        <v>90</v>
      </c>
      <c r="X23">
        <v>90</v>
      </c>
      <c r="Y23" s="75">
        <f t="shared" si="3"/>
        <v>15.938664657022022</v>
      </c>
      <c r="AQ23">
        <v>2</v>
      </c>
      <c r="AR23" s="440" t="str">
        <f t="shared" si="15"/>
        <v/>
      </c>
      <c r="AS23" s="441" t="str">
        <f t="shared" si="14"/>
        <v/>
      </c>
      <c r="AT23" s="441" t="str">
        <f t="shared" si="14"/>
        <v/>
      </c>
      <c r="AU23" s="441" t="str">
        <f t="shared" si="14"/>
        <v/>
      </c>
      <c r="AV23" s="442" t="str">
        <f t="shared" si="14"/>
        <v>지친</v>
      </c>
      <c r="AW23" s="441" t="str">
        <f t="shared" si="14"/>
        <v/>
      </c>
      <c r="AX23" s="441" t="str">
        <f t="shared" si="14"/>
        <v/>
      </c>
      <c r="AY23" s="441" t="str">
        <f t="shared" si="14"/>
        <v/>
      </c>
      <c r="AZ23" s="441" t="str">
        <f t="shared" si="14"/>
        <v/>
      </c>
      <c r="BA23" s="442" t="str">
        <f t="shared" si="14"/>
        <v/>
      </c>
      <c r="CB23" s="113"/>
      <c r="CF23" s="107"/>
      <c r="CI23" s="76"/>
      <c r="CJ23" s="1151"/>
      <c r="CK23" s="1148"/>
      <c r="CL23" s="1148"/>
      <c r="CM23" s="1148"/>
      <c r="CN23" s="1148"/>
      <c r="CO23" s="1148"/>
      <c r="CP23" s="1148"/>
      <c r="CQ23" s="1148"/>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2.4537300000000002</v>
      </c>
      <c r="H24" s="50">
        <f>IF(FT!B24&lt;&gt;"",FT!B24*100,"")</f>
        <v>37.868299999999998</v>
      </c>
      <c r="I24" s="50">
        <f t="shared" si="2"/>
        <v>1</v>
      </c>
      <c r="J24" t="str">
        <f>IF(FT!B24&lt;&gt;"",FT!E24,"")</f>
        <v>0 [8.925329]</v>
      </c>
      <c r="K24">
        <f>IF(FT!B24&lt;&gt;"",IF(FT!C24&lt;&gt;"",FT!C24,F24/$M$3*$M$4),"")</f>
        <v>8.9253300000000007</v>
      </c>
      <c r="P24">
        <f t="shared" si="10"/>
        <v>21</v>
      </c>
      <c r="Q24">
        <f t="shared" si="12"/>
        <v>0</v>
      </c>
      <c r="R24">
        <f t="shared" si="13"/>
        <v>0</v>
      </c>
      <c r="S24">
        <f t="array" ref="S24">MAX(IF(ft_nq=P24,row_n))</f>
        <v>0</v>
      </c>
      <c r="T24">
        <f t="shared" si="11"/>
        <v>1</v>
      </c>
      <c r="V24" s="300">
        <f>100-X23</f>
        <v>10</v>
      </c>
      <c r="W24" s="300">
        <f>100-X23</f>
        <v>10</v>
      </c>
      <c r="Y24" s="75">
        <f t="shared" si="3"/>
        <v>15.432953095898895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2.4790799999999997</v>
      </c>
      <c r="H25" s="50">
        <f>IF(FT!B25&lt;&gt;"",FT!B25*100,"")</f>
        <v>37.029499999999999</v>
      </c>
      <c r="I25" s="50">
        <f t="shared" si="2"/>
        <v>1</v>
      </c>
      <c r="J25" t="str">
        <f>IF(FT!B25&lt;&gt;"",FT!E25,"")</f>
        <v>0 [9.346545]</v>
      </c>
      <c r="K25">
        <f>IF(FT!B25&lt;&gt;"",IF(FT!C25&lt;&gt;"",FT!C25,F25/$M$3*$M$4),"")</f>
        <v>9.3465500000000006</v>
      </c>
      <c r="P25">
        <f t="shared" si="10"/>
        <v>22</v>
      </c>
      <c r="Q25">
        <f t="shared" si="12"/>
        <v>0</v>
      </c>
      <c r="R25">
        <f t="shared" si="13"/>
        <v>0</v>
      </c>
      <c r="S25">
        <f t="array" ref="S25">MAX(IF(ft_nq=P25,row_n))</f>
        <v>0</v>
      </c>
      <c r="T25">
        <f t="shared" si="11"/>
        <v>1</v>
      </c>
      <c r="V25" s="300">
        <f>X23</f>
        <v>90</v>
      </c>
      <c r="W25" s="300">
        <f>100-X23</f>
        <v>10</v>
      </c>
      <c r="Y25" s="75">
        <f t="shared" si="3"/>
        <v>14.936791067654131</v>
      </c>
    </row>
    <row r="26" spans="1:120">
      <c r="A26" s="50">
        <f t="shared" si="5"/>
        <v>24</v>
      </c>
      <c r="B26" s="50">
        <f t="shared" si="0"/>
        <v>0.46312658823529412</v>
      </c>
      <c r="C26" s="50">
        <f>IF(FH!$C$2&gt;0,FH!A26/FH!$C$2,0)</f>
        <v>0.42801280813341391</v>
      </c>
      <c r="D26" s="50">
        <f>IF(hist!$D$2&gt;0,hist!B26/hist!$D$2,0)</f>
        <v>0.13094323182581369</v>
      </c>
      <c r="E26" s="50">
        <f t="shared" si="1"/>
        <v>1.2101594253524212E-3</v>
      </c>
      <c r="F26">
        <f t="shared" si="6"/>
        <v>24</v>
      </c>
      <c r="G26" s="50">
        <f>IF(FT!A26&lt;&gt;"",FT!A26*10,"")</f>
        <v>2.50061</v>
      </c>
      <c r="H26" s="50">
        <f>IF(FT!B26&lt;&gt;"",FT!B26*100,"")</f>
        <v>36.4193</v>
      </c>
      <c r="I26" s="50">
        <f t="shared" si="2"/>
        <v>1</v>
      </c>
      <c r="J26" t="str">
        <f>IF(FT!B26&lt;&gt;"",FT!E26,"")</f>
        <v>0 [9.744100]</v>
      </c>
      <c r="K26">
        <f>IF(FT!B26&lt;&gt;"",IF(FT!C26&lt;&gt;"",FT!C26,F26/$M$3*$M$4),"")</f>
        <v>9.7440999999999995</v>
      </c>
      <c r="P26">
        <f t="shared" si="10"/>
        <v>23</v>
      </c>
      <c r="Q26">
        <f t="shared" si="12"/>
        <v>0</v>
      </c>
      <c r="R26">
        <f t="shared" si="13"/>
        <v>0</v>
      </c>
      <c r="S26">
        <f t="array" ref="S26">MAX(IF(ft_nq=P26,row_n))</f>
        <v>0</v>
      </c>
      <c r="T26">
        <f t="shared" si="11"/>
        <v>1</v>
      </c>
      <c r="V26" s="300">
        <f>X23</f>
        <v>90</v>
      </c>
      <c r="W26" s="300">
        <f>X23</f>
        <v>90</v>
      </c>
      <c r="Y26" s="75">
        <f t="shared" si="3"/>
        <v>14.564166343412207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지친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지친</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2.5216100000000004</v>
      </c>
      <c r="H27" s="50">
        <f>IF(FT!B27&lt;&gt;"",FT!B27*100,"")</f>
        <v>35.696300000000001</v>
      </c>
      <c r="I27" s="50">
        <f t="shared" si="2"/>
        <v>1</v>
      </c>
      <c r="J27" t="str">
        <f>IF(FT!B27&lt;&gt;"",FT!E27,"")</f>
        <v>0 [10.146582]</v>
      </c>
      <c r="K27">
        <f>IF(FT!B27&lt;&gt;"",IF(FT!C27&lt;&gt;"",FT!C27,F27/$M$3*$M$4),"")</f>
        <v>10.146599999999999</v>
      </c>
      <c r="P27">
        <f t="shared" si="10"/>
        <v>24</v>
      </c>
      <c r="Q27">
        <f t="shared" si="12"/>
        <v>0</v>
      </c>
      <c r="R27">
        <f t="shared" si="13"/>
        <v>0</v>
      </c>
      <c r="S27">
        <f t="array" ref="S27">MAX(IF(ft_nq=P27,row_n))</f>
        <v>0</v>
      </c>
      <c r="T27">
        <f t="shared" si="11"/>
        <v>1</v>
      </c>
      <c r="V27" s="288">
        <v>60</v>
      </c>
      <c r="W27" s="288">
        <v>60</v>
      </c>
      <c r="X27" t="s">
        <v>1189</v>
      </c>
      <c r="Y27" s="75">
        <f t="shared" si="3"/>
        <v>14.156154203068672</v>
      </c>
      <c r="AS27" t="s">
        <v>2144</v>
      </c>
    </row>
    <row r="28" spans="1:120">
      <c r="A28" s="50">
        <f t="shared" si="5"/>
        <v>26</v>
      </c>
      <c r="B28" s="50">
        <f t="shared" si="0"/>
        <v>0.50172047058823532</v>
      </c>
      <c r="C28" s="50">
        <f>IF(FH!$C$2&gt;0,FH!A28/FH!$C$2,0)</f>
        <v>0.51856618677697286</v>
      </c>
      <c r="D28" s="50">
        <f>IF(hist!$D$2&gt;0,hist!B28/hist!$D$2,0)</f>
        <v>0.11621471805410785</v>
      </c>
      <c r="E28" s="50">
        <f t="shared" si="1"/>
        <v>1.684049696758669E-3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0.52101741176470595</v>
      </c>
      <c r="C29" s="50">
        <f>IF(FH!$C$2&gt;0,FH!A29/FH!$C$2,0)</f>
        <v>0</v>
      </c>
      <c r="D29" s="50">
        <f>IF(hist!$D$2&gt;0,hist!B29/hist!$D$2,0)</f>
        <v>0</v>
      </c>
      <c r="E29" s="50">
        <f t="shared" si="1"/>
        <v>1.9803521502900477E-3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0.54031435294117647</v>
      </c>
      <c r="C30" s="50">
        <f>IF(FH!$C$2&gt;0,FH!A30/FH!$C$2,0)</f>
        <v>0</v>
      </c>
      <c r="D30" s="50">
        <f>IF(hist!$D$2&gt;0,hist!B30/hist!$D$2,0)</f>
        <v>0</v>
      </c>
      <c r="E30" s="50">
        <f t="shared" si="1"/>
        <v>2.3239004511902413E-3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42"/>
      <c r="CO30" s="1142"/>
      <c r="CP30" s="1142"/>
      <c r="CQ30" s="82"/>
      <c r="CR30" s="82"/>
      <c r="CS30" s="76"/>
      <c r="CT30" s="1142"/>
      <c r="CU30" s="1142"/>
      <c r="CV30" s="1142"/>
      <c r="CW30" s="121"/>
      <c r="CX30" s="121"/>
      <c r="CY30" s="76"/>
      <c r="CZ30" s="1142"/>
      <c r="DA30" s="1142"/>
      <c r="DB30" s="1142"/>
      <c r="DC30" s="121"/>
      <c r="DD30" s="121"/>
      <c r="DE30" s="76"/>
      <c r="DF30" s="1142"/>
      <c r="DG30" s="1142"/>
      <c r="DH30" s="1142"/>
    </row>
    <row r="31" spans="1:120">
      <c r="A31" s="50">
        <f t="shared" si="5"/>
        <v>29</v>
      </c>
      <c r="B31" s="50">
        <f t="shared" si="0"/>
        <v>0.5596112941176471</v>
      </c>
      <c r="C31" s="50">
        <f>IF(FH!$C$2&gt;0,FH!A31/FH!$C$2,0)</f>
        <v>0.59340343751362734</v>
      </c>
      <c r="D31" s="50">
        <f>IF(hist!$D$2&gt;0,hist!B31/hist!$D$2,0)</f>
        <v>9.3273542491930414E-2</v>
      </c>
      <c r="E31" s="50">
        <f t="shared" si="1"/>
        <v>2.7213236219743868E-3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기분이 낮은 정서 상태이다. 점점 기분이 낮아질수 있다. 에너지 대사량이 보통이며 증가하고 있다.</v>
      </c>
      <c r="CJ31" s="143" t="s">
        <v>957</v>
      </c>
      <c r="CK31" s="1143" t="s">
        <v>958</v>
      </c>
      <c r="CL31" s="1144"/>
      <c r="CM31" s="1144"/>
      <c r="CN31" s="1145"/>
      <c r="CO31" s="1143" t="s">
        <v>959</v>
      </c>
      <c r="CP31" s="1144"/>
      <c r="CQ31" s="1144"/>
      <c r="CR31" s="1145"/>
      <c r="CS31" s="1143" t="s">
        <v>960</v>
      </c>
      <c r="CT31" s="1144"/>
      <c r="CU31" s="1144"/>
      <c r="CV31" s="1145"/>
      <c r="CW31" s="1143" t="s">
        <v>961</v>
      </c>
      <c r="CX31" s="1144"/>
      <c r="CY31" s="1144"/>
      <c r="CZ31" s="1145"/>
      <c r="DA31" s="1143" t="s">
        <v>962</v>
      </c>
      <c r="DB31" s="1144"/>
      <c r="DC31" s="1144"/>
      <c r="DD31" s="1145"/>
      <c r="DE31" s="1143" t="s">
        <v>963</v>
      </c>
      <c r="DF31" s="1144"/>
      <c r="DG31" s="1144"/>
      <c r="DH31" s="1145"/>
      <c r="DI31" s="1143" t="s">
        <v>964</v>
      </c>
      <c r="DJ31" s="1144"/>
      <c r="DK31" s="1144"/>
      <c r="DL31" s="1145"/>
      <c r="DM31" s="1143" t="s">
        <v>965</v>
      </c>
      <c r="DN31" s="1144"/>
      <c r="DO31" s="1144"/>
      <c r="DP31" s="1145"/>
    </row>
    <row r="32" spans="1:120">
      <c r="A32" s="50">
        <f t="shared" si="5"/>
        <v>30</v>
      </c>
      <c r="B32" s="50">
        <f t="shared" si="0"/>
        <v>0.57890823529411761</v>
      </c>
      <c r="C32" s="50">
        <f>IF(FH!$C$2&gt;0,FH!A32/FH!$C$2,0)</f>
        <v>0</v>
      </c>
      <c r="D32" s="50">
        <f>IF(hist!$D$2&gt;0,hist!B32/hist!$D$2,0)</f>
        <v>0</v>
      </c>
      <c r="E32" s="50">
        <f t="shared" si="1"/>
        <v>3.1800242950490148E-3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0.76929785762787894</v>
      </c>
      <c r="D33" s="50">
        <f>IF(hist!$D$2&gt;0,hist!B33/hist!$D$2,0)</f>
        <v>7.9071660038274871E-2</v>
      </c>
      <c r="E33" s="50">
        <f t="shared" si="1"/>
        <v>3.7082436324624873E-3</v>
      </c>
      <c r="F33">
        <f t="shared" si="6"/>
        <v>31</v>
      </c>
      <c r="G33" s="50" t="str">
        <f>IF(FT!A33&lt;&gt;"",FT!A33*10,"")</f>
        <v/>
      </c>
      <c r="H33" s="50" t="str">
        <f>IF(FT!B33&lt;&gt;"",FT!B33*100,"")</f>
        <v/>
      </c>
      <c r="I33" s="50" t="str">
        <f t="shared" si="2"/>
        <v/>
      </c>
      <c r="J33" t="str">
        <f>IF(FT!B33&lt;&gt;"",FT!E33,"")</f>
        <v/>
      </c>
      <c r="K33" t="str">
        <f>IF(FT!B33&lt;&gt;"",IF(FT!C33&lt;&gt;"",FT!C33,F33/$M$3*$M$4),"")</f>
        <v/>
      </c>
      <c r="W33" s="23">
        <f>FH_info!G2</f>
        <v>0.51474399999999998</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38"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52"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48.525600000000004</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39"/>
      <c r="CK34" s="1136"/>
      <c r="CL34" s="1136"/>
      <c r="CM34" s="1136"/>
      <c r="CN34" s="1136"/>
      <c r="CO34" s="1136"/>
      <c r="CP34" s="1136"/>
      <c r="CQ34" s="1136"/>
      <c r="CR34" s="1136"/>
      <c r="CS34" s="1153"/>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t="str">
        <f>IF(FT!A35&lt;&gt;"",FT!A35*10,"")</f>
        <v/>
      </c>
      <c r="H35" s="50" t="str">
        <f>IF(FT!B35&lt;&gt;"",FT!B35*100,"")</f>
        <v/>
      </c>
      <c r="I35" s="50" t="str">
        <f t="shared" si="2"/>
        <v/>
      </c>
      <c r="J35" t="str">
        <f>IF(FT!B35&lt;&gt;"",FT!E35,"")</f>
        <v/>
      </c>
      <c r="K35" t="str">
        <f>IF(FT!B35&lt;&gt;"",IF(FT!C35&lt;&gt;"",FT!C35,F35/$M$3*$M$4),"")</f>
        <v/>
      </c>
      <c r="V35" s="52">
        <f>IF(V36&gt;3,100,V36/3*100)</f>
        <v>35.420333333333339</v>
      </c>
      <c r="W35" s="23">
        <f>IF(FH_info!G2*1&lt;&gt;0,(1-NORMSDIST((FH_info!G2*1-0.5308)/0.1538))*100,0)</f>
        <v>54.157218119800646</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40"/>
      <c r="CK35" s="1137"/>
      <c r="CL35" s="1137"/>
      <c r="CM35" s="1137"/>
      <c r="CN35" s="1137"/>
      <c r="CO35" s="1137"/>
      <c r="CP35" s="1137"/>
      <c r="CQ35" s="1137"/>
      <c r="CR35" s="1137"/>
      <c r="CS35" s="1154"/>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1</v>
      </c>
      <c r="D36" s="50">
        <f>IF(hist!$D$2&gt;0,hist!B36/hist!$D$2,0)</f>
        <v>6.5279358760769568E-2</v>
      </c>
      <c r="E36" s="50">
        <f t="shared" si="1"/>
        <v>5.806403012006133E-3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1.0626100000000001</v>
      </c>
      <c r="W36" s="495">
        <f>IF(W34&gt;=60,30/40*(W34-60)+70,IF(W34&gt;=35,35/25*(W34-35)+35,IF(W34&gt;=0,W34,0)))</f>
        <v>53.935840000000006</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41"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41"/>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41"/>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0.91824224565950063</v>
      </c>
      <c r="D39" s="50">
        <f>IF(hist!$D$2&gt;0,hist!B39/hist!$D$2,0)</f>
        <v>5.4266417243191666E-2</v>
      </c>
      <c r="E39" s="50">
        <f t="shared" si="1"/>
        <v>8.9214258397607594E-3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41"/>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38"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0.71449574204319644</v>
      </c>
      <c r="D41" s="50">
        <f>IF(hist!$D$2&gt;0,hist!B41/hist!$D$2,0)</f>
        <v>4.7600141649567773E-2</v>
      </c>
      <c r="E41" s="50">
        <f t="shared" si="1"/>
        <v>1.1755024580483614E-2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39"/>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39"/>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9.7936800000000002</v>
      </c>
      <c r="Y43" s="75" t="str">
        <f t="shared" si="3"/>
        <v/>
      </c>
      <c r="AA43" s="447" t="s">
        <v>2044</v>
      </c>
      <c r="AB43" s="447" t="s">
        <v>1178</v>
      </c>
      <c r="AC43" s="76"/>
      <c r="AD43" s="446" t="s">
        <v>2045</v>
      </c>
      <c r="AJ43" s="76"/>
      <c r="AK43" s="76"/>
      <c r="AL43" s="76"/>
      <c r="AM43" s="76"/>
      <c r="CD43" s="76"/>
      <c r="CI43">
        <v>4</v>
      </c>
      <c r="CJ43" s="1141" t="s">
        <v>974</v>
      </c>
      <c r="CK43" s="1152"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0.70105841530497193</v>
      </c>
      <c r="D44" s="50">
        <f>IF(hist!$D$2&gt;0,hist!B44/hist!$D$2,0)</f>
        <v>4.0022739617449545E-2</v>
      </c>
      <c r="E44" s="50">
        <f t="shared" si="1"/>
        <v>1.7501056370600752E-2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41"/>
      <c r="CK44" s="1153"/>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41"/>
      <c r="CK45" s="1154"/>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0.63379702597135612</v>
      </c>
      <c r="D46" s="50">
        <f>IF(hist!$D$2&gt;0,hist!B46/hist!$D$2,0)</f>
        <v>3.5279022755978058E-2</v>
      </c>
      <c r="E46" s="50">
        <f t="shared" si="1"/>
        <v>2.2580278175346327E-2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38" t="s">
        <v>975</v>
      </c>
      <c r="CK46" s="1152"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39"/>
      <c r="CK47" s="1153"/>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40"/>
      <c r="CK48" s="1154"/>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0.73949527482043076</v>
      </c>
      <c r="D49" s="50">
        <f>IF(hist!$D$2&gt;0,hist!B49/hist!$D$2,0)</f>
        <v>3.5550688177235779E-2</v>
      </c>
      <c r="E49" s="50">
        <f t="shared" si="1"/>
        <v>3.2574941047233269E-2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0.92625317647058825</v>
      </c>
      <c r="C50" s="50">
        <f>IF(FH!$C$2&gt;0,FH!A50/FH!$C$2,0)</f>
        <v>0</v>
      </c>
      <c r="D50" s="50">
        <f>IF(hist!$D$2&gt;0,hist!B50/hist!$D$2,0)</f>
        <v>0</v>
      </c>
      <c r="E50" s="50">
        <f t="shared" si="1"/>
        <v>3.6653060107329868E-2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0.94555011764705887</v>
      </c>
      <c r="C51" s="50">
        <f>IF(FH!$C$2&gt;0,FH!A51/FH!$C$2,0)</f>
        <v>0.76848177519732386</v>
      </c>
      <c r="D51" s="50">
        <f>IF(hist!$D$2&gt;0,hist!B51/hist!$D$2,0)</f>
        <v>3.0113181690503251E-2</v>
      </c>
      <c r="E51" s="50">
        <f t="shared" si="1"/>
        <v>4.1155171419050326E-2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0.96484705882352939</v>
      </c>
      <c r="C52" s="50">
        <f>IF(FH!$C$2&gt;0,FH!A52/FH!$C$2,0)</f>
        <v>0</v>
      </c>
      <c r="D52" s="50">
        <f>IF(hist!$D$2&gt;0,hist!B52/hist!$D$2,0)</f>
        <v>0</v>
      </c>
      <c r="E52" s="50">
        <f t="shared" si="1"/>
        <v>4.6113296110619414E-2</v>
      </c>
      <c r="F52">
        <f t="shared" si="6"/>
        <v>50</v>
      </c>
      <c r="G52" s="50" t="str">
        <f>IF(FT!A52&lt;&gt;"",FT!A52*10,"")</f>
        <v/>
      </c>
      <c r="H52" s="50" t="str">
        <f>IF(FT!B52&lt;&gt;"",FT!B52*100,"")</f>
        <v/>
      </c>
      <c r="I52" s="50" t="str">
        <f t="shared" si="2"/>
        <v/>
      </c>
      <c r="J52" t="str">
        <f>IF(FT!B52&lt;&gt;"",FT!E52,"")</f>
        <v/>
      </c>
      <c r="K52" t="str">
        <f>IF(FT!B52&lt;&gt;"",IF(FT!C52&lt;&gt;"",FT!C52,F52/$M$3*$M$4),"")</f>
        <v/>
      </c>
      <c r="V52" s="288">
        <f>Measurement!DK17*100</f>
        <v>47.783580907560264</v>
      </c>
      <c r="W52" s="303">
        <f ca="1">100-N9</f>
        <v>51.418819230769223</v>
      </c>
      <c r="X52" t="str">
        <f ca="1">"(" &amp; ROUND(V52,1) &amp; " , " &amp; ROUND(100-W52,1) &amp; ")"</f>
        <v>(47.8 , 48.6)</v>
      </c>
      <c r="Y52" s="75" t="str">
        <f t="shared" si="3"/>
        <v/>
      </c>
    </row>
    <row r="53" spans="1:25">
      <c r="A53" s="50">
        <f t="shared" si="5"/>
        <v>51</v>
      </c>
      <c r="B53" s="50">
        <f t="shared" si="0"/>
        <v>0.98414400000000013</v>
      </c>
      <c r="C53" s="50">
        <f>IF(FH!$C$2&gt;0,FH!A53/FH!$C$2,0)</f>
        <v>0</v>
      </c>
      <c r="D53" s="50">
        <f>IF(hist!$D$2&gt;0,hist!B53/hist!$D$2,0)</f>
        <v>0</v>
      </c>
      <c r="E53" s="50">
        <f t="shared" si="1"/>
        <v>5.156030674401519E-2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1.0034409411764706</v>
      </c>
      <c r="C54" s="50">
        <f>IF(FH!$C$2&gt;0,FH!A54/FH!$C$2,0)</f>
        <v>0.6707636911844409</v>
      </c>
      <c r="D54" s="50">
        <f>IF(hist!$D$2&gt;0,hist!B54/hist!$D$2,0)</f>
        <v>2.3768724445718949E-2</v>
      </c>
      <c r="E54" s="50">
        <f t="shared" si="1"/>
        <v>5.7529737709040886E-2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1.0227378823529412</v>
      </c>
      <c r="C55" s="50">
        <f>IF(FH!$C$2&gt;0,FH!A55/FH!$C$2,0)</f>
        <v>0</v>
      </c>
      <c r="D55" s="50">
        <f>IF(hist!$D$2&gt;0,hist!B55/hist!$D$2,0)</f>
        <v>0</v>
      </c>
      <c r="E55" s="50">
        <f t="shared" si="1"/>
        <v>6.4055565674129025E-2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1.0613317647058824</v>
      </c>
      <c r="C57" s="50">
        <f>IF(FH!$C$2&gt;0,FH!A57/FH!$C$2,0)</f>
        <v>0.65659749693190383</v>
      </c>
      <c r="D57" s="50">
        <f>IF(hist!$D$2&gt;0,hist!B57/hist!$D$2,0)</f>
        <v>2.1520162092369139E-2</v>
      </c>
      <c r="E57" s="50">
        <f t="shared" si="1"/>
        <v>7.8912999280477791E-2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1.0806287058823529</v>
      </c>
      <c r="C58" s="50">
        <f>IF(FH!$C$2&gt;0,FH!A58/FH!$C$2,0)</f>
        <v>0</v>
      </c>
      <c r="D58" s="50">
        <f>IF(hist!$D$2&gt;0,hist!B58/hist!$D$2,0)</f>
        <v>0</v>
      </c>
      <c r="E58" s="50">
        <f t="shared" si="1"/>
        <v>8.7312365132204472E-2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1.0999256470588237</v>
      </c>
      <c r="C59" s="50">
        <f>IF(FH!$C$2&gt;0,FH!A59/FH!$C$2,0)</f>
        <v>0.63476884932377298</v>
      </c>
      <c r="D59" s="50">
        <f>IF(hist!$D$2&gt;0,hist!B59/hist!$D$2,0)</f>
        <v>2.0546342895744925E-2</v>
      </c>
      <c r="E59" s="50">
        <f t="shared" si="1"/>
        <v>9.6402995844990375E-2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1.1192225882352942</v>
      </c>
      <c r="C60" s="50">
        <f>IF(FH!$C$2&gt;0,FH!A60/FH!$C$2,0)</f>
        <v>0</v>
      </c>
      <c r="D60" s="50">
        <f>IF(hist!$D$2&gt;0,hist!B60/hist!$D$2,0)</f>
        <v>0</v>
      </c>
      <c r="E60" s="50">
        <f t="shared" si="1"/>
        <v>0.10621671930844924</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1.1385195294117647</v>
      </c>
      <c r="C61" s="50">
        <f>IF(FH!$C$2&gt;0,FH!A61/FH!$C$2,0)</f>
        <v>0</v>
      </c>
      <c r="D61" s="50">
        <f>IF(hist!$D$2&gt;0,hist!B61/hist!$D$2,0)</f>
        <v>0</v>
      </c>
      <c r="E61" s="50">
        <f t="shared" si="1"/>
        <v>0.11678385619904072</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1.1578164705882352</v>
      </c>
      <c r="C62" s="50">
        <f>IF(FH!$C$2&gt;0,FH!A62/FH!$C$2,0)</f>
        <v>0.62011362857659036</v>
      </c>
      <c r="D62" s="50">
        <f>IF(hist!$D$2&gt;0,hist!B62/hist!$D$2,0)</f>
        <v>1.7884010896581995E-2</v>
      </c>
      <c r="E62" s="50">
        <f t="shared" si="1"/>
        <v>0.12813279952311532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1.1964103529411765</v>
      </c>
      <c r="C64" s="50">
        <f>IF(FH!$C$2&gt;0,FH!A64/FH!$C$2,0)</f>
        <v>0.67915501205434736</v>
      </c>
      <c r="D64" s="50">
        <f>IF(hist!$D$2&gt;0,hist!B64/hist!$D$2,0)</f>
        <v>1.6496422054144654E-2</v>
      </c>
      <c r="E64" s="50">
        <f t="shared" si="1"/>
        <v>0.15327737267124014</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1.2157072941176472</v>
      </c>
      <c r="C65" s="50">
        <f>IF(FH!$C$2&gt;0,FH!A65/FH!$C$2,0)</f>
        <v>0</v>
      </c>
      <c r="D65" s="50">
        <f>IF(hist!$D$2&gt;0,hist!B65/hist!$D$2,0)</f>
        <v>0</v>
      </c>
      <c r="E65" s="50">
        <f t="shared" si="1"/>
        <v>0.16711609413494763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1.2543011764705883</v>
      </c>
      <c r="C67" s="50">
        <f>IF(FH!$C$2&gt;0,FH!A67/FH!$C$2,0)</f>
        <v>0.69511534172673084</v>
      </c>
      <c r="D67" s="50">
        <f>IF(hist!$D$2&gt;0,hist!B67/hist!$D$2,0)</f>
        <v>1.5489165440929138E-2</v>
      </c>
      <c r="E67" s="50">
        <f t="shared" ref="E67:E130" si="17">NORMDIST(B67,2,0.421,FALSE)</f>
        <v>0.19740650549156569</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1.2928950588235295</v>
      </c>
      <c r="C69" s="50">
        <f>IF(FH!$C$2&gt;0,FH!A69/FH!$C$2,0)</f>
        <v>0.56139992399843019</v>
      </c>
      <c r="D69" s="50">
        <f>IF(hist!$D$2&gt;0,hist!B69/hist!$D$2,0)</f>
        <v>1.3470476534055552E-2</v>
      </c>
      <c r="E69" s="50">
        <f t="shared" si="17"/>
        <v>0.23123573237535663</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1.312192</v>
      </c>
      <c r="C70" s="50">
        <f>IF(FH!$C$2&gt;0,FH!A70/FH!$C$2,0)</f>
        <v>0</v>
      </c>
      <c r="D70" s="50">
        <f>IF(hist!$D$2&gt;0,hist!B70/hist!$D$2,0)</f>
        <v>0</v>
      </c>
      <c r="E70" s="50">
        <f t="shared" si="17"/>
        <v>0.24947845788124606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1.3314889411764705</v>
      </c>
      <c r="C71" s="50">
        <f>IF(FH!$C$2&gt;0,FH!A71/FH!$C$2,0)</f>
        <v>0</v>
      </c>
      <c r="D71" s="50">
        <f>IF(hist!$D$2&gt;0,hist!B71/hist!$D$2,0)</f>
        <v>0</v>
      </c>
      <c r="E71" s="50">
        <f t="shared" si="17"/>
        <v>0.26859549943065031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1.3507858823529413</v>
      </c>
      <c r="C72" s="50">
        <f>IF(FH!$C$2&gt;0,FH!A72/FH!$C$2,0)</f>
        <v>0.64242507304249241</v>
      </c>
      <c r="D72" s="50">
        <f>IF(hist!$D$2&gt;0,hist!B72/hist!$D$2,0)</f>
        <v>1.2885350519453527E-2</v>
      </c>
      <c r="E72" s="50">
        <f t="shared" si="17"/>
        <v>0.28857053667633314</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1.3700828235294118</v>
      </c>
      <c r="C73" s="50">
        <f>IF(FH!$C$2&gt;0,FH!A73/FH!$C$2,0)</f>
        <v>0</v>
      </c>
      <c r="D73" s="50">
        <f>IF(hist!$D$2&gt;0,hist!B73/hist!$D$2,0)</f>
        <v>0</v>
      </c>
      <c r="E73" s="50">
        <f t="shared" si="17"/>
        <v>0.30938041532753197</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1.3893797647058823</v>
      </c>
      <c r="C74" s="50">
        <f>IF(FH!$C$2&gt;0,FH!A74/FH!$C$2,0)</f>
        <v>0</v>
      </c>
      <c r="D74" s="50">
        <f>IF(hist!$D$2&gt;0,hist!B74/hist!$D$2,0)</f>
        <v>0</v>
      </c>
      <c r="E74" s="50">
        <f t="shared" si="17"/>
        <v>0.33099484069774815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1.4086767058823528</v>
      </c>
      <c r="C75" s="50">
        <f>IF(FH!$C$2&gt;0,FH!A75/FH!$C$2,0)</f>
        <v>0.54210050896133266</v>
      </c>
      <c r="D75" s="50">
        <f>IF(hist!$D$2&gt;0,hist!B75/hist!$D$2,0)</f>
        <v>1.1727631926187322E-2</v>
      </c>
      <c r="E75" s="50">
        <f t="shared" si="17"/>
        <v>0.3533761263982918</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1.4279736470588238</v>
      </c>
      <c r="C76" s="50">
        <f>IF(FH!$C$2&gt;0,FH!A76/FH!$C$2,0)</f>
        <v>0</v>
      </c>
      <c r="D76" s="50">
        <f>IF(hist!$D$2&gt;0,hist!B76/hist!$D$2,0)</f>
        <v>0</v>
      </c>
      <c r="E76" s="50">
        <f t="shared" si="17"/>
        <v>0.37647900542322055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1.4472705882352943</v>
      </c>
      <c r="C77" s="50">
        <f>IF(FH!$C$2&gt;0,FH!A77/FH!$C$2,0)</f>
        <v>0.50203522236688836</v>
      </c>
      <c r="D77" s="50">
        <f>IF(hist!$D$2&gt;0,hist!B77/hist!$D$2,0)</f>
        <v>1.1184297886366799E-2</v>
      </c>
      <c r="E77" s="50">
        <f t="shared" si="17"/>
        <v>0.40025051043777587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1.5051614117647061</v>
      </c>
      <c r="C80" s="50">
        <f>IF(FH!$C$2&gt;0,FH!A80/FH!$C$2,0)</f>
        <v>0.61620453143786258</v>
      </c>
      <c r="D80" s="50">
        <f>IF(hist!$D$2&gt;0,hist!B80/hist!$D$2,0)</f>
        <v>1.0273171447872462E-2</v>
      </c>
      <c r="E80" s="50">
        <f t="shared" si="17"/>
        <v>0.47493124447943519</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1.5437552941176471</v>
      </c>
      <c r="C82" s="50">
        <f>IF(FH!$C$2&gt;0,FH!A82/FH!$C$2,0)</f>
        <v>0.52174205565557585</v>
      </c>
      <c r="D82" s="50">
        <f>IF(hist!$D$2&gt;0,hist!B82/hist!$D$2,0)</f>
        <v>9.2742757874573149E-3</v>
      </c>
      <c r="E82" s="50">
        <f t="shared" si="17"/>
        <v>0.52674592262723163</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1.6016461176470589</v>
      </c>
      <c r="C85" s="50">
        <f>IF(FH!$C$2&gt;0,FH!A85/FH!$C$2,0)</f>
        <v>0.50415267594051949</v>
      </c>
      <c r="D85" s="50">
        <f>IF(hist!$D$2&gt;0,hist!B85/hist!$D$2,0)</f>
        <v>8.4341998625881414E-3</v>
      </c>
      <c r="E85" s="50">
        <f t="shared" si="17"/>
        <v>0.60563875528310407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1.6595369411764709</v>
      </c>
      <c r="C88" s="50">
        <f>IF(FH!$C$2&gt;0,FH!A88/FH!$C$2,0)</f>
        <v>0.43501616590768927</v>
      </c>
      <c r="D88" s="50">
        <f>IF(hist!$D$2&gt;0,hist!B88/hist!$D$2,0)</f>
        <v>7.9911716779313535E-3</v>
      </c>
      <c r="E88" s="50">
        <f t="shared" si="17"/>
        <v>0.68330454739376156</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1.6981308235294119</v>
      </c>
      <c r="C90" s="50">
        <f>IF(FH!$C$2&gt;0,FH!A90/FH!$C$2,0)</f>
        <v>0.296905116400765</v>
      </c>
      <c r="D90" s="50">
        <f>IF(hist!$D$2&gt;0,hist!B90/hist!$D$2,0)</f>
        <v>6.3987890501138152E-3</v>
      </c>
      <c r="E90" s="50">
        <f t="shared" si="17"/>
        <v>0.73280083517225825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1.7560216470588237</v>
      </c>
      <c r="C93" s="50">
        <f>IF(FH!$C$2&gt;0,FH!A93/FH!$C$2,0)</f>
        <v>0.22247528391570057</v>
      </c>
      <c r="D93" s="50">
        <f>IF(hist!$D$2&gt;0,hist!B93/hist!$D$2,0)</f>
        <v>6.3778914640705226E-3</v>
      </c>
      <c r="E93" s="50">
        <f t="shared" si="17"/>
        <v>0.8011249119522722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1.7946155294117647</v>
      </c>
      <c r="C95" s="50">
        <f>IF(FH!$C$2&gt;0,FH!A95/FH!$C$2,0)</f>
        <v>0.23688879475215391</v>
      </c>
      <c r="D95" s="50">
        <f>IF(hist!$D$2&gt;0,hist!B95/hist!$D$2,0)</f>
        <v>4.5013035844472553E-3</v>
      </c>
      <c r="E95" s="50">
        <f t="shared" si="17"/>
        <v>0.84129369441961832</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1.8525063529411765</v>
      </c>
      <c r="C98" s="50">
        <f>IF(FH!$C$2&gt;0,FH!A98/FH!$C$2,0)</f>
        <v>0.20960921487886472</v>
      </c>
      <c r="D98" s="50">
        <f>IF(hist!$D$2&gt;0,hist!B98/hist!$D$2,0)</f>
        <v>3.677946367873732E-3</v>
      </c>
      <c r="E98" s="50">
        <f t="shared" si="17"/>
        <v>0.89120075052317838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1.8911002352941177</v>
      </c>
      <c r="C100" s="50">
        <f>IF(FH!$C$2&gt;0,FH!A100/FH!$C$2,0)</f>
        <v>0.19576509285273763</v>
      </c>
      <c r="D100" s="50">
        <f>IF(hist!$D$2&gt;0,hist!B100/hist!$D$2,0)</f>
        <v>2.8002541486656122E-3</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0.17589566604162643</v>
      </c>
      <c r="D103" s="50">
        <f>IF(hist!$D$2&gt;0,hist!B103/hist!$D$2,0)</f>
        <v>2.1315377898904202E-3</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0.15618883275293885</v>
      </c>
      <c r="D106" s="50">
        <f>IF(hist!$D$2&gt;0,hist!B106/hist!$D$2,0)</f>
        <v>1.4084864284806319E-3</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0.18884334332151778</v>
      </c>
      <c r="D108" s="50">
        <f>IF(hist!$D$2&gt;0,hist!B108/hist!$D$2,0)</f>
        <v>1.1409998849705549E-3</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0.17719828311207741</v>
      </c>
      <c r="D111" s="50">
        <f>IF(hist!$D$2&gt;0,hist!B111/hist!$D$2,0)</f>
        <v>8.4425480261681644E-4</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0.20757336954828906</v>
      </c>
      <c r="D113" s="50">
        <f>IF(hist!$D$2&gt;0,hist!B113/hist!$D$2,0)</f>
        <v>7.0215377536649536E-4</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8.957657158164252E-2</v>
      </c>
      <c r="D116" s="50">
        <f>IF(hist!$D$2&gt;0,hist!B116/hist!$D$2,0)</f>
        <v>3.3017930163995498E-4</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0.12377852394983897</v>
      </c>
      <c r="D118" s="50">
        <f>IF(hist!$D$2&gt;0,hist!B118/hist!$D$2,0)</f>
        <v>2.4658895746678441E-4</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5.6840328177270548E-2</v>
      </c>
      <c r="D121" s="50">
        <f>IF(hist!$D$2&gt;0,hist!B121/hist!$D$2,0)</f>
        <v>1.6718068834634125E-4</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7.2393987154488776E-2</v>
      </c>
      <c r="D124" s="50">
        <f>IF(hist!$D$2&gt;0,hist!B124/hist!$D$2,0)</f>
        <v>1.5881973554597248E-4</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3.7622147605016101E-2</v>
      </c>
      <c r="D126" s="50">
        <f>IF(hist!$D$2&gt;0,hist!B126/hist!$D$2,0)</f>
        <v>7.9411466425529333E-5</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3.5097711854376011E-2</v>
      </c>
      <c r="D129" s="50">
        <f>IF(hist!$D$2&gt;0,hist!B129/hist!$D$2,0)</f>
        <v>5.43318053295092E-5</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1.8322483382443636E-2</v>
      </c>
      <c r="D131" s="50">
        <f>IF(hist!$D$2&gt;0,hist!B131/hist!$D$2,0)</f>
        <v>2.9255341538575244E-5</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3.6644904468518531E-3</v>
      </c>
      <c r="D134" s="50">
        <f>IF(hist!$D$2&gt;0,hist!B134/hist!$D$2,0)</f>
        <v>4.1788777476412943E-6</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3.6644904468518531E-3</v>
      </c>
      <c r="D136" s="50">
        <f>IF(hist!$D$2&gt;0,hist!B136/hist!$D$2,0)</f>
        <v>4.1788777476412943E-6</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2.2475533101175532E-2</v>
      </c>
      <c r="D139" s="50">
        <f>IF(hist!$D$2&gt;0,hist!B139/hist!$D$2,0)</f>
        <v>2.5076463790933947E-5</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v>
      </c>
      <c r="D142" s="50">
        <f>IF(hist!$D$2&gt;0,hist!B142/hist!$D$2,0)</f>
        <v>0</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v>
      </c>
      <c r="D144" s="50">
        <f>IF(hist!$D$2&gt;0,hist!B144/hist!$D$2,0)</f>
        <v>0</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0</v>
      </c>
      <c r="D147" s="50">
        <f>IF(hist!$D$2&gt;0,hist!B147/hist!$D$2,0)</f>
        <v>0</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0</v>
      </c>
      <c r="D149" s="50">
        <f>IF(hist!$D$2&gt;0,hist!B149/hist!$D$2,0)</f>
        <v>0</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v>
      </c>
      <c r="D152" s="50">
        <f>IF(hist!$D$2&gt;0,hist!B152/hist!$D$2,0)</f>
        <v>0</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v>
      </c>
      <c r="D154" s="50">
        <f>IF(hist!$D$2&gt;0,hist!B154/hist!$D$2,0)</f>
        <v>0</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v>
      </c>
      <c r="D157" s="50">
        <f>IF(hist!$D$2&gt;0,hist!B157/hist!$D$2,0)</f>
        <v>0</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v>
      </c>
      <c r="D160" s="50">
        <f>IF(hist!$D$2&gt;0,hist!B160/hist!$D$2,0)</f>
        <v>0</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CO40:CO42"/>
    <mergeCell ref="CR43:CR45"/>
    <mergeCell ref="CR46:CR48"/>
    <mergeCell ref="CM46:CM48"/>
    <mergeCell ref="CP46:CP48"/>
    <mergeCell ref="CS36:CS39"/>
    <mergeCell ref="CS40:CS42"/>
    <mergeCell ref="CS43:CS45"/>
    <mergeCell ref="CQ36:CQ39"/>
    <mergeCell ref="CR36:CR39"/>
    <mergeCell ref="CQ40:CQ42"/>
    <mergeCell ref="CR40:CR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25.583400000000001</v>
      </c>
      <c r="C5" s="49">
        <v>4.0309999999999997</v>
      </c>
      <c r="D5" s="49">
        <v>15.7563</v>
      </c>
      <c r="E5" s="49">
        <v>20</v>
      </c>
      <c r="F5" s="49">
        <v>18.661000000000001</v>
      </c>
      <c r="G5" s="49">
        <v>50</v>
      </c>
      <c r="H5" s="49">
        <v>32.557899999999997</v>
      </c>
    </row>
    <row r="6" spans="1:10">
      <c r="A6" t="s">
        <v>1111</v>
      </c>
      <c r="B6" s="49">
        <v>39.966099999999997</v>
      </c>
      <c r="C6" s="49">
        <v>2.1263299999999998</v>
      </c>
      <c r="D6" s="49">
        <v>5.3203399999999998</v>
      </c>
      <c r="E6" s="49">
        <v>20</v>
      </c>
      <c r="F6" s="49">
        <v>35.127400000000002</v>
      </c>
      <c r="G6" s="49">
        <v>40</v>
      </c>
      <c r="H6" s="49">
        <v>41.722999999999999</v>
      </c>
    </row>
    <row r="7" spans="1:10">
      <c r="A7" t="s">
        <v>1112</v>
      </c>
      <c r="B7" s="49">
        <v>35.196800000000003</v>
      </c>
      <c r="C7" s="49">
        <v>4.2784300000000002</v>
      </c>
      <c r="D7" s="49">
        <v>12.1557</v>
      </c>
      <c r="E7" s="49">
        <v>15</v>
      </c>
      <c r="F7" s="49">
        <v>16.345500000000001</v>
      </c>
      <c r="G7" s="49">
        <v>40</v>
      </c>
      <c r="H7" s="49">
        <v>39.297400000000003</v>
      </c>
    </row>
    <row r="8" spans="1:10">
      <c r="A8" t="s">
        <v>1113</v>
      </c>
      <c r="B8" s="49">
        <v>32.251399999999997</v>
      </c>
      <c r="C8" s="49">
        <v>3.9901300000000002</v>
      </c>
      <c r="D8" s="49">
        <v>12.372</v>
      </c>
      <c r="E8" s="49">
        <v>20</v>
      </c>
      <c r="F8" s="49">
        <v>22.773900000000001</v>
      </c>
      <c r="G8" s="49">
        <v>50</v>
      </c>
      <c r="H8" s="49">
        <v>35.773800000000001</v>
      </c>
    </row>
    <row r="9" spans="1:10">
      <c r="A9" t="s">
        <v>1114</v>
      </c>
      <c r="B9" s="49">
        <v>74.331500000000005</v>
      </c>
      <c r="C9" s="49">
        <v>2.7814899999999998</v>
      </c>
      <c r="D9" s="49">
        <v>3.7420100000000001</v>
      </c>
      <c r="E9" s="49">
        <v>50</v>
      </c>
      <c r="F9" s="49">
        <v>70.245999999999995</v>
      </c>
      <c r="G9" s="49">
        <v>100</v>
      </c>
      <c r="H9" s="49">
        <v>82.680800000000005</v>
      </c>
    </row>
    <row r="10" spans="1:10">
      <c r="A10" t="s">
        <v>1115</v>
      </c>
      <c r="B10" s="49">
        <v>66.790400000000005</v>
      </c>
      <c r="C10" s="49">
        <v>1.31155</v>
      </c>
      <c r="D10" s="49">
        <v>1.9636899999999999</v>
      </c>
      <c r="E10" s="49">
        <v>40</v>
      </c>
      <c r="F10" s="49">
        <v>65.675399999999996</v>
      </c>
      <c r="G10" s="49">
        <v>100</v>
      </c>
      <c r="H10" s="49">
        <v>69.625699999999995</v>
      </c>
    </row>
    <row r="11" spans="1:10">
      <c r="A11" t="s">
        <v>1116</v>
      </c>
      <c r="B11" s="49">
        <v>10.7736</v>
      </c>
      <c r="C11" s="49">
        <v>0.86135600000000001</v>
      </c>
      <c r="D11" s="49">
        <v>7.9950799999999997</v>
      </c>
      <c r="E11" s="49">
        <v>10</v>
      </c>
      <c r="F11" s="49">
        <v>8.9468300000000003</v>
      </c>
      <c r="G11" s="49">
        <v>50</v>
      </c>
      <c r="H11" s="49">
        <v>12.3071</v>
      </c>
    </row>
    <row r="12" spans="1:10">
      <c r="A12" t="s">
        <v>1117</v>
      </c>
      <c r="B12" s="49">
        <v>70.715299999999999</v>
      </c>
      <c r="C12" s="49">
        <v>1.4646399999999999</v>
      </c>
      <c r="D12" s="49">
        <v>2.07118</v>
      </c>
      <c r="E12" s="49">
        <v>50</v>
      </c>
      <c r="F12" s="49">
        <v>68.828100000000006</v>
      </c>
      <c r="G12" s="49">
        <v>100</v>
      </c>
      <c r="H12" s="49">
        <v>76.124300000000005</v>
      </c>
    </row>
    <row r="13" spans="1:10">
      <c r="A13" t="s">
        <v>1118</v>
      </c>
      <c r="B13" s="49">
        <v>13.9268</v>
      </c>
      <c r="C13" s="49">
        <v>1.43598</v>
      </c>
      <c r="D13" s="49">
        <v>10.3109</v>
      </c>
      <c r="E13" s="49">
        <v>10</v>
      </c>
      <c r="F13" s="49">
        <v>11.539</v>
      </c>
      <c r="G13" s="49">
        <v>25</v>
      </c>
      <c r="H13" s="49">
        <v>16.3445</v>
      </c>
      <c r="J13" s="49"/>
    </row>
    <row r="14" spans="1:10">
      <c r="A14" t="s">
        <v>1119</v>
      </c>
      <c r="B14" s="49">
        <v>14.3598</v>
      </c>
      <c r="C14" s="49">
        <v>3.76939</v>
      </c>
      <c r="D14" s="49">
        <v>26.249600000000001</v>
      </c>
      <c r="E14" s="49">
        <v>10</v>
      </c>
      <c r="F14" s="49">
        <v>0.498199</v>
      </c>
      <c r="G14" s="49">
        <v>50</v>
      </c>
      <c r="H14" s="49">
        <v>14.6265</v>
      </c>
    </row>
    <row r="15" spans="1:10">
      <c r="A15" t="s">
        <v>1120</v>
      </c>
      <c r="B15" s="49">
        <v>-8.3378800000000003E-2</v>
      </c>
      <c r="C15" s="49">
        <v>0</v>
      </c>
      <c r="D15" s="49">
        <v>0</v>
      </c>
      <c r="E15" s="49">
        <v>0</v>
      </c>
      <c r="F15" s="49">
        <v>0</v>
      </c>
      <c r="G15" s="49">
        <v>0</v>
      </c>
      <c r="H15" s="49">
        <v>0</v>
      </c>
    </row>
    <row r="16" spans="1:10">
      <c r="A16" t="s">
        <v>1121</v>
      </c>
      <c r="B16" s="49">
        <v>-0.17330000000000001</v>
      </c>
      <c r="C16" s="49">
        <v>0</v>
      </c>
      <c r="D16" s="49">
        <v>0</v>
      </c>
      <c r="E16" s="49">
        <v>0</v>
      </c>
      <c r="F16" s="49">
        <v>0</v>
      </c>
      <c r="G16" s="49">
        <v>0</v>
      </c>
      <c r="H16" s="49">
        <v>0</v>
      </c>
    </row>
    <row r="17" spans="1:8">
      <c r="A17" t="s">
        <v>1122</v>
      </c>
      <c r="B17" s="49">
        <v>9.7936800000000002</v>
      </c>
      <c r="C17" s="49">
        <v>0</v>
      </c>
      <c r="D17" s="49">
        <v>0</v>
      </c>
      <c r="E17" s="49">
        <v>0</v>
      </c>
      <c r="F17" s="49">
        <v>0</v>
      </c>
      <c r="G17" s="49">
        <v>0</v>
      </c>
      <c r="H17" s="49">
        <v>0</v>
      </c>
    </row>
    <row r="18" spans="1:8">
      <c r="A18" t="s">
        <v>1123</v>
      </c>
      <c r="B18" s="49">
        <v>0.60726500000000005</v>
      </c>
      <c r="C18" s="49">
        <v>0</v>
      </c>
      <c r="D18" s="49">
        <v>0</v>
      </c>
      <c r="E18" s="49">
        <v>0</v>
      </c>
      <c r="F18" s="49">
        <v>0</v>
      </c>
      <c r="G18" s="49">
        <v>0</v>
      </c>
      <c r="H18" s="49">
        <v>0</v>
      </c>
    </row>
    <row r="19" spans="1:8">
      <c r="A19" t="s">
        <v>1124</v>
      </c>
      <c r="B19" s="49">
        <v>0.73249399999999998</v>
      </c>
      <c r="C19" s="49">
        <v>0</v>
      </c>
      <c r="D19" s="49">
        <v>0</v>
      </c>
      <c r="E19" s="49">
        <v>0</v>
      </c>
      <c r="F19" s="49">
        <v>0</v>
      </c>
      <c r="G19" s="49">
        <v>0</v>
      </c>
      <c r="H19" s="49">
        <v>0</v>
      </c>
    </row>
    <row r="20" spans="1:8">
      <c r="A20" t="s">
        <v>1125</v>
      </c>
      <c r="B20" s="49">
        <v>8.6825800000000005E-3</v>
      </c>
      <c r="C20" s="49">
        <v>4.0136399999999997E-3</v>
      </c>
      <c r="D20" s="49">
        <v>0.46226400000000001</v>
      </c>
      <c r="E20" s="49">
        <v>0</v>
      </c>
      <c r="F20" s="49">
        <v>7.0674300000000004E-3</v>
      </c>
      <c r="G20" s="49">
        <v>0</v>
      </c>
      <c r="H20" s="49">
        <v>5.5163400000000001E-2</v>
      </c>
    </row>
    <row r="21" spans="1:8">
      <c r="A21" t="s">
        <v>1126</v>
      </c>
      <c r="B21" s="49">
        <v>1.7191000000000001E-2</v>
      </c>
      <c r="C21" s="49">
        <v>1.9198099999999999E-2</v>
      </c>
      <c r="D21" s="49">
        <v>1.11676</v>
      </c>
      <c r="E21" s="49">
        <v>0</v>
      </c>
      <c r="F21" s="49">
        <v>8.5732499999999993E-3</v>
      </c>
      <c r="G21" s="49">
        <v>0</v>
      </c>
      <c r="H21" s="49">
        <v>0.120744</v>
      </c>
    </row>
    <row r="22" spans="1:8">
      <c r="A22" t="s">
        <v>1127</v>
      </c>
      <c r="B22" s="49">
        <v>23.760999999999999</v>
      </c>
      <c r="C22" s="49">
        <v>8.1472099999999994</v>
      </c>
      <c r="D22" s="49">
        <v>0.34288200000000002</v>
      </c>
      <c r="E22" s="49">
        <v>0</v>
      </c>
      <c r="F22" s="49">
        <v>16.453299999999999</v>
      </c>
      <c r="G22" s="49">
        <v>0</v>
      </c>
      <c r="H22" s="49">
        <v>41.174100000000003</v>
      </c>
    </row>
    <row r="23" spans="1:8">
      <c r="A23" t="s">
        <v>1128</v>
      </c>
      <c r="B23" s="49">
        <v>14.177199999999999</v>
      </c>
      <c r="C23" s="49">
        <v>0.44771699999999998</v>
      </c>
      <c r="D23" s="49">
        <v>3.1579999999999997E-2</v>
      </c>
      <c r="E23" s="49">
        <v>0</v>
      </c>
      <c r="F23" s="49">
        <v>12.858700000000001</v>
      </c>
      <c r="G23" s="49">
        <v>0</v>
      </c>
      <c r="H23" s="49">
        <v>14.552899999999999</v>
      </c>
    </row>
    <row r="24" spans="1:8">
      <c r="A24" t="s">
        <v>1129</v>
      </c>
      <c r="B24" s="49">
        <v>8.8873700000000003E-3</v>
      </c>
      <c r="C24" s="49">
        <v>2.48007E-3</v>
      </c>
      <c r="D24" s="49">
        <v>0.279055</v>
      </c>
      <c r="E24" s="49">
        <v>0</v>
      </c>
      <c r="F24" s="49">
        <v>7.7530000000000003E-3</v>
      </c>
      <c r="G24" s="49">
        <v>0</v>
      </c>
      <c r="H24" s="49">
        <v>1.8220799999999999E-2</v>
      </c>
    </row>
    <row r="25" spans="1:8">
      <c r="A25" t="s">
        <v>1130</v>
      </c>
      <c r="B25" s="49">
        <v>1.6702499999999999E-2</v>
      </c>
      <c r="C25" s="49">
        <v>1.16101E-2</v>
      </c>
      <c r="D25" s="49">
        <v>0.69511100000000003</v>
      </c>
      <c r="E25" s="49">
        <v>0</v>
      </c>
      <c r="F25" s="49">
        <v>1.1449900000000001E-2</v>
      </c>
      <c r="G25" s="49">
        <v>0</v>
      </c>
      <c r="H25" s="49">
        <v>4.8041599999999997E-2</v>
      </c>
    </row>
    <row r="26" spans="1:8">
      <c r="A26" t="s">
        <v>1131</v>
      </c>
      <c r="B26" s="49">
        <v>1.7916399999999999E-3</v>
      </c>
      <c r="C26" s="49">
        <v>4.16439E-4</v>
      </c>
      <c r="D26" s="49">
        <v>0.232435</v>
      </c>
      <c r="E26" s="49">
        <v>0</v>
      </c>
      <c r="F26" s="173">
        <v>1.5144900000000001E-3</v>
      </c>
      <c r="G26" s="49">
        <v>0</v>
      </c>
      <c r="H26" s="49">
        <v>5.0071999999999998E-3</v>
      </c>
    </row>
    <row r="27" spans="1:8">
      <c r="A27" t="s">
        <v>1132</v>
      </c>
      <c r="B27" s="173">
        <v>-1.36392E-5</v>
      </c>
      <c r="C27" s="49">
        <v>3.0916500000000003E-4</v>
      </c>
      <c r="D27" s="49">
        <v>-22.667400000000001</v>
      </c>
      <c r="E27" s="49">
        <v>0</v>
      </c>
      <c r="F27" s="49">
        <v>-2.4277700000000001E-3</v>
      </c>
      <c r="G27" s="49">
        <v>0</v>
      </c>
      <c r="H27" s="49">
        <v>2.91223E-3</v>
      </c>
    </row>
    <row r="28" spans="1:8">
      <c r="A28" t="s">
        <v>1133</v>
      </c>
      <c r="B28" s="49">
        <v>2.94488E-3</v>
      </c>
      <c r="C28" s="49">
        <v>1.76118E-3</v>
      </c>
      <c r="D28" s="49">
        <v>0.59804800000000002</v>
      </c>
      <c r="E28" s="49">
        <v>0</v>
      </c>
      <c r="F28" s="49">
        <v>1.77192E-3</v>
      </c>
      <c r="G28" s="49">
        <v>0</v>
      </c>
      <c r="H28" s="49">
        <v>1.07639E-2</v>
      </c>
    </row>
    <row r="29" spans="1:8">
      <c r="A29" t="s">
        <v>1134</v>
      </c>
      <c r="B29" s="49">
        <v>64.839799999999997</v>
      </c>
      <c r="C29" s="49">
        <v>6.2825899999999999</v>
      </c>
      <c r="D29" s="49">
        <v>9.6893999999999994E-2</v>
      </c>
      <c r="E29" s="49">
        <v>0</v>
      </c>
      <c r="F29" s="49">
        <v>53.006999999999998</v>
      </c>
      <c r="G29" s="49">
        <v>0</v>
      </c>
      <c r="H29" s="49">
        <v>78.859099999999998</v>
      </c>
    </row>
    <row r="30" spans="1:8">
      <c r="A30" t="s">
        <v>1135</v>
      </c>
      <c r="B30" s="49">
        <v>15.5078</v>
      </c>
      <c r="C30" s="49">
        <v>1.1105499999999999</v>
      </c>
      <c r="D30" s="49">
        <v>7.1611999999999995E-2</v>
      </c>
      <c r="E30" s="49">
        <v>0</v>
      </c>
      <c r="F30" s="49">
        <v>12.6997</v>
      </c>
      <c r="G30" s="49">
        <v>0</v>
      </c>
      <c r="H30" s="49">
        <v>16.701000000000001</v>
      </c>
    </row>
    <row r="31" spans="1:8">
      <c r="A31" t="s">
        <v>1136</v>
      </c>
      <c r="B31" s="49">
        <v>95.210899999999995</v>
      </c>
      <c r="C31" s="49">
        <v>12.744899999999999</v>
      </c>
      <c r="D31" s="49">
        <v>0.13386000000000001</v>
      </c>
      <c r="E31" s="49">
        <v>0</v>
      </c>
      <c r="F31" s="49">
        <v>65.881</v>
      </c>
      <c r="G31" s="49">
        <v>0</v>
      </c>
      <c r="H31" s="49">
        <v>101.24299999999999</v>
      </c>
    </row>
    <row r="32" spans="1:8">
      <c r="A32" t="s">
        <v>1137</v>
      </c>
      <c r="B32" s="49">
        <v>0.351968</v>
      </c>
      <c r="C32" s="49">
        <v>4.2784299999999997E-2</v>
      </c>
      <c r="D32" s="49">
        <v>0.121557</v>
      </c>
      <c r="E32" s="49">
        <v>0.15</v>
      </c>
      <c r="F32" s="49">
        <v>0.16345499999999999</v>
      </c>
      <c r="G32" s="49">
        <v>0.4</v>
      </c>
      <c r="H32" s="49">
        <v>0.39297399999999999</v>
      </c>
    </row>
    <row r="33" spans="1:8">
      <c r="A33" t="s">
        <v>1138</v>
      </c>
      <c r="B33" s="49">
        <v>0.222832</v>
      </c>
      <c r="C33" s="49">
        <v>1.4212700000000001E-3</v>
      </c>
      <c r="D33" s="49">
        <v>6.3782200000000004E-3</v>
      </c>
      <c r="E33" s="49">
        <v>0</v>
      </c>
      <c r="F33" s="49">
        <v>0.21654899999999999</v>
      </c>
      <c r="G33" s="49">
        <v>0</v>
      </c>
      <c r="H33" s="49">
        <v>0.22415499999999999</v>
      </c>
    </row>
    <row r="34" spans="1:8">
      <c r="A34" t="s">
        <v>1139</v>
      </c>
      <c r="B34" s="49">
        <v>0.139268</v>
      </c>
      <c r="C34" s="49">
        <v>1.4359800000000001E-2</v>
      </c>
      <c r="D34" s="49">
        <v>0.10310900000000001</v>
      </c>
      <c r="E34" s="49">
        <v>0.1</v>
      </c>
      <c r="F34" s="49">
        <v>0.11539000000000001</v>
      </c>
      <c r="G34" s="49">
        <v>0.25</v>
      </c>
      <c r="H34" s="49">
        <v>0.16344500000000001</v>
      </c>
    </row>
    <row r="35" spans="1:8">
      <c r="A35" t="s">
        <v>1140</v>
      </c>
      <c r="B35" s="49">
        <v>5.5475200000000002E-2</v>
      </c>
      <c r="C35" s="49">
        <v>1.4571499999999999E-2</v>
      </c>
      <c r="D35" s="49">
        <v>0.26266600000000001</v>
      </c>
      <c r="E35" s="49">
        <v>0</v>
      </c>
      <c r="F35" s="49">
        <v>2.77904E-2</v>
      </c>
      <c r="G35" s="49">
        <v>0</v>
      </c>
      <c r="H35" s="49">
        <v>7.3569599999999999E-2</v>
      </c>
    </row>
    <row r="36" spans="1:8">
      <c r="A36" t="s">
        <v>1141</v>
      </c>
      <c r="B36" s="49">
        <v>0.12897500000000001</v>
      </c>
      <c r="C36" s="49">
        <v>5.8120699999999997E-2</v>
      </c>
      <c r="D36" s="49">
        <v>0.45063500000000001</v>
      </c>
      <c r="E36" s="49">
        <v>0</v>
      </c>
      <c r="F36" s="49">
        <v>4.5100899999999999E-2</v>
      </c>
      <c r="G36" s="49">
        <v>0</v>
      </c>
      <c r="H36" s="49">
        <v>0.34739100000000001</v>
      </c>
    </row>
    <row r="37" spans="1:8">
      <c r="A37" t="s">
        <v>1142</v>
      </c>
      <c r="B37" s="49">
        <v>0.143598</v>
      </c>
      <c r="C37" s="49">
        <v>3.7693900000000002E-2</v>
      </c>
      <c r="D37" s="49">
        <v>0.26249600000000001</v>
      </c>
      <c r="E37" s="49">
        <v>0.1</v>
      </c>
      <c r="F37" s="49">
        <v>4.9819900000000004E-3</v>
      </c>
      <c r="G37" s="49">
        <v>0.5</v>
      </c>
      <c r="H37" s="49">
        <v>0.14626500000000001</v>
      </c>
    </row>
    <row r="38" spans="1:8">
      <c r="A38" t="s">
        <v>1143</v>
      </c>
      <c r="B38" s="49">
        <v>-37.266599999999997</v>
      </c>
      <c r="C38" s="49">
        <v>78.738699999999994</v>
      </c>
      <c r="D38" s="49">
        <v>-2.1128499999999999</v>
      </c>
      <c r="E38" s="49">
        <v>0</v>
      </c>
      <c r="F38" s="49">
        <v>-152.75700000000001</v>
      </c>
      <c r="G38" s="49">
        <v>0</v>
      </c>
      <c r="H38" s="49">
        <v>296.05099999999999</v>
      </c>
    </row>
    <row r="39" spans="1:8">
      <c r="A39" t="s">
        <v>1144</v>
      </c>
      <c r="B39" s="49">
        <v>-5.71631</v>
      </c>
      <c r="C39" s="49">
        <v>3.7725300000000002</v>
      </c>
      <c r="D39" s="49">
        <v>-0.65995899999999996</v>
      </c>
      <c r="E39" s="49">
        <v>0</v>
      </c>
      <c r="F39" s="49">
        <v>-12.343299999999999</v>
      </c>
      <c r="G39" s="49">
        <v>0</v>
      </c>
      <c r="H39" s="49">
        <v>8.0980600000000003</v>
      </c>
    </row>
    <row r="40" spans="1:8">
      <c r="A40" t="s">
        <v>1145</v>
      </c>
      <c r="B40" s="49">
        <v>1.0538099999999999</v>
      </c>
      <c r="C40" s="49">
        <v>0.28084900000000002</v>
      </c>
      <c r="D40" s="49">
        <v>0.26650699999999999</v>
      </c>
      <c r="E40" s="49">
        <v>0</v>
      </c>
      <c r="F40" s="49">
        <v>0.78853200000000001</v>
      </c>
      <c r="G40" s="49">
        <v>0</v>
      </c>
      <c r="H40" s="49">
        <v>1.59589</v>
      </c>
    </row>
    <row r="41" spans="1:8">
      <c r="A41" t="s">
        <v>1146</v>
      </c>
      <c r="B41" s="49">
        <v>-0.557423</v>
      </c>
      <c r="C41" s="49">
        <v>0.46761399999999997</v>
      </c>
      <c r="D41" s="49">
        <v>-0.83888499999999999</v>
      </c>
      <c r="E41" s="49">
        <v>0</v>
      </c>
      <c r="F41" s="49">
        <v>-0.90270300000000003</v>
      </c>
      <c r="G41" s="49">
        <v>0</v>
      </c>
      <c r="H41" s="49">
        <v>0.92366400000000004</v>
      </c>
    </row>
    <row r="42" spans="1:8">
      <c r="A42" t="s">
        <v>1147</v>
      </c>
      <c r="B42" s="49">
        <v>-0.20504900000000001</v>
      </c>
      <c r="C42" s="49">
        <v>7.3836299999999994E-2</v>
      </c>
      <c r="D42" s="49">
        <v>-0.36009099999999999</v>
      </c>
      <c r="E42" s="49">
        <v>0</v>
      </c>
      <c r="F42" s="49">
        <v>-0.33137100000000003</v>
      </c>
      <c r="G42" s="49">
        <v>0</v>
      </c>
      <c r="H42" s="49">
        <v>-3.2807500000000003E-2</v>
      </c>
    </row>
    <row r="43" spans="1:8">
      <c r="A43" t="s">
        <v>1148</v>
      </c>
      <c r="B43" s="49">
        <v>0.10910300000000001</v>
      </c>
      <c r="C43" s="49">
        <v>2.9010000000000001E-2</v>
      </c>
      <c r="D43" s="49">
        <v>0.26589600000000002</v>
      </c>
      <c r="E43" s="49">
        <v>0</v>
      </c>
      <c r="F43" s="49">
        <v>8.1435499999999994E-2</v>
      </c>
      <c r="G43" s="49">
        <v>0</v>
      </c>
      <c r="H43" s="49">
        <v>0.15867899999999999</v>
      </c>
    </row>
    <row r="44" spans="1:8">
      <c r="A44" t="s">
        <v>1149</v>
      </c>
      <c r="B44" s="49">
        <v>-5.8784200000000002</v>
      </c>
      <c r="C44" s="49">
        <v>2.1951100000000001</v>
      </c>
      <c r="D44" s="49">
        <v>-0.373419</v>
      </c>
      <c r="E44" s="49">
        <v>0</v>
      </c>
      <c r="F44" s="49">
        <v>-12.324</v>
      </c>
      <c r="G44" s="49">
        <v>0</v>
      </c>
      <c r="H44" s="49">
        <v>-1.7898099999999999</v>
      </c>
    </row>
    <row r="45" spans="1:8">
      <c r="A45" t="s">
        <v>1150</v>
      </c>
      <c r="B45" s="49">
        <v>54.933399999999999</v>
      </c>
      <c r="C45" s="49">
        <v>3.7616900000000002</v>
      </c>
      <c r="D45" s="49">
        <v>6.8477300000000005E-2</v>
      </c>
      <c r="E45" s="49">
        <v>0</v>
      </c>
      <c r="F45" s="49">
        <v>50.552999999999997</v>
      </c>
      <c r="G45" s="49">
        <v>0</v>
      </c>
      <c r="H45" s="49">
        <v>64.819900000000004</v>
      </c>
    </row>
    <row r="46" spans="1:8">
      <c r="A46" t="s">
        <v>1151</v>
      </c>
      <c r="B46" s="49">
        <v>24.7973</v>
      </c>
      <c r="C46" s="49">
        <v>4.3807700000000001</v>
      </c>
      <c r="D46" s="49">
        <v>0.17666299999999999</v>
      </c>
      <c r="E46" s="49">
        <v>0</v>
      </c>
      <c r="F46" s="49">
        <v>16.774899999999999</v>
      </c>
      <c r="G46" s="49">
        <v>0</v>
      </c>
      <c r="H46" s="49">
        <v>32.052100000000003</v>
      </c>
    </row>
    <row r="47" spans="1:8">
      <c r="A47" t="s">
        <v>1152</v>
      </c>
      <c r="B47" s="49">
        <v>0.30065599999999998</v>
      </c>
      <c r="C47" s="49">
        <v>0.106558</v>
      </c>
      <c r="D47" s="49">
        <v>0.35441899999999998</v>
      </c>
      <c r="E47" s="49">
        <v>0</v>
      </c>
      <c r="F47" s="49">
        <v>0.20318900000000001</v>
      </c>
      <c r="G47" s="49">
        <v>0</v>
      </c>
      <c r="H47" s="49">
        <v>0.58063399999999998</v>
      </c>
    </row>
    <row r="48" spans="1:8">
      <c r="A48" t="s">
        <v>1153</v>
      </c>
      <c r="B48" s="49">
        <v>0.55146200000000001</v>
      </c>
      <c r="C48" s="49">
        <v>6.4354499999999995E-2</v>
      </c>
      <c r="D48" s="49">
        <v>0.116698</v>
      </c>
      <c r="E48" s="49">
        <v>0</v>
      </c>
      <c r="F48" s="49">
        <v>0.48079699999999997</v>
      </c>
      <c r="G48" s="49">
        <v>0</v>
      </c>
      <c r="H48" s="49">
        <v>0.72277100000000005</v>
      </c>
    </row>
    <row r="50" spans="1:4">
      <c r="A50" t="str">
        <f>lang!B7</f>
        <v>긍정감정</v>
      </c>
      <c r="B50" s="134">
        <f>SUM(B9:B12)</f>
        <v>222.61079999999998</v>
      </c>
      <c r="C50" s="134"/>
      <c r="D50" s="134">
        <f t="shared" ref="D50" si="0">SUM(D9:D12)</f>
        <v>15.77196</v>
      </c>
    </row>
    <row r="51" spans="1:4">
      <c r="A51" t="str">
        <f>lang!B8</f>
        <v>부정감정</v>
      </c>
      <c r="B51" s="134">
        <f>SUM(B5:B8)</f>
        <v>132.99769999999998</v>
      </c>
      <c r="C51" s="134"/>
      <c r="D51" s="134">
        <f t="shared" ref="D51" si="1">SUM(D5:D8)</f>
        <v>45.604339999999993</v>
      </c>
    </row>
    <row r="52" spans="1:4">
      <c r="A52" t="str">
        <f>lang!B9</f>
        <v>생리감정</v>
      </c>
      <c r="B52" s="134">
        <f>SUM(B13:B14)</f>
        <v>28.2866</v>
      </c>
      <c r="C52" s="134"/>
      <c r="D52" s="134">
        <f t="shared" ref="D52" si="2">SUM(D13:D14)</f>
        <v>36.560500000000005</v>
      </c>
    </row>
    <row r="53" spans="1:4">
      <c r="B53" s="50">
        <f>SUM(B50:B52)</f>
        <v>383.89509999999996</v>
      </c>
      <c r="D53" s="50">
        <f>SUM(D50:D52)</f>
        <v>97.936800000000005</v>
      </c>
    </row>
    <row r="54" spans="1:4">
      <c r="A54" t="str">
        <f>lang!B7</f>
        <v>긍정감정</v>
      </c>
      <c r="B54" s="135">
        <f>IF(B$53&lt;&gt;0,B50/B$53,0)</f>
        <v>0.57987403329711684</v>
      </c>
      <c r="C54" s="135"/>
      <c r="D54" s="135">
        <f>IF(D$53&lt;&gt;0,D50/D$53,0)</f>
        <v>0.1610422231479893</v>
      </c>
    </row>
    <row r="55" spans="1:4">
      <c r="A55" t="str">
        <f>lang!B8</f>
        <v>부정감정</v>
      </c>
      <c r="B55" s="135">
        <f>IF(B$53&lt;&gt;0,B51/B$53,0)</f>
        <v>0.34644281732171106</v>
      </c>
      <c r="C55" s="135"/>
      <c r="D55" s="135">
        <f>IF(D$53&lt;&gt;0,D51/D$53,0)</f>
        <v>0.4656507053528397</v>
      </c>
    </row>
    <row r="56" spans="1:4">
      <c r="A56" t="str">
        <f>lang!B9</f>
        <v>생리감정</v>
      </c>
      <c r="B56" s="135">
        <f>IF(B$53&lt;&gt;0,B52/B$53,0)</f>
        <v>7.3683149381172111E-2</v>
      </c>
      <c r="C56" s="135"/>
      <c r="D56" s="135">
        <f>IF(D$53&lt;&gt;0,D52/D$53,0)</f>
        <v>0.37330707149917092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16.052299999999999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1.5359499999999999</v>
      </c>
      <c r="B8" s="49">
        <v>1.5359499999999999</v>
      </c>
    </row>
    <row r="9" spans="1:3">
      <c r="A9" s="49">
        <v>0</v>
      </c>
      <c r="B9" s="49">
        <v>0</v>
      </c>
    </row>
    <row r="10" spans="1:3">
      <c r="A10" s="49">
        <v>4.8914999999999997</v>
      </c>
      <c r="B10" s="49">
        <v>4.8914999999999997</v>
      </c>
    </row>
    <row r="11" spans="1:3">
      <c r="A11" s="49">
        <v>0</v>
      </c>
      <c r="B11" s="49">
        <v>0</v>
      </c>
    </row>
    <row r="12" spans="1:3">
      <c r="A12" s="49">
        <v>0</v>
      </c>
      <c r="B12" s="49">
        <v>0</v>
      </c>
    </row>
    <row r="13" spans="1:3">
      <c r="A13" s="49">
        <v>3.9803899999999999</v>
      </c>
      <c r="B13" s="49">
        <v>3.9803899999999999</v>
      </c>
    </row>
    <row r="14" spans="1:3">
      <c r="A14" s="49">
        <v>0</v>
      </c>
      <c r="B14" s="49">
        <v>0</v>
      </c>
    </row>
    <row r="15" spans="1:3">
      <c r="A15" s="49">
        <v>5.8392200000000001</v>
      </c>
      <c r="B15" s="49">
        <v>5.8392200000000001</v>
      </c>
    </row>
    <row r="16" spans="1:3">
      <c r="A16" s="49">
        <v>0</v>
      </c>
      <c r="B16" s="49">
        <v>0</v>
      </c>
    </row>
    <row r="17" spans="1:2">
      <c r="A17" s="49">
        <v>0</v>
      </c>
      <c r="B17" s="49">
        <v>0</v>
      </c>
    </row>
    <row r="18" spans="1:2">
      <c r="A18" s="49">
        <v>5.3254900000000003</v>
      </c>
      <c r="B18" s="49">
        <v>5.3254900000000003</v>
      </c>
    </row>
    <row r="19" spans="1:2">
      <c r="A19" s="49">
        <v>0</v>
      </c>
      <c r="B19" s="49">
        <v>0</v>
      </c>
    </row>
    <row r="20" spans="1:2">
      <c r="A20" s="49">
        <v>0</v>
      </c>
      <c r="B20" s="49">
        <v>0</v>
      </c>
    </row>
    <row r="21" spans="1:2">
      <c r="A21" s="49">
        <v>4.6810499999999999</v>
      </c>
      <c r="B21" s="49">
        <v>4.6810499999999999</v>
      </c>
    </row>
    <row r="22" spans="1:2">
      <c r="A22" s="49">
        <v>0</v>
      </c>
      <c r="B22" s="49">
        <v>0</v>
      </c>
    </row>
    <row r="23" spans="1:2">
      <c r="A23" s="49">
        <v>6.2522900000000003</v>
      </c>
      <c r="B23" s="49">
        <v>6.2522900000000003</v>
      </c>
    </row>
    <row r="24" spans="1:2">
      <c r="A24" s="49">
        <v>0</v>
      </c>
      <c r="B24" s="49">
        <v>0</v>
      </c>
    </row>
    <row r="25" spans="1:2">
      <c r="A25" s="49">
        <v>0</v>
      </c>
      <c r="B25" s="49">
        <v>0</v>
      </c>
    </row>
    <row r="26" spans="1:2">
      <c r="A26" s="49">
        <v>6.87059</v>
      </c>
      <c r="B26" s="49">
        <v>6.87059</v>
      </c>
    </row>
    <row r="27" spans="1:2">
      <c r="A27" s="49">
        <v>0</v>
      </c>
      <c r="B27" s="49">
        <v>0</v>
      </c>
    </row>
    <row r="28" spans="1:2">
      <c r="A28" s="49">
        <v>8.3241800000000001</v>
      </c>
      <c r="B28" s="49">
        <v>8.3241800000000001</v>
      </c>
    </row>
    <row r="29" spans="1:2">
      <c r="A29" s="49">
        <v>0</v>
      </c>
      <c r="B29" s="49">
        <v>0</v>
      </c>
    </row>
    <row r="30" spans="1:2">
      <c r="A30" s="49">
        <v>0</v>
      </c>
      <c r="B30" s="49">
        <v>0</v>
      </c>
    </row>
    <row r="31" spans="1:2">
      <c r="A31" s="49">
        <v>9.5254899999999996</v>
      </c>
      <c r="B31" s="49">
        <v>9.5254899999999996</v>
      </c>
    </row>
    <row r="32" spans="1:2">
      <c r="A32" s="49">
        <v>0</v>
      </c>
      <c r="B32" s="49">
        <v>0</v>
      </c>
    </row>
    <row r="33" spans="1:2">
      <c r="A33" s="49">
        <v>12.349</v>
      </c>
      <c r="B33" s="49">
        <v>12.349</v>
      </c>
    </row>
    <row r="34" spans="1:2">
      <c r="A34" s="49">
        <v>0</v>
      </c>
      <c r="B34" s="49">
        <v>0</v>
      </c>
    </row>
    <row r="35" spans="1:2">
      <c r="A35" s="49">
        <v>0</v>
      </c>
      <c r="B35" s="49">
        <v>0</v>
      </c>
    </row>
    <row r="36" spans="1:2">
      <c r="A36" s="49">
        <v>16.052299999999999</v>
      </c>
      <c r="B36" s="49">
        <v>16.052299999999999</v>
      </c>
    </row>
    <row r="37" spans="1:2">
      <c r="A37" s="49">
        <v>0</v>
      </c>
      <c r="B37" s="49">
        <v>0</v>
      </c>
    </row>
    <row r="38" spans="1:2">
      <c r="A38" s="49">
        <v>0</v>
      </c>
      <c r="B38" s="49">
        <v>0</v>
      </c>
    </row>
    <row r="39" spans="1:2">
      <c r="A39" s="49">
        <v>14.7399</v>
      </c>
      <c r="B39" s="49">
        <v>14.7399</v>
      </c>
    </row>
    <row r="40" spans="1:2">
      <c r="A40" s="49">
        <v>0</v>
      </c>
      <c r="B40" s="49">
        <v>0</v>
      </c>
    </row>
    <row r="41" spans="1:2">
      <c r="A41" s="49">
        <v>11.4693</v>
      </c>
      <c r="B41" s="49">
        <v>11.4693</v>
      </c>
    </row>
    <row r="42" spans="1:2">
      <c r="A42" s="49">
        <v>0</v>
      </c>
      <c r="B42" s="49">
        <v>0</v>
      </c>
    </row>
    <row r="43" spans="1:2">
      <c r="A43" s="49">
        <v>0</v>
      </c>
      <c r="B43" s="49">
        <v>0</v>
      </c>
    </row>
    <row r="44" spans="1:2">
      <c r="A44" s="49">
        <v>11.2536</v>
      </c>
      <c r="B44" s="49">
        <v>11.2536</v>
      </c>
    </row>
    <row r="45" spans="1:2">
      <c r="A45" s="49">
        <v>0</v>
      </c>
      <c r="B45" s="49">
        <v>0</v>
      </c>
    </row>
    <row r="46" spans="1:2">
      <c r="A46" s="49">
        <v>10.1739</v>
      </c>
      <c r="B46" s="49">
        <v>10.1739</v>
      </c>
    </row>
    <row r="47" spans="1:2">
      <c r="A47" s="49">
        <v>0</v>
      </c>
      <c r="B47" s="49">
        <v>0</v>
      </c>
    </row>
    <row r="48" spans="1:2">
      <c r="A48" s="49">
        <v>0</v>
      </c>
      <c r="B48" s="49">
        <v>0</v>
      </c>
    </row>
    <row r="49" spans="1:2">
      <c r="A49" s="49">
        <v>11.8706</v>
      </c>
      <c r="B49" s="49">
        <v>11.8706</v>
      </c>
    </row>
    <row r="50" spans="1:2">
      <c r="A50" s="49">
        <v>0</v>
      </c>
      <c r="B50" s="49">
        <v>0</v>
      </c>
    </row>
    <row r="51" spans="1:2">
      <c r="A51" s="49">
        <v>12.335900000000001</v>
      </c>
      <c r="B51" s="49">
        <v>12.335900000000001</v>
      </c>
    </row>
    <row r="52" spans="1:2">
      <c r="A52" s="49">
        <v>0</v>
      </c>
      <c r="B52" s="49">
        <v>0</v>
      </c>
    </row>
    <row r="53" spans="1:2">
      <c r="A53" s="49">
        <v>0</v>
      </c>
      <c r="B53" s="49">
        <v>0</v>
      </c>
    </row>
    <row r="54" spans="1:2">
      <c r="A54" s="49">
        <v>10.767300000000001</v>
      </c>
      <c r="B54" s="49">
        <v>10.767300000000001</v>
      </c>
    </row>
    <row r="55" spans="1:2">
      <c r="A55" s="49">
        <v>0</v>
      </c>
      <c r="B55" s="49">
        <v>0</v>
      </c>
    </row>
    <row r="56" spans="1:2">
      <c r="A56" s="49">
        <v>0</v>
      </c>
      <c r="B56" s="49">
        <v>0</v>
      </c>
    </row>
    <row r="57" spans="1:2">
      <c r="A57" s="49">
        <v>10.539899999999999</v>
      </c>
      <c r="B57" s="49">
        <v>10.539899999999999</v>
      </c>
    </row>
    <row r="58" spans="1:2">
      <c r="A58" s="49">
        <v>0</v>
      </c>
      <c r="B58" s="49">
        <v>0</v>
      </c>
    </row>
    <row r="59" spans="1:2">
      <c r="A59" s="49">
        <v>10.189500000000001</v>
      </c>
      <c r="B59" s="49">
        <v>10.189500000000001</v>
      </c>
    </row>
    <row r="60" spans="1:2">
      <c r="A60" s="49">
        <v>0</v>
      </c>
      <c r="B60" s="49">
        <v>0</v>
      </c>
    </row>
    <row r="61" spans="1:2">
      <c r="A61" s="49">
        <v>0</v>
      </c>
      <c r="B61" s="49">
        <v>0</v>
      </c>
    </row>
    <row r="62" spans="1:2">
      <c r="A62" s="49">
        <v>9.95425</v>
      </c>
      <c r="B62" s="49">
        <v>9.95425</v>
      </c>
    </row>
    <row r="63" spans="1:2">
      <c r="A63" s="49">
        <v>0</v>
      </c>
      <c r="B63" s="49">
        <v>0</v>
      </c>
    </row>
    <row r="64" spans="1:2">
      <c r="A64" s="49">
        <v>10.901999999999999</v>
      </c>
      <c r="B64" s="49">
        <v>10.901999999999999</v>
      </c>
    </row>
    <row r="65" spans="1:2">
      <c r="A65" s="49">
        <v>0</v>
      </c>
      <c r="B65" s="49">
        <v>0</v>
      </c>
    </row>
    <row r="66" spans="1:2">
      <c r="A66" s="49">
        <v>0</v>
      </c>
      <c r="B66" s="49">
        <v>0</v>
      </c>
    </row>
    <row r="67" spans="1:2">
      <c r="A67" s="49">
        <v>11.158200000000001</v>
      </c>
      <c r="B67" s="49">
        <v>11.158200000000001</v>
      </c>
    </row>
    <row r="68" spans="1:2">
      <c r="A68" s="49">
        <v>0</v>
      </c>
      <c r="B68" s="49">
        <v>0</v>
      </c>
    </row>
    <row r="69" spans="1:2">
      <c r="A69" s="49">
        <v>9.0117600000000007</v>
      </c>
      <c r="B69" s="49">
        <v>9.0117600000000007</v>
      </c>
    </row>
    <row r="70" spans="1:2">
      <c r="A70" s="49">
        <v>0</v>
      </c>
      <c r="B70" s="49">
        <v>0</v>
      </c>
    </row>
    <row r="71" spans="1:2">
      <c r="A71" s="49">
        <v>0</v>
      </c>
      <c r="B71" s="49">
        <v>0</v>
      </c>
    </row>
    <row r="72" spans="1:2">
      <c r="A72" s="49">
        <v>10.3124</v>
      </c>
      <c r="B72" s="49">
        <v>10.3124</v>
      </c>
    </row>
    <row r="73" spans="1:2">
      <c r="A73" s="49">
        <v>0</v>
      </c>
      <c r="B73" s="49">
        <v>0</v>
      </c>
    </row>
    <row r="74" spans="1:2">
      <c r="A74" s="49">
        <v>0</v>
      </c>
      <c r="B74" s="49">
        <v>0</v>
      </c>
    </row>
    <row r="75" spans="1:2">
      <c r="A75" s="49">
        <v>8.7019599999999997</v>
      </c>
      <c r="B75" s="49">
        <v>8.7019599999999997</v>
      </c>
    </row>
    <row r="76" spans="1:2">
      <c r="A76" s="49">
        <v>0</v>
      </c>
      <c r="B76" s="49">
        <v>0</v>
      </c>
    </row>
    <row r="77" spans="1:2">
      <c r="A77" s="49">
        <v>8.0588200000000008</v>
      </c>
      <c r="B77" s="49">
        <v>8.0588200000000008</v>
      </c>
    </row>
    <row r="78" spans="1:2">
      <c r="A78" s="49">
        <v>0</v>
      </c>
      <c r="B78" s="49">
        <v>0</v>
      </c>
    </row>
    <row r="79" spans="1:2">
      <c r="A79" s="49">
        <v>0</v>
      </c>
      <c r="B79" s="49">
        <v>0</v>
      </c>
    </row>
    <row r="80" spans="1:2">
      <c r="A80" s="49">
        <v>9.8915000000000006</v>
      </c>
      <c r="B80" s="49">
        <v>9.8915000000000006</v>
      </c>
    </row>
    <row r="81" spans="1:2">
      <c r="A81" s="49">
        <v>0</v>
      </c>
      <c r="B81" s="49">
        <v>0</v>
      </c>
    </row>
    <row r="82" spans="1:2">
      <c r="A82" s="49">
        <v>8.3751599999999993</v>
      </c>
      <c r="B82" s="49">
        <v>8.3751599999999993</v>
      </c>
    </row>
    <row r="83" spans="1:2">
      <c r="A83" s="49">
        <v>0</v>
      </c>
      <c r="B83" s="49">
        <v>0</v>
      </c>
    </row>
    <row r="84" spans="1:2">
      <c r="A84" s="49">
        <v>0</v>
      </c>
      <c r="B84" s="49">
        <v>0</v>
      </c>
    </row>
    <row r="85" spans="1:2">
      <c r="A85" s="49">
        <v>8.0928100000000001</v>
      </c>
      <c r="B85" s="49">
        <v>8.0928100000000001</v>
      </c>
    </row>
    <row r="86" spans="1:2">
      <c r="A86" s="49">
        <v>0</v>
      </c>
      <c r="B86" s="49">
        <v>0</v>
      </c>
    </row>
    <row r="87" spans="1:2">
      <c r="A87" s="49">
        <v>0</v>
      </c>
      <c r="B87" s="49">
        <v>0</v>
      </c>
    </row>
    <row r="88" spans="1:2">
      <c r="A88" s="49">
        <v>6.9830100000000002</v>
      </c>
      <c r="B88" s="49">
        <v>6.9830100000000002</v>
      </c>
    </row>
    <row r="89" spans="1:2">
      <c r="A89" s="49">
        <v>0</v>
      </c>
      <c r="B89" s="49">
        <v>0</v>
      </c>
    </row>
    <row r="90" spans="1:2">
      <c r="A90" s="49">
        <v>4.7660099999999996</v>
      </c>
      <c r="B90" s="49">
        <v>4.7660099999999996</v>
      </c>
    </row>
    <row r="91" spans="1:2">
      <c r="A91" s="49">
        <v>0</v>
      </c>
      <c r="B91" s="49">
        <v>0</v>
      </c>
    </row>
    <row r="92" spans="1:2">
      <c r="A92" s="49">
        <v>0</v>
      </c>
      <c r="B92" s="49">
        <v>0</v>
      </c>
    </row>
    <row r="93" spans="1:2">
      <c r="A93" s="49">
        <v>3.57124</v>
      </c>
      <c r="B93" s="49">
        <v>3.57124</v>
      </c>
    </row>
    <row r="94" spans="1:2">
      <c r="A94" s="49">
        <v>0</v>
      </c>
      <c r="B94" s="49">
        <v>0</v>
      </c>
    </row>
    <row r="95" spans="1:2">
      <c r="A95" s="49">
        <v>3.80261</v>
      </c>
      <c r="B95" s="49">
        <v>3.80261</v>
      </c>
    </row>
    <row r="96" spans="1:2">
      <c r="A96" s="49">
        <v>0</v>
      </c>
      <c r="B96" s="49">
        <v>0</v>
      </c>
    </row>
    <row r="97" spans="1:2">
      <c r="A97" s="49">
        <v>0</v>
      </c>
      <c r="B97" s="49">
        <v>0</v>
      </c>
    </row>
    <row r="98" spans="1:2">
      <c r="A98" s="49">
        <v>3.3647100000000001</v>
      </c>
      <c r="B98" s="49">
        <v>3.3647100000000001</v>
      </c>
    </row>
    <row r="99" spans="1:2">
      <c r="A99" s="49">
        <v>0</v>
      </c>
      <c r="B99" s="49">
        <v>0</v>
      </c>
    </row>
    <row r="100" spans="1:2">
      <c r="A100" s="49">
        <v>3.1424799999999999</v>
      </c>
      <c r="B100" s="49">
        <v>3.1424799999999999</v>
      </c>
    </row>
    <row r="101" spans="1:2">
      <c r="A101" s="49">
        <v>0</v>
      </c>
      <c r="B101" s="49">
        <v>0</v>
      </c>
    </row>
    <row r="102" spans="1:2">
      <c r="A102" s="49">
        <v>0</v>
      </c>
      <c r="B102" s="49">
        <v>0</v>
      </c>
    </row>
    <row r="103" spans="1:2">
      <c r="A103" s="49">
        <v>2.8235299999999999</v>
      </c>
      <c r="B103" s="49">
        <v>2.8235299999999999</v>
      </c>
    </row>
    <row r="104" spans="1:2">
      <c r="A104" s="49">
        <v>0</v>
      </c>
      <c r="B104" s="49">
        <v>0</v>
      </c>
    </row>
    <row r="105" spans="1:2">
      <c r="A105" s="49">
        <v>0</v>
      </c>
      <c r="B105" s="49">
        <v>0</v>
      </c>
    </row>
    <row r="106" spans="1:2">
      <c r="A106" s="49">
        <v>2.50719</v>
      </c>
      <c r="B106" s="49">
        <v>2.50719</v>
      </c>
    </row>
    <row r="107" spans="1:2">
      <c r="A107" s="49">
        <v>0</v>
      </c>
      <c r="B107" s="49">
        <v>0</v>
      </c>
    </row>
    <row r="108" spans="1:2">
      <c r="A108" s="49">
        <v>3.0313699999999999</v>
      </c>
      <c r="B108" s="49">
        <v>3.0313699999999999</v>
      </c>
    </row>
    <row r="109" spans="1:2">
      <c r="A109" s="49">
        <v>0</v>
      </c>
      <c r="B109" s="49">
        <v>0</v>
      </c>
    </row>
    <row r="110" spans="1:2">
      <c r="A110" s="49">
        <v>0</v>
      </c>
      <c r="B110" s="49">
        <v>0</v>
      </c>
    </row>
    <row r="111" spans="1:2">
      <c r="A111" s="49">
        <v>2.8444400000000001</v>
      </c>
      <c r="B111" s="49">
        <v>2.8444400000000001</v>
      </c>
    </row>
    <row r="112" spans="1:2">
      <c r="A112" s="49">
        <v>0</v>
      </c>
      <c r="B112" s="49">
        <v>0</v>
      </c>
    </row>
    <row r="113" spans="1:2">
      <c r="A113" s="49">
        <v>3.33203</v>
      </c>
      <c r="B113" s="49">
        <v>3.33203</v>
      </c>
    </row>
    <row r="114" spans="1:2">
      <c r="A114" s="49">
        <v>0</v>
      </c>
      <c r="B114" s="49">
        <v>0</v>
      </c>
    </row>
    <row r="115" spans="1:2">
      <c r="A115" s="49">
        <v>0</v>
      </c>
      <c r="B115" s="49">
        <v>0</v>
      </c>
    </row>
    <row r="116" spans="1:2">
      <c r="A116" s="49">
        <v>1.43791</v>
      </c>
      <c r="B116" s="49">
        <v>1.43791</v>
      </c>
    </row>
    <row r="117" spans="1:2">
      <c r="A117" s="49">
        <v>0</v>
      </c>
      <c r="B117" s="49">
        <v>0</v>
      </c>
    </row>
    <row r="118" spans="1:2">
      <c r="A118" s="49">
        <v>1.9869300000000001</v>
      </c>
      <c r="B118" s="49">
        <v>1.9869300000000001</v>
      </c>
    </row>
    <row r="119" spans="1:2">
      <c r="A119" s="49">
        <v>0</v>
      </c>
      <c r="B119" s="49">
        <v>0</v>
      </c>
    </row>
    <row r="120" spans="1:2">
      <c r="A120" s="49">
        <v>0</v>
      </c>
      <c r="B120" s="49">
        <v>0</v>
      </c>
    </row>
    <row r="121" spans="1:2">
      <c r="A121" s="49">
        <v>0.91241799999999995</v>
      </c>
      <c r="B121" s="49">
        <v>0.91241799999999995</v>
      </c>
    </row>
    <row r="122" spans="1:2">
      <c r="A122" s="49">
        <v>0</v>
      </c>
      <c r="B122" s="49">
        <v>0</v>
      </c>
    </row>
    <row r="123" spans="1:2">
      <c r="A123" s="49">
        <v>0</v>
      </c>
      <c r="B123" s="49">
        <v>0</v>
      </c>
    </row>
    <row r="124" spans="1:2">
      <c r="A124" s="49">
        <v>1.1620900000000001</v>
      </c>
      <c r="B124" s="49">
        <v>1.1620900000000001</v>
      </c>
    </row>
    <row r="125" spans="1:2">
      <c r="A125" s="49">
        <v>0</v>
      </c>
      <c r="B125" s="49">
        <v>0</v>
      </c>
    </row>
    <row r="126" spans="1:2">
      <c r="A126" s="49">
        <v>0.60392199999999996</v>
      </c>
      <c r="B126" s="49">
        <v>0.60392199999999996</v>
      </c>
    </row>
    <row r="127" spans="1:2">
      <c r="A127" s="49">
        <v>0</v>
      </c>
      <c r="B127" s="49">
        <v>0</v>
      </c>
    </row>
    <row r="128" spans="1:2">
      <c r="A128" s="49">
        <v>0</v>
      </c>
      <c r="B128" s="49">
        <v>0</v>
      </c>
    </row>
    <row r="129" spans="1:2">
      <c r="A129" s="49">
        <v>0.56339899999999998</v>
      </c>
      <c r="B129" s="49">
        <v>0.56339899999999998</v>
      </c>
    </row>
    <row r="130" spans="1:2">
      <c r="A130" s="49">
        <v>0</v>
      </c>
      <c r="B130" s="49">
        <v>0</v>
      </c>
    </row>
    <row r="131" spans="1:2">
      <c r="A131" s="49">
        <v>0.29411799999999999</v>
      </c>
      <c r="B131" s="49">
        <v>0.29411799999999999</v>
      </c>
    </row>
    <row r="132" spans="1:2">
      <c r="A132" s="49">
        <v>0</v>
      </c>
      <c r="B132" s="49">
        <v>0</v>
      </c>
    </row>
    <row r="133" spans="1:2">
      <c r="A133" s="49">
        <v>0</v>
      </c>
      <c r="B133" s="49">
        <v>0</v>
      </c>
    </row>
    <row r="134" spans="1:2">
      <c r="A134" s="49">
        <v>5.8823500000000001E-2</v>
      </c>
      <c r="B134" s="49">
        <v>5.8823500000000001E-2</v>
      </c>
    </row>
    <row r="135" spans="1:2">
      <c r="A135" s="49">
        <v>0</v>
      </c>
      <c r="B135" s="49">
        <v>0</v>
      </c>
    </row>
    <row r="136" spans="1:2">
      <c r="A136" s="49">
        <v>5.8823500000000001E-2</v>
      </c>
      <c r="B136" s="49">
        <v>5.8823500000000001E-2</v>
      </c>
    </row>
    <row r="137" spans="1:2">
      <c r="A137" s="49">
        <v>0</v>
      </c>
      <c r="B137" s="49">
        <v>0</v>
      </c>
    </row>
    <row r="138" spans="1:2">
      <c r="A138" s="49">
        <v>0</v>
      </c>
      <c r="B138" s="49">
        <v>0</v>
      </c>
    </row>
    <row r="139" spans="1:2">
      <c r="A139" s="49">
        <v>0.36078399999999999</v>
      </c>
      <c r="B139" s="49">
        <v>0.36078399999999999</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0.16895299999999999</v>
      </c>
      <c r="B2" s="49">
        <v>0.64014499999999996</v>
      </c>
      <c r="C2">
        <v>0</v>
      </c>
      <c r="D2">
        <v>0</v>
      </c>
      <c r="E2" t="s">
        <v>1161</v>
      </c>
      <c r="F2" s="49">
        <f>IF(A2&lt;&gt;"",1,"")</f>
        <v>1</v>
      </c>
      <c r="G2">
        <f>IF($H8&gt;0,LOOKUP(COUNT(A2:A1000)*$H8,F2:F1000,A2:A1000),LOOKUP(1,F2:F1000,A2:A1000))</f>
        <v>0.172295</v>
      </c>
      <c r="H2">
        <f>IF($H8&gt;0,LOOKUP(COUNT(B2:B1000)*$H8,F2:F1000,B2:B1000),LOOKUP(1,F2:F1000,B2:B1000))</f>
        <v>0.63063000000000002</v>
      </c>
      <c r="J2" s="49">
        <f>IF(A2&lt;&gt;"",A2*10,"")</f>
        <v>1.68953</v>
      </c>
      <c r="K2" s="49">
        <f>IF(B2&lt;&gt;"",B2*100,"")</f>
        <v>64.014499999999998</v>
      </c>
      <c r="L2" s="49">
        <f>IF(F2&lt;&gt;"",IF(K2&lt;&gt;0,K2/J2,0),"")</f>
        <v>37.888939527560922</v>
      </c>
    </row>
    <row r="3" spans="1:12">
      <c r="A3" s="49">
        <v>0.172295</v>
      </c>
      <c r="B3" s="49">
        <v>0.63063000000000002</v>
      </c>
      <c r="C3">
        <v>0.35236000000000001</v>
      </c>
      <c r="D3">
        <v>0</v>
      </c>
      <c r="E3" t="s">
        <v>2560</v>
      </c>
      <c r="F3" s="49">
        <f>IF(A3&lt;&gt;"",F2+1,"")</f>
        <v>2</v>
      </c>
      <c r="G3">
        <f>IF($H9&gt;0,LOOKUP(COUNT(A2:A1000)*$H9,F2:F1000,A2:A1000),LOOKUP(1,F2:F1000,A2:A1000))</f>
        <v>0.24537300000000001</v>
      </c>
      <c r="H3">
        <f>IF($H9&gt;0,LOOKUP(COUNT(B2:B1000)*$H9,F2:F1000,B2:B1000),LOOKUP(1,F2:F1000,B2:B1000))</f>
        <v>0.37868299999999999</v>
      </c>
      <c r="J3" s="49">
        <f t="shared" ref="J3:J66" si="0">IF(A3&lt;&gt;"",A3*10,"")</f>
        <v>1.72295</v>
      </c>
      <c r="K3" s="49">
        <f t="shared" ref="K3:K66" si="1">IF(B3&lt;&gt;"",B3*100,"")</f>
        <v>63.063000000000002</v>
      </c>
      <c r="L3" s="49">
        <f t="shared" ref="L3:L66" si="2">IF(F3&lt;&gt;"",IF(K3&lt;&gt;0,K3/J3,0),"")</f>
        <v>36.601758611683451</v>
      </c>
    </row>
    <row r="4" spans="1:12">
      <c r="A4" s="49">
        <v>0.17630100000000001</v>
      </c>
      <c r="B4" s="49">
        <v>0.61763900000000005</v>
      </c>
      <c r="C4">
        <v>0.77512899999999996</v>
      </c>
      <c r="D4">
        <v>0</v>
      </c>
      <c r="E4" t="s">
        <v>2561</v>
      </c>
      <c r="F4" s="49">
        <f t="shared" ref="F4:F67" si="3">IF(A4&lt;&gt;"",F3+1,"")</f>
        <v>3</v>
      </c>
      <c r="G4" s="71" t="s">
        <v>209</v>
      </c>
      <c r="H4" s="23">
        <f>IF(ISERROR(G3-G2)=FALSE,(G3-G2)*10,0)</f>
        <v>0.73077999999999999</v>
      </c>
      <c r="J4" s="49">
        <f t="shared" si="0"/>
        <v>1.7630100000000002</v>
      </c>
      <c r="K4" s="49">
        <f t="shared" si="1"/>
        <v>61.763900000000007</v>
      </c>
      <c r="L4" s="49">
        <f t="shared" si="2"/>
        <v>35.033210248382026</v>
      </c>
    </row>
    <row r="5" spans="1:12">
      <c r="A5" s="49">
        <v>0.180089</v>
      </c>
      <c r="B5" s="49">
        <v>0.60544600000000004</v>
      </c>
      <c r="C5">
        <v>1.19998</v>
      </c>
      <c r="D5">
        <v>0</v>
      </c>
      <c r="E5" t="s">
        <v>2562</v>
      </c>
      <c r="F5" s="49">
        <f t="shared" si="3"/>
        <v>4</v>
      </c>
      <c r="G5" s="71" t="s">
        <v>210</v>
      </c>
      <c r="H5" s="23">
        <f>IF(ISERROR(H3-H2)=FALSE,H3-H2,0)</f>
        <v>-0.25194700000000003</v>
      </c>
      <c r="J5" s="49">
        <f t="shared" si="0"/>
        <v>1.8008899999999999</v>
      </c>
      <c r="K5" s="49">
        <f t="shared" si="1"/>
        <v>60.544600000000003</v>
      </c>
      <c r="L5" s="49">
        <f t="shared" si="2"/>
        <v>33.61926602957427</v>
      </c>
    </row>
    <row r="6" spans="1:12">
      <c r="A6" s="49">
        <v>0.18374599999999999</v>
      </c>
      <c r="B6" s="49">
        <v>0.59319999999999995</v>
      </c>
      <c r="C6">
        <v>1.5962000000000001</v>
      </c>
      <c r="D6">
        <v>0</v>
      </c>
      <c r="E6" t="s">
        <v>2563</v>
      </c>
      <c r="F6" s="49">
        <f t="shared" si="3"/>
        <v>5</v>
      </c>
      <c r="G6" s="71" t="s">
        <v>211</v>
      </c>
      <c r="H6" s="23">
        <f>IF(H4&lt;&gt;0,H5/H4,0)</f>
        <v>-0.34476449820739491</v>
      </c>
      <c r="J6" s="49">
        <f t="shared" si="0"/>
        <v>1.8374599999999999</v>
      </c>
      <c r="K6" s="49">
        <f t="shared" si="1"/>
        <v>59.319999999999993</v>
      </c>
      <c r="L6" s="49">
        <f t="shared" si="2"/>
        <v>32.283695971612985</v>
      </c>
    </row>
    <row r="7" spans="1:12">
      <c r="A7" s="49">
        <v>0.18750500000000001</v>
      </c>
      <c r="B7" s="49">
        <v>0.57972100000000004</v>
      </c>
      <c r="C7">
        <v>1.97831</v>
      </c>
      <c r="D7">
        <v>0</v>
      </c>
      <c r="E7" t="s">
        <v>2564</v>
      </c>
      <c r="F7" s="49">
        <f t="shared" si="3"/>
        <v>6</v>
      </c>
      <c r="G7" s="71" t="s">
        <v>212</v>
      </c>
      <c r="H7" s="23">
        <f>DEGREES(ATAN(H6))</f>
        <v>-19.022375430012463</v>
      </c>
      <c r="J7" s="49">
        <f t="shared" si="0"/>
        <v>1.8750500000000001</v>
      </c>
      <c r="K7" s="49">
        <f t="shared" si="1"/>
        <v>57.972100000000005</v>
      </c>
      <c r="L7" s="49">
        <f t="shared" si="2"/>
        <v>30.917628863230316</v>
      </c>
    </row>
    <row r="8" spans="1:12">
      <c r="A8" s="49">
        <v>0.19133700000000001</v>
      </c>
      <c r="B8" s="49">
        <v>0.56527400000000005</v>
      </c>
      <c r="C8">
        <v>2.3844400000000001</v>
      </c>
      <c r="D8">
        <v>0</v>
      </c>
      <c r="E8" t="s">
        <v>2565</v>
      </c>
      <c r="F8" s="49">
        <f t="shared" si="3"/>
        <v>7</v>
      </c>
      <c r="G8" s="71" t="s">
        <v>213</v>
      </c>
      <c r="H8" s="72">
        <v>0.1</v>
      </c>
      <c r="J8" s="49">
        <f t="shared" si="0"/>
        <v>1.91337</v>
      </c>
      <c r="K8" s="49">
        <f t="shared" si="1"/>
        <v>56.527400000000007</v>
      </c>
      <c r="L8" s="49">
        <f t="shared" si="2"/>
        <v>29.543371120065647</v>
      </c>
    </row>
    <row r="9" spans="1:12">
      <c r="A9" s="49">
        <v>0.194962</v>
      </c>
      <c r="B9" s="49">
        <v>0.55203199999999997</v>
      </c>
      <c r="C9">
        <v>2.7903699999999998</v>
      </c>
      <c r="D9">
        <v>0</v>
      </c>
      <c r="E9" t="s">
        <v>2566</v>
      </c>
      <c r="F9" s="49">
        <f t="shared" si="3"/>
        <v>8</v>
      </c>
      <c r="G9" s="71" t="s">
        <v>214</v>
      </c>
      <c r="H9" s="72">
        <v>0.9</v>
      </c>
      <c r="J9" s="49">
        <f t="shared" si="0"/>
        <v>1.9496199999999999</v>
      </c>
      <c r="K9" s="49">
        <f t="shared" si="1"/>
        <v>55.203199999999995</v>
      </c>
      <c r="L9" s="49">
        <f t="shared" si="2"/>
        <v>28.314851099188559</v>
      </c>
    </row>
    <row r="10" spans="1:12">
      <c r="A10" s="49">
        <v>0.19850999999999999</v>
      </c>
      <c r="B10" s="49">
        <v>0.53889200000000004</v>
      </c>
      <c r="C10">
        <v>3.1917499999999999</v>
      </c>
      <c r="D10">
        <v>0</v>
      </c>
      <c r="E10" t="s">
        <v>2567</v>
      </c>
      <c r="F10" s="49">
        <f t="shared" si="3"/>
        <v>9</v>
      </c>
      <c r="G10" t="s">
        <v>215</v>
      </c>
      <c r="J10" s="49">
        <f t="shared" si="0"/>
        <v>1.9850999999999999</v>
      </c>
      <c r="K10" s="49">
        <f t="shared" si="1"/>
        <v>53.889200000000002</v>
      </c>
      <c r="L10" s="49">
        <f t="shared" si="2"/>
        <v>27.146843987708429</v>
      </c>
    </row>
    <row r="11" spans="1:12">
      <c r="A11" s="49">
        <v>0.20226</v>
      </c>
      <c r="B11" s="49">
        <v>0.52520599999999995</v>
      </c>
      <c r="C11">
        <v>3.60501</v>
      </c>
      <c r="D11">
        <v>0</v>
      </c>
      <c r="E11" t="s">
        <v>2568</v>
      </c>
      <c r="F11" s="49">
        <f t="shared" si="3"/>
        <v>10</v>
      </c>
      <c r="G11" s="71" t="s">
        <v>216</v>
      </c>
      <c r="H11" s="73">
        <f>MIN(B2:B1000)</f>
        <v>0.35696299999999997</v>
      </c>
      <c r="J11" s="49">
        <f t="shared" si="0"/>
        <v>2.0225999999999997</v>
      </c>
      <c r="K11" s="49">
        <f t="shared" si="1"/>
        <v>52.520599999999995</v>
      </c>
      <c r="L11" s="49">
        <f t="shared" si="2"/>
        <v>25.966874320181944</v>
      </c>
    </row>
    <row r="12" spans="1:12">
      <c r="A12" s="49">
        <v>0.20629900000000001</v>
      </c>
      <c r="B12" s="49">
        <v>0.51053300000000001</v>
      </c>
      <c r="C12">
        <v>4.0054699999999999</v>
      </c>
      <c r="D12">
        <v>0</v>
      </c>
      <c r="E12" t="s">
        <v>2569</v>
      </c>
      <c r="F12" s="49">
        <f t="shared" si="3"/>
        <v>11</v>
      </c>
      <c r="G12" s="71" t="s">
        <v>218</v>
      </c>
      <c r="H12" s="73">
        <f>MAX(B2:B1000)</f>
        <v>0.64014499999999996</v>
      </c>
      <c r="J12" s="49">
        <f t="shared" si="0"/>
        <v>2.0629900000000001</v>
      </c>
      <c r="K12" s="49">
        <f t="shared" si="1"/>
        <v>51.0533</v>
      </c>
      <c r="L12" s="49">
        <f t="shared" si="2"/>
        <v>24.747235808220108</v>
      </c>
    </row>
    <row r="13" spans="1:12">
      <c r="A13" s="49">
        <v>0.21038000000000001</v>
      </c>
      <c r="B13" s="49">
        <v>0.49586999999999998</v>
      </c>
      <c r="C13">
        <v>4.4329200000000002</v>
      </c>
      <c r="D13">
        <v>0</v>
      </c>
      <c r="E13" t="s">
        <v>2570</v>
      </c>
      <c r="F13" s="49">
        <f t="shared" si="3"/>
        <v>12</v>
      </c>
      <c r="G13" s="71" t="s">
        <v>220</v>
      </c>
      <c r="H13">
        <f>MATCH($H$11,B2:B1000,0)</f>
        <v>26</v>
      </c>
      <c r="J13" s="49">
        <f t="shared" si="0"/>
        <v>2.1038000000000001</v>
      </c>
      <c r="K13" s="49">
        <f t="shared" si="1"/>
        <v>49.586999999999996</v>
      </c>
      <c r="L13" s="49">
        <f t="shared" si="2"/>
        <v>23.570206293373893</v>
      </c>
    </row>
    <row r="14" spans="1:12">
      <c r="A14" s="49">
        <v>0.21415000000000001</v>
      </c>
      <c r="B14" s="49">
        <v>0.48309200000000002</v>
      </c>
      <c r="C14">
        <v>4.8232200000000001</v>
      </c>
      <c r="D14">
        <v>0</v>
      </c>
      <c r="E14" t="s">
        <v>2571</v>
      </c>
      <c r="F14" s="49">
        <f t="shared" si="3"/>
        <v>13</v>
      </c>
      <c r="G14" s="71" t="s">
        <v>221</v>
      </c>
      <c r="H14">
        <f>MATCH($H$12,B2:B1000,0)</f>
        <v>1</v>
      </c>
      <c r="J14" s="49">
        <f t="shared" si="0"/>
        <v>2.1415000000000002</v>
      </c>
      <c r="K14" s="49">
        <f t="shared" si="1"/>
        <v>48.309200000000004</v>
      </c>
      <c r="L14" s="49">
        <f t="shared" si="2"/>
        <v>22.55858043427504</v>
      </c>
    </row>
    <row r="15" spans="1:12">
      <c r="A15" s="49">
        <v>0.21764600000000001</v>
      </c>
      <c r="B15" s="49">
        <v>0.471192</v>
      </c>
      <c r="C15">
        <v>5.23123</v>
      </c>
      <c r="D15">
        <v>0</v>
      </c>
      <c r="E15" t="s">
        <v>2572</v>
      </c>
      <c r="F15" s="49">
        <f t="shared" si="3"/>
        <v>14</v>
      </c>
      <c r="G15">
        <f>LOOKUP($H13,F2:F1000,A2:A1000)</f>
        <v>0.25216100000000002</v>
      </c>
      <c r="H15">
        <f>LOOKUP($H13,F2:F1000,B2:B1000)</f>
        <v>0.35696299999999997</v>
      </c>
      <c r="J15" s="49">
        <f t="shared" si="0"/>
        <v>2.1764600000000001</v>
      </c>
      <c r="K15" s="49">
        <f t="shared" si="1"/>
        <v>47.119199999999999</v>
      </c>
      <c r="L15" s="49">
        <f t="shared" si="2"/>
        <v>21.649467483895865</v>
      </c>
    </row>
    <row r="16" spans="1:12">
      <c r="A16" s="49">
        <v>0.22101499999999999</v>
      </c>
      <c r="B16" s="49">
        <v>0.45976400000000001</v>
      </c>
      <c r="C16">
        <v>5.63863</v>
      </c>
      <c r="D16">
        <v>0</v>
      </c>
      <c r="E16" t="s">
        <v>2573</v>
      </c>
      <c r="F16" s="49">
        <f t="shared" si="3"/>
        <v>15</v>
      </c>
      <c r="G16">
        <f>LOOKUP($H14,F2:F1000,A2:A1000)</f>
        <v>0.16895299999999999</v>
      </c>
      <c r="H16">
        <f>LOOKUP($H14,F2:F1000,B2:B1000)</f>
        <v>0.64014499999999996</v>
      </c>
      <c r="J16" s="49">
        <f t="shared" si="0"/>
        <v>2.2101500000000001</v>
      </c>
      <c r="K16" s="49">
        <f t="shared" si="1"/>
        <v>45.976399999999998</v>
      </c>
      <c r="L16" s="49">
        <f t="shared" si="2"/>
        <v>20.802388978123656</v>
      </c>
    </row>
    <row r="17" spans="1:12">
      <c r="A17" s="49">
        <v>0.224549</v>
      </c>
      <c r="B17" s="49">
        <v>0.44763500000000001</v>
      </c>
      <c r="C17">
        <v>6.0603400000000001</v>
      </c>
      <c r="D17">
        <v>0</v>
      </c>
      <c r="E17" t="s">
        <v>2574</v>
      </c>
      <c r="F17" s="49">
        <f t="shared" si="3"/>
        <v>16</v>
      </c>
      <c r="J17" s="49">
        <f t="shared" si="0"/>
        <v>2.2454900000000002</v>
      </c>
      <c r="K17" s="49">
        <f t="shared" si="1"/>
        <v>44.763500000000001</v>
      </c>
      <c r="L17" s="49">
        <f t="shared" si="2"/>
        <v>19.934847182574849</v>
      </c>
    </row>
    <row r="18" spans="1:12">
      <c r="A18" s="49">
        <v>0.22835</v>
      </c>
      <c r="B18" s="49">
        <v>0.43428099999999997</v>
      </c>
      <c r="C18">
        <v>6.4853899999999998</v>
      </c>
      <c r="D18">
        <v>0</v>
      </c>
      <c r="E18" t="s">
        <v>2575</v>
      </c>
      <c r="F18" s="49">
        <f t="shared" si="3"/>
        <v>17</v>
      </c>
      <c r="J18" s="49">
        <f t="shared" si="0"/>
        <v>2.2835000000000001</v>
      </c>
      <c r="K18" s="49">
        <f t="shared" si="1"/>
        <v>43.428100000000001</v>
      </c>
      <c r="L18" s="49">
        <f t="shared" si="2"/>
        <v>19.018217648346834</v>
      </c>
    </row>
    <row r="19" spans="1:12">
      <c r="A19" s="49">
        <v>0.23230899999999999</v>
      </c>
      <c r="B19" s="49">
        <v>0.42055700000000001</v>
      </c>
      <c r="C19">
        <v>6.8792499999999999</v>
      </c>
      <c r="D19">
        <v>0</v>
      </c>
      <c r="E19" t="s">
        <v>2576</v>
      </c>
      <c r="F19" s="49">
        <f t="shared" si="3"/>
        <v>18</v>
      </c>
      <c r="J19" s="49">
        <f t="shared" si="0"/>
        <v>2.3230899999999997</v>
      </c>
      <c r="K19" s="49">
        <f t="shared" si="1"/>
        <v>42.055700000000002</v>
      </c>
      <c r="L19" s="49">
        <f t="shared" si="2"/>
        <v>18.103345113620225</v>
      </c>
    </row>
    <row r="20" spans="1:12">
      <c r="A20" s="49">
        <v>0.23635300000000001</v>
      </c>
      <c r="B20" s="49">
        <v>0.407057</v>
      </c>
      <c r="C20">
        <v>7.2854700000000001</v>
      </c>
      <c r="D20">
        <v>0</v>
      </c>
      <c r="E20" t="s">
        <v>2577</v>
      </c>
      <c r="F20" s="49">
        <f t="shared" si="3"/>
        <v>19</v>
      </c>
      <c r="J20" s="49">
        <f t="shared" si="0"/>
        <v>2.3635299999999999</v>
      </c>
      <c r="K20" s="49">
        <f t="shared" si="1"/>
        <v>40.7057</v>
      </c>
      <c r="L20" s="49">
        <f t="shared" si="2"/>
        <v>17.222417316471549</v>
      </c>
    </row>
    <row r="21" spans="1:12">
      <c r="A21" s="49">
        <v>0.23832100000000001</v>
      </c>
      <c r="B21" s="49">
        <v>0.401173</v>
      </c>
      <c r="C21">
        <v>7.6988700000000003</v>
      </c>
      <c r="D21">
        <v>0</v>
      </c>
      <c r="E21" t="s">
        <v>2578</v>
      </c>
      <c r="F21" s="49">
        <f t="shared" si="3"/>
        <v>20</v>
      </c>
      <c r="J21" s="49">
        <f t="shared" si="0"/>
        <v>2.3832100000000001</v>
      </c>
      <c r="K21" s="49">
        <f t="shared" si="1"/>
        <v>40.1173</v>
      </c>
      <c r="L21" s="49">
        <f t="shared" si="2"/>
        <v>16.833304660520895</v>
      </c>
    </row>
    <row r="22" spans="1:12">
      <c r="A22" s="49">
        <v>0.240452</v>
      </c>
      <c r="B22" s="49">
        <v>0.39459699999999998</v>
      </c>
      <c r="C22">
        <v>8.0975599999999996</v>
      </c>
      <c r="D22">
        <v>0</v>
      </c>
      <c r="E22" t="s">
        <v>2579</v>
      </c>
      <c r="F22" s="49">
        <f t="shared" si="3"/>
        <v>21</v>
      </c>
      <c r="J22" s="49">
        <f t="shared" si="0"/>
        <v>2.4045199999999998</v>
      </c>
      <c r="K22" s="49">
        <f t="shared" si="1"/>
        <v>39.459699999999998</v>
      </c>
      <c r="L22" s="49">
        <f t="shared" si="2"/>
        <v>16.410634970804985</v>
      </c>
    </row>
    <row r="23" spans="1:12">
      <c r="A23" s="49">
        <v>0.24282899999999999</v>
      </c>
      <c r="B23" s="49">
        <v>0.38703700000000002</v>
      </c>
      <c r="C23">
        <v>8.5401100000000003</v>
      </c>
      <c r="D23">
        <v>0</v>
      </c>
      <c r="E23" t="s">
        <v>2580</v>
      </c>
      <c r="F23" s="49">
        <f t="shared" si="3"/>
        <v>22</v>
      </c>
      <c r="J23" s="49">
        <f t="shared" si="0"/>
        <v>2.4282900000000001</v>
      </c>
      <c r="K23" s="49">
        <f t="shared" si="1"/>
        <v>38.703700000000005</v>
      </c>
      <c r="L23" s="49">
        <f t="shared" si="2"/>
        <v>15.938664657022022</v>
      </c>
    </row>
    <row r="24" spans="1:12">
      <c r="A24" s="49">
        <v>0.24537300000000001</v>
      </c>
      <c r="B24" s="49">
        <v>0.37868299999999999</v>
      </c>
      <c r="C24">
        <v>8.9253300000000007</v>
      </c>
      <c r="D24">
        <v>0</v>
      </c>
      <c r="E24" t="s">
        <v>2581</v>
      </c>
      <c r="F24" s="49">
        <f t="shared" si="3"/>
        <v>23</v>
      </c>
      <c r="G24" t="s">
        <v>245</v>
      </c>
      <c r="H24">
        <f>COUNT(A2:A2000)</f>
        <v>26</v>
      </c>
      <c r="J24" s="49">
        <f t="shared" si="0"/>
        <v>2.4537300000000002</v>
      </c>
      <c r="K24" s="49">
        <f t="shared" si="1"/>
        <v>37.868299999999998</v>
      </c>
      <c r="L24" s="49">
        <f t="shared" si="2"/>
        <v>15.432953095898895</v>
      </c>
    </row>
    <row r="25" spans="1:12">
      <c r="A25" s="49">
        <v>0.24790799999999999</v>
      </c>
      <c r="B25" s="49">
        <v>0.37029499999999999</v>
      </c>
      <c r="C25">
        <v>9.3465500000000006</v>
      </c>
      <c r="D25">
        <v>0</v>
      </c>
      <c r="E25" t="s">
        <v>2582</v>
      </c>
      <c r="F25" s="49">
        <f t="shared" si="3"/>
        <v>24</v>
      </c>
      <c r="J25" s="49">
        <f t="shared" si="0"/>
        <v>2.4790799999999997</v>
      </c>
      <c r="K25" s="49">
        <f t="shared" si="1"/>
        <v>37.029499999999999</v>
      </c>
      <c r="L25" s="49">
        <f t="shared" si="2"/>
        <v>14.936791067654131</v>
      </c>
    </row>
    <row r="26" spans="1:12">
      <c r="A26" s="49">
        <v>0.25006099999999998</v>
      </c>
      <c r="B26" s="49">
        <v>0.36419299999999999</v>
      </c>
      <c r="C26">
        <v>9.7440999999999995</v>
      </c>
      <c r="D26">
        <v>0</v>
      </c>
      <c r="E26" t="s">
        <v>2583</v>
      </c>
      <c r="F26" s="49">
        <f t="shared" si="3"/>
        <v>25</v>
      </c>
      <c r="J26" s="49">
        <f t="shared" si="0"/>
        <v>2.50061</v>
      </c>
      <c r="K26" s="49">
        <f t="shared" si="1"/>
        <v>36.4193</v>
      </c>
      <c r="L26" s="49">
        <f t="shared" si="2"/>
        <v>14.564166343412207</v>
      </c>
    </row>
    <row r="27" spans="1:12">
      <c r="A27" s="49">
        <v>0.25216100000000002</v>
      </c>
      <c r="B27" s="49">
        <v>0.35696299999999997</v>
      </c>
      <c r="C27">
        <v>10.146599999999999</v>
      </c>
      <c r="D27">
        <v>0</v>
      </c>
      <c r="E27" t="s">
        <v>2584</v>
      </c>
      <c r="F27" s="49">
        <f t="shared" si="3"/>
        <v>26</v>
      </c>
      <c r="J27" s="49">
        <f t="shared" si="0"/>
        <v>2.5216100000000004</v>
      </c>
      <c r="K27" s="49">
        <f t="shared" si="1"/>
        <v>35.696300000000001</v>
      </c>
      <c r="L27" s="49">
        <f t="shared" si="2"/>
        <v>14.156154203068672</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45778.78328703704</v>
      </c>
      <c r="B2" t="s">
        <v>2585</v>
      </c>
      <c r="C2" s="49"/>
      <c r="D2" s="49"/>
      <c r="E2" s="49">
        <v>4.9207200000000002</v>
      </c>
      <c r="F2" s="49">
        <v>1.0626100000000001</v>
      </c>
      <c r="G2" s="49">
        <v>0.51474399999999998</v>
      </c>
      <c r="H2" s="49">
        <v>0</v>
      </c>
      <c r="I2" s="49">
        <v>16.052299999999999</v>
      </c>
      <c r="J2" s="49">
        <v>34</v>
      </c>
      <c r="K2" s="49">
        <v>34</v>
      </c>
      <c r="L2" s="49">
        <v>100</v>
      </c>
      <c r="M2" s="521" t="s">
        <v>1549</v>
      </c>
      <c r="O2" s="565" t="str">
        <f>IF(FH_info!B2="","",TRIM(MID(SUBSTITUTE(FH_info!B2,"^",REPT(" ",LEN(FH_info!B2))),LEN(FH_info!B2)*2-LEN(FH_info!B2)+1,LEN(FH_info!B2))))</f>
        <v>mj6r</v>
      </c>
      <c r="P2" s="565" t="str">
        <f>IF(FH_info!O2="","",TRIM(MID(SUBSTITUTE(FH_info!O2," ",REPT(" ",LEN(FH_info!O2))),LEN(FH_info!O2)*1-LEN(FH_info!O2)+1,LEN(FH_info!O2))))</f>
        <v>mj6r</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16.052288000000001</v>
      </c>
      <c r="D2">
        <f>MAX(B2:B257)</f>
        <v>312.763397</v>
      </c>
      <c r="G2" t="s">
        <v>1590</v>
      </c>
      <c r="H2">
        <v>4.9207219999999996</v>
      </c>
      <c r="I2">
        <v>16.052288000000001</v>
      </c>
      <c r="J2">
        <v>0</v>
      </c>
      <c r="K2">
        <v>34</v>
      </c>
      <c r="L2">
        <v>34</v>
      </c>
      <c r="M2">
        <v>1.062611</v>
      </c>
      <c r="N2">
        <v>0.51474399999999998</v>
      </c>
      <c r="O2">
        <v>0.264961</v>
      </c>
    </row>
    <row r="3" spans="1:15">
      <c r="A3">
        <v>0</v>
      </c>
      <c r="B3">
        <v>0</v>
      </c>
      <c r="G3" t="s">
        <v>1591</v>
      </c>
      <c r="H3">
        <v>4.9207219999999996</v>
      </c>
      <c r="I3">
        <v>312.763397</v>
      </c>
      <c r="J3">
        <v>0</v>
      </c>
      <c r="K3">
        <v>6</v>
      </c>
      <c r="L3">
        <v>6</v>
      </c>
      <c r="M3">
        <v>0.28840700000000002</v>
      </c>
      <c r="N3">
        <v>0.30685400000000002</v>
      </c>
      <c r="O3">
        <v>9.4159999999999994E-2</v>
      </c>
    </row>
    <row r="4" spans="1:15">
      <c r="A4">
        <v>0</v>
      </c>
      <c r="B4">
        <v>0</v>
      </c>
    </row>
    <row r="5" spans="1:15">
      <c r="A5">
        <v>1.431373</v>
      </c>
      <c r="B5">
        <v>293.48495500000001</v>
      </c>
    </row>
    <row r="6" spans="1:15">
      <c r="A6">
        <v>0</v>
      </c>
      <c r="B6">
        <v>0</v>
      </c>
    </row>
    <row r="7" spans="1:15">
      <c r="A7">
        <v>0</v>
      </c>
      <c r="B7">
        <v>0</v>
      </c>
    </row>
    <row r="8" spans="1:15">
      <c r="A8">
        <v>1.5359480000000001</v>
      </c>
      <c r="B8">
        <v>312.763397</v>
      </c>
    </row>
    <row r="9" spans="1:15">
      <c r="A9">
        <v>0</v>
      </c>
      <c r="B9">
        <v>0</v>
      </c>
    </row>
    <row r="10" spans="1:15">
      <c r="A10">
        <v>4.8915030000000002</v>
      </c>
      <c r="B10">
        <v>215.79216</v>
      </c>
    </row>
    <row r="11" spans="1:15">
      <c r="A11">
        <v>0</v>
      </c>
      <c r="B11">
        <v>0</v>
      </c>
    </row>
    <row r="12" spans="1:15">
      <c r="A12">
        <v>0</v>
      </c>
      <c r="B12">
        <v>0</v>
      </c>
    </row>
    <row r="13" spans="1:15">
      <c r="A13">
        <v>3.9803920000000002</v>
      </c>
      <c r="B13">
        <v>158.42091400000001</v>
      </c>
    </row>
    <row r="14" spans="1:15">
      <c r="A14">
        <v>0</v>
      </c>
      <c r="B14">
        <v>0</v>
      </c>
    </row>
    <row r="15" spans="1:15">
      <c r="A15">
        <v>5.8392150000000003</v>
      </c>
      <c r="B15">
        <v>103.298042</v>
      </c>
    </row>
    <row r="16" spans="1:15">
      <c r="A16">
        <v>0</v>
      </c>
      <c r="B16">
        <v>0</v>
      </c>
    </row>
    <row r="17" spans="1:2">
      <c r="A17">
        <v>0</v>
      </c>
      <c r="B17">
        <v>0</v>
      </c>
    </row>
    <row r="18" spans="1:2">
      <c r="A18">
        <v>5.3254900000000003</v>
      </c>
      <c r="B18">
        <v>76.260131999999999</v>
      </c>
    </row>
    <row r="19" spans="1:2">
      <c r="A19">
        <v>0</v>
      </c>
      <c r="B19">
        <v>0</v>
      </c>
    </row>
    <row r="20" spans="1:2">
      <c r="A20">
        <v>0</v>
      </c>
      <c r="B20">
        <v>0</v>
      </c>
    </row>
    <row r="21" spans="1:2">
      <c r="A21">
        <v>4.6810460000000003</v>
      </c>
      <c r="B21">
        <v>62.047058</v>
      </c>
    </row>
    <row r="22" spans="1:2">
      <c r="A22">
        <v>0</v>
      </c>
      <c r="B22">
        <v>0</v>
      </c>
    </row>
    <row r="23" spans="1:2">
      <c r="A23">
        <v>6.2522869999999999</v>
      </c>
      <c r="B23">
        <v>51.132027000000001</v>
      </c>
    </row>
    <row r="24" spans="1:2">
      <c r="A24">
        <v>0</v>
      </c>
      <c r="B24">
        <v>0</v>
      </c>
    </row>
    <row r="25" spans="1:2">
      <c r="A25">
        <v>0</v>
      </c>
      <c r="B25">
        <v>0</v>
      </c>
    </row>
    <row r="26" spans="1:2">
      <c r="A26">
        <v>6.8705879999999997</v>
      </c>
      <c r="B26">
        <v>40.954250000000002</v>
      </c>
    </row>
    <row r="27" spans="1:2">
      <c r="A27">
        <v>0</v>
      </c>
      <c r="B27">
        <v>0</v>
      </c>
    </row>
    <row r="28" spans="1:2">
      <c r="A28">
        <v>8.3241829999999997</v>
      </c>
      <c r="B28">
        <v>36.347709999999999</v>
      </c>
    </row>
    <row r="29" spans="1:2">
      <c r="A29">
        <v>0</v>
      </c>
      <c r="B29">
        <v>0</v>
      </c>
    </row>
    <row r="30" spans="1:2">
      <c r="A30">
        <v>0</v>
      </c>
      <c r="B30">
        <v>0</v>
      </c>
    </row>
    <row r="31" spans="1:2">
      <c r="A31">
        <v>9.5254899999999996</v>
      </c>
      <c r="B31">
        <v>29.172550000000001</v>
      </c>
    </row>
    <row r="32" spans="1:2">
      <c r="A32">
        <v>0</v>
      </c>
      <c r="B32">
        <v>0</v>
      </c>
    </row>
    <row r="33" spans="1:2">
      <c r="A33">
        <v>12.349019</v>
      </c>
      <c r="B33">
        <v>24.730720999999999</v>
      </c>
    </row>
    <row r="34" spans="1:2">
      <c r="A34">
        <v>0</v>
      </c>
      <c r="B34">
        <v>0</v>
      </c>
    </row>
    <row r="35" spans="1:2">
      <c r="A35">
        <v>0</v>
      </c>
      <c r="B35">
        <v>0</v>
      </c>
    </row>
    <row r="36" spans="1:2">
      <c r="A36">
        <v>16.052288000000001</v>
      </c>
      <c r="B36">
        <v>20.416993999999999</v>
      </c>
    </row>
    <row r="37" spans="1:2">
      <c r="A37">
        <v>0</v>
      </c>
      <c r="B37">
        <v>0</v>
      </c>
    </row>
    <row r="38" spans="1:2">
      <c r="A38">
        <v>0</v>
      </c>
      <c r="B38">
        <v>0</v>
      </c>
    </row>
    <row r="39" spans="1:2">
      <c r="A39">
        <v>14.739869000000001</v>
      </c>
      <c r="B39">
        <v>16.972549000000001</v>
      </c>
    </row>
    <row r="40" spans="1:2">
      <c r="A40">
        <v>0</v>
      </c>
      <c r="B40">
        <v>0</v>
      </c>
    </row>
    <row r="41" spans="1:2">
      <c r="A41">
        <v>11.469281000000001</v>
      </c>
      <c r="B41">
        <v>14.887582</v>
      </c>
    </row>
    <row r="42" spans="1:2">
      <c r="A42">
        <v>0</v>
      </c>
      <c r="B42">
        <v>0</v>
      </c>
    </row>
    <row r="43" spans="1:2">
      <c r="A43">
        <v>0</v>
      </c>
      <c r="B43">
        <v>0</v>
      </c>
    </row>
    <row r="44" spans="1:2">
      <c r="A44">
        <v>11.253595000000001</v>
      </c>
      <c r="B44">
        <v>12.517647999999999</v>
      </c>
    </row>
    <row r="45" spans="1:2">
      <c r="A45">
        <v>0</v>
      </c>
      <c r="B45">
        <v>0</v>
      </c>
    </row>
    <row r="46" spans="1:2">
      <c r="A46">
        <v>10.173856000000001</v>
      </c>
      <c r="B46">
        <v>11.033987</v>
      </c>
    </row>
    <row r="47" spans="1:2">
      <c r="A47">
        <v>0</v>
      </c>
      <c r="B47">
        <v>0</v>
      </c>
    </row>
    <row r="48" spans="1:2">
      <c r="A48">
        <v>0</v>
      </c>
      <c r="B48">
        <v>0</v>
      </c>
    </row>
    <row r="49" spans="1:2">
      <c r="A49">
        <v>11.870588</v>
      </c>
      <c r="B49">
        <v>11.118954</v>
      </c>
    </row>
    <row r="50" spans="1:2">
      <c r="A50">
        <v>0</v>
      </c>
      <c r="B50">
        <v>0</v>
      </c>
    </row>
    <row r="51" spans="1:2">
      <c r="A51">
        <v>12.335948</v>
      </c>
      <c r="B51">
        <v>9.4183009999999996</v>
      </c>
    </row>
    <row r="52" spans="1:2">
      <c r="A52">
        <v>0</v>
      </c>
      <c r="B52">
        <v>0</v>
      </c>
    </row>
    <row r="53" spans="1:2">
      <c r="A53">
        <v>0</v>
      </c>
      <c r="B53">
        <v>0</v>
      </c>
    </row>
    <row r="54" spans="1:2">
      <c r="A54">
        <v>10.767321000000001</v>
      </c>
      <c r="B54">
        <v>7.4339870000000001</v>
      </c>
    </row>
    <row r="55" spans="1:2">
      <c r="A55">
        <v>0</v>
      </c>
      <c r="B55">
        <v>0</v>
      </c>
    </row>
    <row r="56" spans="1:2">
      <c r="A56">
        <v>0</v>
      </c>
      <c r="B56">
        <v>0</v>
      </c>
    </row>
    <row r="57" spans="1:2">
      <c r="A57">
        <v>10.539868999999999</v>
      </c>
      <c r="B57">
        <v>6.7307189999999997</v>
      </c>
    </row>
    <row r="58" spans="1:2">
      <c r="A58">
        <v>0</v>
      </c>
      <c r="B58">
        <v>0</v>
      </c>
    </row>
    <row r="59" spans="1:2">
      <c r="A59">
        <v>10.189543</v>
      </c>
      <c r="B59">
        <v>6.4261439999999999</v>
      </c>
    </row>
    <row r="60" spans="1:2">
      <c r="A60">
        <v>0</v>
      </c>
      <c r="B60">
        <v>0</v>
      </c>
    </row>
    <row r="61" spans="1:2">
      <c r="A61">
        <v>0</v>
      </c>
      <c r="B61">
        <v>0</v>
      </c>
    </row>
    <row r="62" spans="1:2">
      <c r="A62">
        <v>9.9542479999999998</v>
      </c>
      <c r="B62">
        <v>5.593464</v>
      </c>
    </row>
    <row r="63" spans="1:2">
      <c r="A63">
        <v>0</v>
      </c>
      <c r="B63">
        <v>0</v>
      </c>
    </row>
    <row r="64" spans="1:2">
      <c r="A64">
        <v>10.901960000000001</v>
      </c>
      <c r="B64">
        <v>5.1594769999999999</v>
      </c>
    </row>
    <row r="65" spans="1:2">
      <c r="A65">
        <v>0</v>
      </c>
      <c r="B65">
        <v>0</v>
      </c>
    </row>
    <row r="66" spans="1:2">
      <c r="A66">
        <v>0</v>
      </c>
      <c r="B66">
        <v>0</v>
      </c>
    </row>
    <row r="67" spans="1:2">
      <c r="A67">
        <v>11.15817</v>
      </c>
      <c r="B67">
        <v>4.8444440000000002</v>
      </c>
    </row>
    <row r="68" spans="1:2">
      <c r="A68">
        <v>0</v>
      </c>
      <c r="B68">
        <v>0</v>
      </c>
    </row>
    <row r="69" spans="1:2">
      <c r="A69">
        <v>9.0117650000000005</v>
      </c>
      <c r="B69">
        <v>4.2130720000000004</v>
      </c>
    </row>
    <row r="70" spans="1:2">
      <c r="A70">
        <v>0</v>
      </c>
      <c r="B70">
        <v>0</v>
      </c>
    </row>
    <row r="71" spans="1:2">
      <c r="A71">
        <v>0</v>
      </c>
      <c r="B71">
        <v>0</v>
      </c>
    </row>
    <row r="72" spans="1:2">
      <c r="A72">
        <v>10.312419</v>
      </c>
      <c r="B72">
        <v>4.0300659999999997</v>
      </c>
    </row>
    <row r="73" spans="1:2">
      <c r="A73">
        <v>0</v>
      </c>
      <c r="B73">
        <v>0</v>
      </c>
    </row>
    <row r="74" spans="1:2">
      <c r="A74">
        <v>0</v>
      </c>
      <c r="B74">
        <v>0</v>
      </c>
    </row>
    <row r="75" spans="1:2">
      <c r="A75">
        <v>8.7019610000000007</v>
      </c>
      <c r="B75">
        <v>3.6679740000000001</v>
      </c>
    </row>
    <row r="76" spans="1:2">
      <c r="A76">
        <v>0</v>
      </c>
      <c r="B76">
        <v>0</v>
      </c>
    </row>
    <row r="77" spans="1:2">
      <c r="A77">
        <v>8.0588239999999995</v>
      </c>
      <c r="B77">
        <v>3.4980389999999999</v>
      </c>
    </row>
    <row r="78" spans="1:2">
      <c r="A78">
        <v>0</v>
      </c>
      <c r="B78">
        <v>0</v>
      </c>
    </row>
    <row r="79" spans="1:2">
      <c r="A79">
        <v>0</v>
      </c>
      <c r="B79">
        <v>0</v>
      </c>
    </row>
    <row r="80" spans="1:2">
      <c r="A80">
        <v>9.8915030000000002</v>
      </c>
      <c r="B80">
        <v>3.2130719999999999</v>
      </c>
    </row>
    <row r="81" spans="1:2">
      <c r="A81">
        <v>0</v>
      </c>
      <c r="B81">
        <v>0</v>
      </c>
    </row>
    <row r="82" spans="1:2">
      <c r="A82">
        <v>8.3751630000000006</v>
      </c>
      <c r="B82">
        <v>2.9006539999999998</v>
      </c>
    </row>
    <row r="83" spans="1:2">
      <c r="A83">
        <v>0</v>
      </c>
      <c r="B83">
        <v>0</v>
      </c>
    </row>
    <row r="84" spans="1:2">
      <c r="A84">
        <v>0</v>
      </c>
      <c r="B84">
        <v>0</v>
      </c>
    </row>
    <row r="85" spans="1:2">
      <c r="A85">
        <v>8.0928109999999993</v>
      </c>
      <c r="B85">
        <v>2.6379090000000001</v>
      </c>
    </row>
    <row r="86" spans="1:2">
      <c r="A86">
        <v>0</v>
      </c>
      <c r="B86">
        <v>0</v>
      </c>
    </row>
    <row r="87" spans="1:2">
      <c r="A87">
        <v>0</v>
      </c>
      <c r="B87">
        <v>0</v>
      </c>
    </row>
    <row r="88" spans="1:2">
      <c r="A88">
        <v>6.9830059999999996</v>
      </c>
      <c r="B88">
        <v>2.4993460000000001</v>
      </c>
    </row>
    <row r="89" spans="1:2">
      <c r="A89">
        <v>0</v>
      </c>
      <c r="B89">
        <v>0</v>
      </c>
    </row>
    <row r="90" spans="1:2">
      <c r="A90">
        <v>4.7660130000000001</v>
      </c>
      <c r="B90">
        <v>2.0013070000000002</v>
      </c>
    </row>
    <row r="91" spans="1:2">
      <c r="A91">
        <v>0</v>
      </c>
      <c r="B91">
        <v>0</v>
      </c>
    </row>
    <row r="92" spans="1:2">
      <c r="A92">
        <v>0</v>
      </c>
      <c r="B92">
        <v>0</v>
      </c>
    </row>
    <row r="93" spans="1:2">
      <c r="A93">
        <v>3.5712419999999998</v>
      </c>
      <c r="B93">
        <v>1.9947710000000001</v>
      </c>
    </row>
    <row r="94" spans="1:2">
      <c r="A94">
        <v>0</v>
      </c>
      <c r="B94">
        <v>0</v>
      </c>
    </row>
    <row r="95" spans="1:2">
      <c r="A95">
        <v>3.8026140000000002</v>
      </c>
      <c r="B95">
        <v>1.407843</v>
      </c>
    </row>
    <row r="96" spans="1:2">
      <c r="A96">
        <v>0</v>
      </c>
      <c r="B96">
        <v>0</v>
      </c>
    </row>
    <row r="97" spans="1:2">
      <c r="A97">
        <v>0</v>
      </c>
      <c r="B97">
        <v>0</v>
      </c>
    </row>
    <row r="98" spans="1:2">
      <c r="A98">
        <v>3.364706</v>
      </c>
      <c r="B98">
        <v>1.1503270000000001</v>
      </c>
    </row>
    <row r="99" spans="1:2">
      <c r="A99">
        <v>0</v>
      </c>
      <c r="B99">
        <v>0</v>
      </c>
    </row>
    <row r="100" spans="1:2">
      <c r="A100">
        <v>3.1424829999999999</v>
      </c>
      <c r="B100">
        <v>0.87581699999999996</v>
      </c>
    </row>
    <row r="101" spans="1:2">
      <c r="A101">
        <v>0</v>
      </c>
      <c r="B101">
        <v>0</v>
      </c>
    </row>
    <row r="102" spans="1:2">
      <c r="A102">
        <v>0</v>
      </c>
      <c r="B102">
        <v>0</v>
      </c>
    </row>
    <row r="103" spans="1:2">
      <c r="A103">
        <v>2.8235290000000002</v>
      </c>
      <c r="B103">
        <v>0.66666700000000001</v>
      </c>
    </row>
    <row r="104" spans="1:2">
      <c r="A104">
        <v>0</v>
      </c>
      <c r="B104">
        <v>0</v>
      </c>
    </row>
    <row r="105" spans="1:2">
      <c r="A105">
        <v>0</v>
      </c>
      <c r="B105">
        <v>0</v>
      </c>
    </row>
    <row r="106" spans="1:2">
      <c r="A106">
        <v>2.50719</v>
      </c>
      <c r="B106">
        <v>0.440523</v>
      </c>
    </row>
    <row r="107" spans="1:2">
      <c r="A107">
        <v>0</v>
      </c>
      <c r="B107">
        <v>0</v>
      </c>
    </row>
    <row r="108" spans="1:2">
      <c r="A108">
        <v>3.0313729999999999</v>
      </c>
      <c r="B108">
        <v>0.35686299999999999</v>
      </c>
    </row>
    <row r="109" spans="1:2">
      <c r="A109">
        <v>0</v>
      </c>
      <c r="B109">
        <v>0</v>
      </c>
    </row>
    <row r="110" spans="1:2">
      <c r="A110">
        <v>0</v>
      </c>
      <c r="B110">
        <v>0</v>
      </c>
    </row>
    <row r="111" spans="1:2">
      <c r="A111">
        <v>2.8444449999999999</v>
      </c>
      <c r="B111">
        <v>0.26405200000000001</v>
      </c>
    </row>
    <row r="112" spans="1:2">
      <c r="A112">
        <v>0</v>
      </c>
      <c r="B112">
        <v>0</v>
      </c>
    </row>
    <row r="113" spans="1:2">
      <c r="A113">
        <v>3.3320259999999999</v>
      </c>
      <c r="B113">
        <v>0.219608</v>
      </c>
    </row>
    <row r="114" spans="1:2">
      <c r="A114">
        <v>0</v>
      </c>
      <c r="B114">
        <v>0</v>
      </c>
    </row>
    <row r="115" spans="1:2">
      <c r="A115">
        <v>0</v>
      </c>
      <c r="B115">
        <v>0</v>
      </c>
    </row>
    <row r="116" spans="1:2">
      <c r="A116">
        <v>1.4379090000000001</v>
      </c>
      <c r="B116">
        <v>0.103268</v>
      </c>
    </row>
    <row r="117" spans="1:2">
      <c r="A117">
        <v>0</v>
      </c>
      <c r="B117">
        <v>0</v>
      </c>
    </row>
    <row r="118" spans="1:2">
      <c r="A118">
        <v>1.986928</v>
      </c>
      <c r="B118">
        <v>7.7123999999999998E-2</v>
      </c>
    </row>
    <row r="119" spans="1:2">
      <c r="A119">
        <v>0</v>
      </c>
      <c r="B119">
        <v>0</v>
      </c>
    </row>
    <row r="120" spans="1:2">
      <c r="A120">
        <v>0</v>
      </c>
      <c r="B120">
        <v>0</v>
      </c>
    </row>
    <row r="121" spans="1:2">
      <c r="A121">
        <v>0.91241799999999995</v>
      </c>
      <c r="B121">
        <v>5.2288000000000001E-2</v>
      </c>
    </row>
    <row r="122" spans="1:2">
      <c r="A122">
        <v>0</v>
      </c>
      <c r="B122">
        <v>0</v>
      </c>
    </row>
    <row r="123" spans="1:2">
      <c r="A123">
        <v>0</v>
      </c>
      <c r="B123">
        <v>0</v>
      </c>
    </row>
    <row r="124" spans="1:2">
      <c r="A124">
        <v>1.162091</v>
      </c>
      <c r="B124">
        <v>4.9673000000000002E-2</v>
      </c>
    </row>
    <row r="125" spans="1:2">
      <c r="A125">
        <v>0</v>
      </c>
      <c r="B125">
        <v>0</v>
      </c>
    </row>
    <row r="126" spans="1:2">
      <c r="A126">
        <v>0.60392199999999996</v>
      </c>
      <c r="B126">
        <v>2.4837000000000001E-2</v>
      </c>
    </row>
    <row r="127" spans="1:2">
      <c r="A127">
        <v>0</v>
      </c>
      <c r="B127">
        <v>0</v>
      </c>
    </row>
    <row r="128" spans="1:2">
      <c r="A128">
        <v>0</v>
      </c>
      <c r="B128">
        <v>0</v>
      </c>
    </row>
    <row r="129" spans="1:2">
      <c r="A129">
        <v>0.56339899999999998</v>
      </c>
      <c r="B129">
        <v>1.6993000000000001E-2</v>
      </c>
    </row>
    <row r="130" spans="1:2">
      <c r="A130">
        <v>0</v>
      </c>
      <c r="B130">
        <v>0</v>
      </c>
    </row>
    <row r="131" spans="1:2">
      <c r="A131">
        <v>0.29411799999999999</v>
      </c>
      <c r="B131">
        <v>9.1500000000000001E-3</v>
      </c>
    </row>
    <row r="132" spans="1:2">
      <c r="A132">
        <v>0</v>
      </c>
      <c r="B132">
        <v>0</v>
      </c>
    </row>
    <row r="133" spans="1:2">
      <c r="A133">
        <v>0</v>
      </c>
      <c r="B133">
        <v>0</v>
      </c>
    </row>
    <row r="134" spans="1:2">
      <c r="A134">
        <v>5.8824000000000001E-2</v>
      </c>
      <c r="B134">
        <v>1.307E-3</v>
      </c>
    </row>
    <row r="135" spans="1:2">
      <c r="A135">
        <v>0</v>
      </c>
      <c r="B135">
        <v>0</v>
      </c>
    </row>
    <row r="136" spans="1:2">
      <c r="A136">
        <v>5.8824000000000001E-2</v>
      </c>
      <c r="B136">
        <v>1.307E-3</v>
      </c>
    </row>
    <row r="137" spans="1:2">
      <c r="A137">
        <v>0</v>
      </c>
      <c r="B137">
        <v>0</v>
      </c>
    </row>
    <row r="138" spans="1:2">
      <c r="A138">
        <v>0</v>
      </c>
      <c r="B138">
        <v>0</v>
      </c>
    </row>
    <row r="139" spans="1:2">
      <c r="A139">
        <v>0.36078399999999999</v>
      </c>
      <c r="B139">
        <v>7.8429999999999993E-3</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ht="82.5">
      <c r="H1" s="56" t="str">
        <f>lang!B177</f>
        <v>뇌 피로도</v>
      </c>
      <c r="I1" s="56" t="str">
        <f>IF(Measurement!AQ7&lt;&gt;"",H4&amp;CHAR(10)&amp;ROUND(Measurement!AQ7,2),lang!B177)</f>
        <v>-0.334324248003379
-0.33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-0.33432424800337945</v>
      </c>
      <c r="I4" s="322">
        <f>IF(Measurement!AQ7&lt;&gt;"",NORMSDIST((H6-$B$2)/$B$3)*100,"")</f>
        <v>54.962189260221386</v>
      </c>
      <c r="J4" t="str">
        <f>Measurement!AR7</f>
        <v>보통</v>
      </c>
    </row>
    <row r="5" spans="1:11">
      <c r="B5" s="171">
        <v>-10</v>
      </c>
      <c r="C5" s="171">
        <f>NORMSDIST(($B5-$B$2)/$B$3)*100</f>
        <v>7.1097265868555281E-5</v>
      </c>
      <c r="G5" t="s">
        <v>1539</v>
      </c>
      <c r="H5" s="320">
        <f>IF(Measurement!AQ7&lt;-7,-7,Measurement!AQ7)</f>
        <v>-0.33432424800337945</v>
      </c>
      <c r="I5" s="321">
        <f>IF(Measurement!AQ7&lt;&gt;"",0,"")</f>
        <v>0</v>
      </c>
    </row>
    <row r="6" spans="1:11">
      <c r="B6" s="171">
        <f>B5+0.1</f>
        <v>-9.9</v>
      </c>
      <c r="C6" s="171">
        <f t="shared" ref="C6:C57" si="0">NORMSDIST(($B6-$B$2)/$B$3)*100</f>
        <v>9.1781224195367343E-5</v>
      </c>
      <c r="H6" s="320">
        <f>IF(Measurement!AQ7&lt;-7,-7,Measurement!AQ7)</f>
        <v>-0.33432424800337945</v>
      </c>
      <c r="I6" s="321">
        <f>IF(Measurement!AQ7&lt;&gt;"",NORMSDIST((H6-$B$2)/$B$3)*100,"")</f>
        <v>54.962189260221386</v>
      </c>
    </row>
    <row r="7" spans="1:11">
      <c r="B7" s="171">
        <f t="shared" ref="B7:B70" si="1">B6+0.1</f>
        <v>-9.8000000000000007</v>
      </c>
      <c r="C7" s="171">
        <f t="shared" si="0"/>
        <v>1.1818368021892541E-4</v>
      </c>
      <c r="D7" s="171"/>
      <c r="H7" s="320">
        <f>IF(Measurement!AQ7&lt;&gt;"",-7,"")</f>
        <v>-7</v>
      </c>
      <c r="I7" s="321">
        <f>IF(Measurement!AQ7&lt;&gt;"",NORMSDIST((H6-$B$2)/$B$3)*100,"")</f>
        <v>54.962189260221386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53.94</v>
      </c>
      <c r="V4" t="s">
        <v>1218</v>
      </c>
    </row>
    <row r="5" spans="1:29">
      <c r="B5" s="171">
        <v>0</v>
      </c>
      <c r="C5" s="171">
        <f>NORMSDIST(($B5-$B$2)/$B$3)*100</f>
        <v>1.2153167836658598</v>
      </c>
      <c r="H5">
        <f>info!W36</f>
        <v>53.935840000000006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53.935840000000006</v>
      </c>
      <c r="I6" s="171">
        <f>NORMSDIST((H6-$B$2)/$B$3)*100</f>
        <v>57.035973277116689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57.035973277116689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1.0626100000000001</v>
      </c>
    </row>
    <row r="3" spans="1:11" ht="18">
      <c r="A3" s="71" t="s">
        <v>1065</v>
      </c>
      <c r="B3" s="557">
        <v>0.71290976993199895</v>
      </c>
      <c r="C3" s="523"/>
      <c r="H3" s="561" t="s">
        <v>2223</v>
      </c>
      <c r="I3" s="562">
        <f>IF(I2=0,0,NORMSDIST((I2-$B$2)/$B$3)*100)</f>
        <v>12.007565559540772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1.06</v>
      </c>
    </row>
    <row r="6" spans="1:11">
      <c r="B6" s="23">
        <v>0</v>
      </c>
      <c r="C6" s="23">
        <f>NORMSDIST(($B6-$B$2)/$B$3)*100</f>
        <v>0.38478836223957635</v>
      </c>
      <c r="H6" s="205">
        <f>IF(info!V36&gt;I1,I1,info!V36)</f>
        <v>1.0626100000000001</v>
      </c>
      <c r="I6" s="560">
        <v>0</v>
      </c>
    </row>
    <row r="7" spans="1:11">
      <c r="B7" s="23">
        <f>B5+0.05</f>
        <v>0</v>
      </c>
      <c r="C7" s="23">
        <f t="shared" ref="C7:E58" si="0">NORMSDIST(($B7-$B$2)/$B$3)*100</f>
        <v>0.38478836223957635</v>
      </c>
      <c r="H7" s="205">
        <f>IF(info!V36&gt;I1,I1,info!V36)</f>
        <v>1.0626100000000001</v>
      </c>
      <c r="I7" s="560">
        <f>NORMSDIST((H7-$B$2)/$B$3)*100</f>
        <v>12.007565559540772</v>
      </c>
    </row>
    <row r="8" spans="1:11">
      <c r="B8" s="23">
        <f t="shared" ref="B8:B71" si="1">B7+0.05</f>
        <v>0.05</v>
      </c>
      <c r="C8" s="23">
        <f t="shared" si="0"/>
        <v>0.47295624138584591</v>
      </c>
      <c r="D8" s="171"/>
      <c r="H8" s="205">
        <v>0</v>
      </c>
      <c r="I8" s="560">
        <f>NORMSDIST((H7-$B$2)/$B$3)*100</f>
        <v>12.007565559540772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감정변이도1.06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1.0626100000000001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1.0626100000000001</v>
      </c>
      <c r="I6" s="171">
        <f>NORMSDIST((H6-$B$2)/$B$3)*100</f>
        <v>3.5269187056962581E-2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3.5269187056962581E-2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764" t="str">
        <f>lang!B641</f>
        <v>감성 상태 검사 결과</v>
      </c>
      <c r="D3" s="764"/>
      <c r="E3" s="764"/>
      <c r="F3" s="764"/>
      <c r="G3" s="764"/>
      <c r="H3" s="764"/>
      <c r="I3" s="764"/>
      <c r="J3" s="764"/>
      <c r="K3" s="764"/>
      <c r="L3" s="764"/>
      <c r="M3" s="764"/>
      <c r="N3" s="764"/>
      <c r="O3" s="764"/>
      <c r="P3" s="764"/>
      <c r="Q3" s="765" t="str">
        <f>FH_info!AB2</f>
        <v>마인드아이</v>
      </c>
      <c r="R3" s="765"/>
      <c r="S3" s="765"/>
      <c r="T3" s="765"/>
    </row>
    <row r="4" spans="2:20" ht="14.25" customHeight="1">
      <c r="C4" s="764"/>
      <c r="D4" s="764"/>
      <c r="E4" s="764"/>
      <c r="F4" s="764"/>
      <c r="G4" s="764"/>
      <c r="H4" s="764"/>
      <c r="I4" s="764"/>
      <c r="J4" s="764"/>
      <c r="K4" s="764"/>
      <c r="L4" s="764"/>
      <c r="M4" s="764"/>
      <c r="N4" s="764"/>
      <c r="O4" s="764"/>
      <c r="P4" s="764"/>
      <c r="Q4" s="765"/>
      <c r="R4" s="765"/>
      <c r="S4" s="765"/>
      <c r="T4" s="765"/>
    </row>
    <row r="5" spans="2:20" ht="3" customHeight="1"/>
    <row r="6" spans="2:20" ht="1.5" customHeight="1" thickBot="1"/>
    <row r="7" spans="2:20">
      <c r="C7" s="766"/>
      <c r="D7" s="767"/>
      <c r="E7" s="768"/>
      <c r="F7" s="777" t="str">
        <f>lang!B159</f>
        <v>측정일</v>
      </c>
      <c r="G7" s="960"/>
      <c r="H7" s="771">
        <f>IF(FH_info!A2="","",FH_info!A2)</f>
        <v>45778.78328703704</v>
      </c>
      <c r="I7" s="772"/>
      <c r="J7" s="773"/>
      <c r="K7" s="166" t="str">
        <f>lang!B160</f>
        <v>나이</v>
      </c>
      <c r="L7" s="775" t="str">
        <f>IF(FH_info!B2="","", FH_info!T2)</f>
        <v>1</v>
      </c>
      <c r="M7" s="1159"/>
      <c r="N7" s="776"/>
      <c r="O7" s="166" t="str">
        <f>lang!B161</f>
        <v>성별</v>
      </c>
      <c r="P7" s="775" t="str">
        <f>IF(FH_info!B2="","", FH_info!S2)</f>
        <v>남성</v>
      </c>
      <c r="Q7" s="776"/>
      <c r="R7" s="777" t="str">
        <f>lang!B164</f>
        <v>측정장소</v>
      </c>
      <c r="S7" s="778"/>
      <c r="T7" s="779"/>
    </row>
    <row r="8" spans="2:20">
      <c r="C8" s="769"/>
      <c r="D8" s="749"/>
      <c r="E8" s="770"/>
      <c r="F8" s="961" t="str">
        <f>lang!B165</f>
        <v>이름</v>
      </c>
      <c r="G8" s="962"/>
      <c r="H8" s="780" t="str">
        <f>IF(FH_info!B2="","", FH_info!O2)</f>
        <v>mj6r</v>
      </c>
      <c r="I8" s="781"/>
      <c r="J8" s="782"/>
      <c r="K8" s="146" t="str">
        <f>lang!B669</f>
        <v>비고</v>
      </c>
      <c r="L8" s="780" t="str">
        <f>IF(FH_info!B2="","", FH_info!V2)</f>
        <v/>
      </c>
      <c r="M8" s="781"/>
      <c r="N8" s="781"/>
      <c r="O8" s="781"/>
      <c r="P8" s="781"/>
      <c r="Q8" s="782"/>
      <c r="R8" s="780" t="str">
        <f>IF(FH_info!B2="","", FH_info!U2)</f>
        <v/>
      </c>
      <c r="S8" s="781"/>
      <c r="T8" s="786"/>
    </row>
    <row r="9" spans="2:20" ht="9" customHeight="1">
      <c r="C9" s="769"/>
      <c r="D9" s="749"/>
      <c r="E9" s="770"/>
      <c r="F9" s="972"/>
      <c r="G9" s="973"/>
      <c r="H9" s="789"/>
      <c r="I9" s="790"/>
      <c r="J9" s="790"/>
      <c r="K9" s="790"/>
      <c r="L9" s="790"/>
      <c r="M9" s="790"/>
      <c r="N9" s="790"/>
      <c r="O9" s="790"/>
      <c r="P9" s="790"/>
      <c r="Q9" s="790"/>
      <c r="R9" s="790"/>
      <c r="S9" s="790"/>
      <c r="T9" s="791"/>
    </row>
    <row r="10" spans="2:20" ht="9" customHeight="1">
      <c r="C10" s="769"/>
      <c r="D10" s="749"/>
      <c r="E10" s="770"/>
      <c r="F10" s="974"/>
      <c r="G10" s="975"/>
      <c r="H10" s="792"/>
      <c r="I10" s="793"/>
      <c r="J10" s="793"/>
      <c r="K10" s="793"/>
      <c r="L10" s="793"/>
      <c r="M10" s="793"/>
      <c r="N10" s="793"/>
      <c r="O10" s="793"/>
      <c r="P10" s="793"/>
      <c r="Q10" s="793"/>
      <c r="R10" s="793"/>
      <c r="S10" s="793"/>
      <c r="T10" s="794"/>
    </row>
    <row r="11" spans="2:20" ht="19.5" customHeight="1" thickBot="1">
      <c r="C11" s="769"/>
      <c r="D11" s="749"/>
      <c r="E11" s="770"/>
      <c r="F11" s="974"/>
      <c r="G11" s="975"/>
      <c r="H11" s="792"/>
      <c r="I11" s="793"/>
      <c r="J11" s="793"/>
      <c r="K11" s="793"/>
      <c r="L11" s="793"/>
      <c r="M11" s="793"/>
      <c r="N11" s="793"/>
      <c r="O11" s="793"/>
      <c r="P11" s="793"/>
      <c r="Q11" s="793"/>
      <c r="R11" s="793"/>
      <c r="S11" s="793"/>
      <c r="T11" s="794"/>
    </row>
    <row r="12" spans="2:20" ht="22.5" hidden="1" customHeight="1" thickBot="1">
      <c r="C12" s="230"/>
      <c r="D12" s="231"/>
      <c r="E12" s="232"/>
      <c r="F12" s="976"/>
      <c r="G12" s="977"/>
      <c r="H12" s="233"/>
      <c r="I12" s="229"/>
      <c r="J12" s="229"/>
      <c r="K12" s="229"/>
      <c r="L12" s="229"/>
      <c r="M12" s="234">
        <f>Measurement!CG8</f>
        <v>3</v>
      </c>
      <c r="N12" s="234">
        <f>IF(O12=1,Measurement!CH8,"")</f>
        <v>2</v>
      </c>
      <c r="O12" s="309">
        <v>1</v>
      </c>
      <c r="P12" s="309">
        <f>data_info!I54</f>
        <v>0</v>
      </c>
      <c r="Q12" s="309">
        <f>data_info!I52</f>
        <v>2</v>
      </c>
      <c r="R12" s="309">
        <f>data_info!I53</f>
        <v>2</v>
      </c>
      <c r="S12" s="229"/>
      <c r="T12" s="245">
        <f>info!V45</f>
        <v>2</v>
      </c>
    </row>
    <row r="13" spans="2:20" ht="21" customHeight="1" thickBot="1">
      <c r="C13" s="926" t="str">
        <f>lang!B671</f>
        <v>단계별 감성상태</v>
      </c>
      <c r="D13" s="927"/>
      <c r="E13" s="927"/>
      <c r="F13" s="927"/>
      <c r="G13" s="927"/>
      <c r="H13" s="927"/>
      <c r="I13" s="927"/>
      <c r="J13" s="927"/>
      <c r="K13" s="927"/>
      <c r="L13" s="927"/>
      <c r="M13" s="927"/>
      <c r="N13" s="927"/>
      <c r="O13" s="927"/>
      <c r="P13" s="927"/>
      <c r="Q13" s="927"/>
      <c r="R13" s="927"/>
      <c r="S13" s="927"/>
      <c r="T13" s="928"/>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39" t="str">
        <f>lang!B645</f>
        <v>고활력도</v>
      </c>
      <c r="H15" s="939"/>
      <c r="I15" s="939"/>
      <c r="J15" s="939"/>
      <c r="K15" s="939"/>
      <c r="L15" s="939"/>
      <c r="M15" s="939"/>
      <c r="N15" s="939"/>
      <c r="O15" s="939"/>
      <c r="P15" s="939"/>
      <c r="Q15" s="578"/>
      <c r="R15" s="405"/>
      <c r="S15" s="405"/>
      <c r="T15" s="373"/>
    </row>
    <row r="16" spans="2:20" ht="27" customHeight="1">
      <c r="B16" s="79"/>
      <c r="C16" s="582"/>
      <c r="D16" s="372"/>
      <c r="E16" s="1156" t="str">
        <f>lang!B644</f>
        <v>불쾌</v>
      </c>
      <c r="F16" s="1156"/>
      <c r="G16" s="579"/>
      <c r="H16" s="579"/>
      <c r="I16" s="579"/>
      <c r="J16" s="579"/>
      <c r="K16" s="579"/>
      <c r="L16" s="580"/>
      <c r="M16" s="580"/>
      <c r="N16" s="580"/>
      <c r="O16" s="580"/>
      <c r="P16" s="580"/>
      <c r="Q16" s="1158" t="str">
        <f>lang!B643</f>
        <v>쾌</v>
      </c>
      <c r="R16" s="1158"/>
      <c r="S16" s="405"/>
      <c r="T16" s="373"/>
    </row>
    <row r="17" spans="2:22" ht="27" customHeight="1">
      <c r="B17" s="79"/>
      <c r="C17" s="582"/>
      <c r="D17" s="372"/>
      <c r="E17" s="1156"/>
      <c r="F17" s="1156"/>
      <c r="G17" s="579"/>
      <c r="H17" s="579"/>
      <c r="I17" s="579"/>
      <c r="J17" s="579"/>
      <c r="K17" s="579"/>
      <c r="L17" s="580"/>
      <c r="M17" s="580"/>
      <c r="N17" s="580"/>
      <c r="O17" s="580"/>
      <c r="P17" s="580"/>
      <c r="Q17" s="1158"/>
      <c r="R17" s="1158"/>
      <c r="S17" s="405"/>
      <c r="T17" s="373"/>
    </row>
    <row r="18" spans="2:22" ht="27" customHeight="1">
      <c r="B18" s="79"/>
      <c r="C18" s="582"/>
      <c r="D18" s="372"/>
      <c r="E18" s="1156"/>
      <c r="F18" s="1156"/>
      <c r="G18" s="579"/>
      <c r="H18" s="579"/>
      <c r="I18" s="579"/>
      <c r="J18" s="579"/>
      <c r="K18" s="579"/>
      <c r="L18" s="580"/>
      <c r="M18" s="580"/>
      <c r="N18" s="580"/>
      <c r="O18" s="580"/>
      <c r="P18" s="580"/>
      <c r="Q18" s="1158"/>
      <c r="R18" s="1158"/>
      <c r="S18" s="405"/>
      <c r="T18" s="373"/>
    </row>
    <row r="19" spans="2:22" ht="27" customHeight="1">
      <c r="B19" s="79"/>
      <c r="C19" s="582"/>
      <c r="D19" s="372"/>
      <c r="E19" s="1156"/>
      <c r="F19" s="1156"/>
      <c r="G19" s="579"/>
      <c r="H19" s="579"/>
      <c r="I19" s="579"/>
      <c r="J19" s="579"/>
      <c r="K19" s="579"/>
      <c r="L19" s="580"/>
      <c r="M19" s="580"/>
      <c r="N19" s="580"/>
      <c r="O19" s="580"/>
      <c r="P19" s="580"/>
      <c r="Q19" s="1158"/>
      <c r="R19" s="1158"/>
      <c r="S19" s="405"/>
      <c r="T19" s="373"/>
    </row>
    <row r="20" spans="2:22" ht="27" customHeight="1">
      <c r="C20" s="582"/>
      <c r="D20" s="372"/>
      <c r="E20" s="1156"/>
      <c r="F20" s="1156"/>
      <c r="G20" s="579"/>
      <c r="H20" s="579"/>
      <c r="I20" s="579"/>
      <c r="J20" s="579"/>
      <c r="K20" s="403"/>
      <c r="L20" s="403"/>
      <c r="M20" s="580"/>
      <c r="N20" s="580"/>
      <c r="O20" s="580"/>
      <c r="P20" s="580"/>
      <c r="Q20" s="1158"/>
      <c r="R20" s="1158"/>
      <c r="S20" s="405"/>
      <c r="T20" s="373"/>
      <c r="V20" s="80"/>
    </row>
    <row r="21" spans="2:22" ht="27" customHeight="1">
      <c r="C21" s="582"/>
      <c r="D21" s="372"/>
      <c r="E21" s="1156"/>
      <c r="F21" s="1156"/>
      <c r="G21" s="583"/>
      <c r="H21" s="583"/>
      <c r="I21" s="583"/>
      <c r="J21" s="583"/>
      <c r="K21" s="403"/>
      <c r="L21" s="403"/>
      <c r="M21" s="584"/>
      <c r="N21" s="584"/>
      <c r="O21" s="584"/>
      <c r="P21" s="584"/>
      <c r="Q21" s="1158"/>
      <c r="R21" s="1158"/>
      <c r="S21" s="405"/>
      <c r="T21" s="373"/>
      <c r="V21" s="80"/>
    </row>
    <row r="22" spans="2:22" ht="27" customHeight="1">
      <c r="C22" s="582"/>
      <c r="D22" s="372"/>
      <c r="E22" s="1156"/>
      <c r="F22" s="1156"/>
      <c r="G22" s="583"/>
      <c r="H22" s="583"/>
      <c r="I22" s="583"/>
      <c r="J22" s="583"/>
      <c r="K22" s="583"/>
      <c r="L22" s="584"/>
      <c r="M22" s="584"/>
      <c r="N22" s="584"/>
      <c r="O22" s="584"/>
      <c r="P22" s="584"/>
      <c r="Q22" s="1158"/>
      <c r="R22" s="1158"/>
      <c r="S22" s="405"/>
      <c r="T22" s="373"/>
    </row>
    <row r="23" spans="2:22" ht="27" customHeight="1">
      <c r="C23" s="582"/>
      <c r="D23" s="372"/>
      <c r="E23" s="1156"/>
      <c r="F23" s="1156"/>
      <c r="G23" s="583"/>
      <c r="H23" s="583"/>
      <c r="I23" s="583"/>
      <c r="J23" s="583"/>
      <c r="K23" s="583"/>
      <c r="L23" s="584"/>
      <c r="M23" s="584"/>
      <c r="N23" s="584"/>
      <c r="O23" s="584"/>
      <c r="P23" s="584"/>
      <c r="Q23" s="1158"/>
      <c r="R23" s="1158"/>
      <c r="S23" s="405"/>
      <c r="T23" s="373"/>
      <c r="V23" s="80"/>
    </row>
    <row r="24" spans="2:22" ht="27" customHeight="1">
      <c r="C24" s="582"/>
      <c r="D24" s="372"/>
      <c r="E24" s="1156"/>
      <c r="F24" s="1156"/>
      <c r="G24" s="583"/>
      <c r="H24" s="583"/>
      <c r="I24" s="583"/>
      <c r="J24" s="583"/>
      <c r="K24" s="583"/>
      <c r="L24" s="584"/>
      <c r="M24" s="584"/>
      <c r="N24" s="584"/>
      <c r="O24" s="584"/>
      <c r="P24" s="584"/>
      <c r="Q24" s="1158"/>
      <c r="R24" s="1158"/>
      <c r="S24" s="405"/>
      <c r="T24" s="373"/>
      <c r="V24" s="80"/>
    </row>
    <row r="25" spans="2:22" ht="27" customHeight="1">
      <c r="C25" s="585"/>
      <c r="D25" s="586"/>
      <c r="E25" s="1156"/>
      <c r="F25" s="1156"/>
      <c r="G25" s="583"/>
      <c r="H25" s="583"/>
      <c r="I25" s="583"/>
      <c r="J25" s="583"/>
      <c r="K25" s="583"/>
      <c r="L25" s="584"/>
      <c r="M25" s="584"/>
      <c r="N25" s="584"/>
      <c r="O25" s="584"/>
      <c r="P25" s="584"/>
      <c r="Q25" s="1158"/>
      <c r="R25" s="1158"/>
      <c r="S25" s="372"/>
      <c r="T25" s="373"/>
    </row>
    <row r="26" spans="2:22" ht="27" customHeight="1">
      <c r="C26" s="572"/>
      <c r="D26" s="171"/>
      <c r="E26" s="171"/>
      <c r="F26" s="171"/>
      <c r="G26" s="1157" t="str">
        <f>lang!B646</f>
        <v>저활력도</v>
      </c>
      <c r="H26" s="1157"/>
      <c r="I26" s="1157"/>
      <c r="J26" s="1157"/>
      <c r="K26" s="1157"/>
      <c r="L26" s="1157"/>
      <c r="M26" s="1157"/>
      <c r="N26" s="1157"/>
      <c r="O26" s="1157"/>
      <c r="P26" s="1157"/>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871"/>
      <c r="D46" s="872"/>
      <c r="E46" s="872"/>
      <c r="F46" s="872"/>
      <c r="G46" s="872"/>
      <c r="H46" s="872"/>
      <c r="I46" s="872"/>
      <c r="J46" s="872"/>
      <c r="K46" s="872"/>
      <c r="L46" s="872"/>
      <c r="M46" s="872"/>
      <c r="N46" s="872"/>
      <c r="O46" s="872"/>
      <c r="P46" s="872"/>
      <c r="Q46" s="872"/>
      <c r="R46" s="872"/>
      <c r="S46" s="872"/>
      <c r="T46" s="873"/>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C3:P4"/>
    <mergeCell ref="Q3:T4"/>
    <mergeCell ref="C7:E11"/>
    <mergeCell ref="F7:G7"/>
    <mergeCell ref="H7:J7"/>
    <mergeCell ref="P7:Q7"/>
    <mergeCell ref="R7:T7"/>
    <mergeCell ref="F8:G8"/>
    <mergeCell ref="H8:J8"/>
    <mergeCell ref="L7:N7"/>
    <mergeCell ref="E16:F25"/>
    <mergeCell ref="C46:T46"/>
    <mergeCell ref="R8:T8"/>
    <mergeCell ref="F9:G11"/>
    <mergeCell ref="H9:T11"/>
    <mergeCell ref="F12:G12"/>
    <mergeCell ref="C13:T13"/>
    <mergeCell ref="G26:P26"/>
    <mergeCell ref="Q16:R25"/>
    <mergeCell ref="L8:Q8"/>
    <mergeCell ref="G15:P15"/>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data_info!I54</f>
        <v>0</v>
      </c>
      <c r="P12" s="309">
        <f>data_info!I52</f>
        <v>2</v>
      </c>
      <c r="Q12" s="309">
        <f>data_info!I53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data_info!B50</f>
        <v>50</v>
      </c>
      <c r="R24" s="407">
        <f>data_info!B51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data_info!F50</f>
        <v>50</v>
      </c>
      <c r="R25" s="407">
        <f>data_info!F51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data_info!H50</f>
        <v>50</v>
      </c>
      <c r="R26" s="407">
        <f>data_info!H51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data_info!L50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data_info!J52</f>
        <v>보통</v>
      </c>
      <c r="G31" s="1163"/>
      <c r="H31" s="1163"/>
      <c r="I31" s="1163"/>
      <c r="J31" s="1164"/>
      <c r="K31" s="1161" t="str">
        <f>lang!B657</f>
        <v>피로도</v>
      </c>
      <c r="L31" s="1162"/>
      <c r="M31" s="1162"/>
      <c r="N31" s="1163" t="str">
        <f>data_info!J53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data_info!B52</f>
        <v>50</v>
      </c>
      <c r="D33" s="1172"/>
      <c r="E33" s="1172"/>
      <c r="F33" s="1172"/>
      <c r="G33" s="1172"/>
      <c r="H33" s="1172"/>
      <c r="I33" s="1172"/>
      <c r="J33" s="1173"/>
      <c r="K33" s="868">
        <f>data_info!B53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data_info!B52</f>
        <v>50</v>
      </c>
      <c r="G37" s="1182"/>
      <c r="H37" s="401">
        <f>data_info!F52</f>
        <v>50</v>
      </c>
      <c r="I37" s="401">
        <f>data_info!H52</f>
        <v>50</v>
      </c>
      <c r="J37" s="292"/>
      <c r="K37" s="389"/>
      <c r="L37" s="237"/>
      <c r="M37" s="237"/>
      <c r="N37" s="1183" t="str">
        <f>lang!B657</f>
        <v>피로도</v>
      </c>
      <c r="O37" s="1183"/>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data_info!K5</f>
        <v>낮음</v>
      </c>
      <c r="N40" s="854">
        <f>data_info!F5</f>
        <v>0</v>
      </c>
      <c r="O40" s="855"/>
      <c r="P40" s="856">
        <f>data_info!B5</f>
        <v>0</v>
      </c>
      <c r="Q40" s="857"/>
      <c r="R40" s="858">
        <f>data_info!H5</f>
        <v>0</v>
      </c>
      <c r="S40" s="859"/>
    </row>
    <row r="41" spans="3:19" ht="18" customHeight="1">
      <c r="C41" s="77"/>
      <c r="J41" s="84"/>
      <c r="K41" s="139" t="str">
        <f>lang!B15</f>
        <v>스트레스</v>
      </c>
      <c r="L41" s="90" t="s">
        <v>226</v>
      </c>
      <c r="M41" s="103" t="str">
        <f>data_info!K6</f>
        <v>낮음</v>
      </c>
      <c r="N41" s="860">
        <f>data_info!F6</f>
        <v>0</v>
      </c>
      <c r="O41" s="861"/>
      <c r="P41" s="862">
        <f>data_info!B6</f>
        <v>0</v>
      </c>
      <c r="Q41" s="863"/>
      <c r="R41" s="860">
        <f>data_info!H6</f>
        <v>0</v>
      </c>
      <c r="S41" s="864"/>
    </row>
    <row r="42" spans="3:19" ht="18" customHeight="1">
      <c r="C42" s="77"/>
      <c r="J42" s="84"/>
      <c r="K42" s="139" t="str">
        <f>lang!B16</f>
        <v>불안</v>
      </c>
      <c r="L42" s="90" t="s">
        <v>227</v>
      </c>
      <c r="M42" s="103" t="str">
        <f>data_info!K7</f>
        <v>낮음</v>
      </c>
      <c r="N42" s="860">
        <f>data_info!F7</f>
        <v>0</v>
      </c>
      <c r="O42" s="861"/>
      <c r="P42" s="862">
        <f>data_info!B7</f>
        <v>0</v>
      </c>
      <c r="Q42" s="863"/>
      <c r="R42" s="860">
        <f>data_info!H7</f>
        <v>0</v>
      </c>
      <c r="S42" s="864"/>
    </row>
    <row r="43" spans="3:19" ht="18" customHeight="1">
      <c r="C43" s="77"/>
      <c r="J43" s="84"/>
      <c r="K43" s="139" t="str">
        <f>lang!B17</f>
        <v>의심</v>
      </c>
      <c r="L43" s="90" t="s">
        <v>225</v>
      </c>
      <c r="M43" s="103" t="str">
        <f>data_info!K8</f>
        <v>낮음</v>
      </c>
      <c r="N43" s="860">
        <f>data_info!F8</f>
        <v>0</v>
      </c>
      <c r="O43" s="861"/>
      <c r="P43" s="862">
        <f>data_info!B8</f>
        <v>0</v>
      </c>
      <c r="Q43" s="863"/>
      <c r="R43" s="860">
        <f>data_info!H8</f>
        <v>0</v>
      </c>
      <c r="S43" s="864"/>
    </row>
    <row r="44" spans="3:19" ht="18" customHeight="1">
      <c r="C44" s="77"/>
      <c r="J44" s="84"/>
      <c r="K44" s="139" t="str">
        <f>lang!B18</f>
        <v>밸런스</v>
      </c>
      <c r="L44" s="90" t="s">
        <v>2171</v>
      </c>
      <c r="M44" s="103" t="str">
        <f>data_info!K9</f>
        <v>낮음</v>
      </c>
      <c r="N44" s="860">
        <f>data_info!F9</f>
        <v>0</v>
      </c>
      <c r="O44" s="861"/>
      <c r="P44" s="862">
        <f>data_info!B9</f>
        <v>0</v>
      </c>
      <c r="Q44" s="863"/>
      <c r="R44" s="860">
        <f>data_info!H9</f>
        <v>0</v>
      </c>
      <c r="S44" s="864"/>
    </row>
    <row r="45" spans="3:19" ht="18" customHeight="1">
      <c r="C45" s="77"/>
      <c r="J45" s="84"/>
      <c r="K45" s="139" t="str">
        <f>lang!B19</f>
        <v>카리스마</v>
      </c>
      <c r="L45" s="90" t="s">
        <v>229</v>
      </c>
      <c r="M45" s="103" t="str">
        <f>data_info!K10</f>
        <v>낮음</v>
      </c>
      <c r="N45" s="860">
        <f>data_info!F10</f>
        <v>0</v>
      </c>
      <c r="O45" s="861"/>
      <c r="P45" s="862">
        <f>data_info!B10</f>
        <v>0</v>
      </c>
      <c r="Q45" s="863"/>
      <c r="R45" s="860">
        <f>data_info!H10</f>
        <v>0</v>
      </c>
      <c r="S45" s="864"/>
    </row>
    <row r="46" spans="3:19" ht="18" customHeight="1">
      <c r="C46" s="77"/>
      <c r="J46" s="84"/>
      <c r="K46" s="139" t="str">
        <f>lang!B20</f>
        <v>에너지</v>
      </c>
      <c r="L46" s="90" t="s">
        <v>2170</v>
      </c>
      <c r="M46" s="103" t="str">
        <f>data_info!K11</f>
        <v>낮음</v>
      </c>
      <c r="N46" s="860">
        <f>data_info!F11</f>
        <v>0</v>
      </c>
      <c r="O46" s="861"/>
      <c r="P46" s="862">
        <f>data_info!B11</f>
        <v>0</v>
      </c>
      <c r="Q46" s="863"/>
      <c r="R46" s="860">
        <f>data_info!H11</f>
        <v>0</v>
      </c>
      <c r="S46" s="864"/>
    </row>
    <row r="47" spans="3:19" ht="18" customHeight="1">
      <c r="C47" s="77"/>
      <c r="J47" s="84"/>
      <c r="K47" s="139" t="str">
        <f>lang!B21</f>
        <v>자기조절</v>
      </c>
      <c r="L47" s="90" t="s">
        <v>230</v>
      </c>
      <c r="M47" s="103" t="str">
        <f>data_info!K12</f>
        <v>낮음</v>
      </c>
      <c r="N47" s="860">
        <f>data_info!F12</f>
        <v>0</v>
      </c>
      <c r="O47" s="861"/>
      <c r="P47" s="862">
        <f>data_info!B12</f>
        <v>0</v>
      </c>
      <c r="Q47" s="863"/>
      <c r="R47" s="860">
        <f>data_info!H12</f>
        <v>0</v>
      </c>
      <c r="S47" s="864"/>
    </row>
    <row r="48" spans="3:19" ht="18" customHeight="1">
      <c r="C48" s="77"/>
      <c r="J48" s="84"/>
      <c r="K48" s="139" t="str">
        <f>lang!B22</f>
        <v>억제</v>
      </c>
      <c r="L48" s="91" t="s">
        <v>248</v>
      </c>
      <c r="M48" s="103" t="str">
        <f>data_info!K13</f>
        <v>낮음</v>
      </c>
      <c r="N48" s="860">
        <f>data_info!F13</f>
        <v>0</v>
      </c>
      <c r="O48" s="861"/>
      <c r="P48" s="862">
        <f>data_info!B13</f>
        <v>0</v>
      </c>
      <c r="Q48" s="863"/>
      <c r="R48" s="860">
        <f>data_info!H13</f>
        <v>0</v>
      </c>
      <c r="S48" s="864"/>
    </row>
    <row r="49" spans="3:19" ht="18" customHeight="1" thickBot="1">
      <c r="C49" s="385"/>
      <c r="D49" s="248"/>
      <c r="E49" s="248"/>
      <c r="F49" s="248"/>
      <c r="G49" s="248"/>
      <c r="H49" s="248"/>
      <c r="I49" s="248"/>
      <c r="J49" s="386"/>
      <c r="K49" s="140" t="str">
        <f>lang!B23</f>
        <v>신경성</v>
      </c>
      <c r="L49" s="92" t="s">
        <v>231</v>
      </c>
      <c r="M49" s="371" t="str">
        <f>data_info!K14</f>
        <v>낮음</v>
      </c>
      <c r="N49" s="901">
        <f>data_info!F14</f>
        <v>0</v>
      </c>
      <c r="O49" s="902"/>
      <c r="P49" s="903">
        <f>data_info!B14</f>
        <v>0</v>
      </c>
      <c r="Q49" s="904"/>
      <c r="R49" s="901">
        <f>data_info!H14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I15:L20"/>
    <mergeCell ref="C13:S13"/>
    <mergeCell ref="F37:G37"/>
    <mergeCell ref="N37:O37"/>
    <mergeCell ref="N36:O36"/>
    <mergeCell ref="I23:L28"/>
    <mergeCell ref="F36:G36"/>
    <mergeCell ref="O23:P23"/>
    <mergeCell ref="O24:P24"/>
    <mergeCell ref="O25:P25"/>
    <mergeCell ref="O26:P26"/>
    <mergeCell ref="Q27:R27"/>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R40:S40"/>
    <mergeCell ref="N41:O41"/>
    <mergeCell ref="P41:Q41"/>
    <mergeCell ref="R41:S41"/>
    <mergeCell ref="N42:O42"/>
    <mergeCell ref="P42:Q42"/>
    <mergeCell ref="R42:S42"/>
    <mergeCell ref="N47:O47"/>
    <mergeCell ref="P47:Q47"/>
    <mergeCell ref="R47:S47"/>
    <mergeCell ref="N48:O48"/>
    <mergeCell ref="P48:Q48"/>
    <mergeCell ref="R48:S48"/>
    <mergeCell ref="N45:O45"/>
    <mergeCell ref="P45:Q45"/>
    <mergeCell ref="R45:S45"/>
    <mergeCell ref="N46:O46"/>
    <mergeCell ref="P46:Q46"/>
    <mergeCell ref="R46:S46"/>
    <mergeCell ref="N43:O43"/>
    <mergeCell ref="P43:Q43"/>
    <mergeCell ref="R43:S43"/>
    <mergeCell ref="N44:O44"/>
    <mergeCell ref="P44:Q44"/>
    <mergeCell ref="R44:S44"/>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C3:O4"/>
    <mergeCell ref="P3:S4"/>
    <mergeCell ref="C7:E11"/>
    <mergeCell ref="H7:J7"/>
    <mergeCell ref="L7:M7"/>
    <mergeCell ref="O7:P7"/>
    <mergeCell ref="Q7:S7"/>
    <mergeCell ref="H8:J8"/>
    <mergeCell ref="Q8:S8"/>
    <mergeCell ref="H9:S11"/>
    <mergeCell ref="F7:G7"/>
    <mergeCell ref="F8:G8"/>
    <mergeCell ref="F9:G11"/>
    <mergeCell ref="L8:P8"/>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data_info!AC54</f>
        <v>0</v>
      </c>
      <c r="P12" s="309">
        <f>data_info!AC52</f>
        <v>2</v>
      </c>
      <c r="Q12" s="309">
        <f>data_info!AC53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data_info!V50</f>
        <v>50</v>
      </c>
      <c r="R24" s="407">
        <f>data_info!V51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data_info!Z50</f>
        <v>50</v>
      </c>
      <c r="R25" s="407">
        <f>data_info!Z51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data_info!AB50</f>
        <v>50</v>
      </c>
      <c r="R26" s="407">
        <f>data_info!AB51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data_info!AF50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data_info!AD52</f>
        <v>보통</v>
      </c>
      <c r="G31" s="1163"/>
      <c r="H31" s="1163"/>
      <c r="I31" s="1163"/>
      <c r="J31" s="1164"/>
      <c r="K31" s="1161" t="str">
        <f>lang!B657</f>
        <v>피로도</v>
      </c>
      <c r="L31" s="1162"/>
      <c r="M31" s="1162"/>
      <c r="N31" s="1163" t="str">
        <f>data_info!AD53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data_info!V52</f>
        <v>50</v>
      </c>
      <c r="D33" s="1172"/>
      <c r="E33" s="1172"/>
      <c r="F33" s="1172"/>
      <c r="G33" s="1172"/>
      <c r="H33" s="1172"/>
      <c r="I33" s="1172"/>
      <c r="J33" s="1173"/>
      <c r="K33" s="868">
        <f>data_info!V53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data_info!V52</f>
        <v>50</v>
      </c>
      <c r="G37" s="1182"/>
      <c r="H37" s="401">
        <f>data_info!Z52</f>
        <v>50</v>
      </c>
      <c r="I37" s="401">
        <f>data_info!AB52</f>
        <v>50</v>
      </c>
      <c r="J37" s="292"/>
      <c r="K37" s="389"/>
      <c r="L37" s="237"/>
      <c r="M37" s="237"/>
      <c r="N37" s="1183" t="str">
        <f>lang!B657</f>
        <v>피로도</v>
      </c>
      <c r="O37" s="1183"/>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data_info!AE5</f>
        <v>낮음</v>
      </c>
      <c r="N40" s="854">
        <f>data_info!Z5</f>
        <v>0</v>
      </c>
      <c r="O40" s="855"/>
      <c r="P40" s="856">
        <f>data_info!V5</f>
        <v>0</v>
      </c>
      <c r="Q40" s="857"/>
      <c r="R40" s="858">
        <f>data_info!AB5</f>
        <v>0</v>
      </c>
      <c r="S40" s="859"/>
    </row>
    <row r="41" spans="3:19" ht="18" customHeight="1">
      <c r="C41" s="77"/>
      <c r="J41" s="84"/>
      <c r="K41" s="139" t="str">
        <f>lang!B15</f>
        <v>스트레스</v>
      </c>
      <c r="L41" s="90" t="s">
        <v>226</v>
      </c>
      <c r="M41" s="103" t="str">
        <f>data_info!AE6</f>
        <v>낮음</v>
      </c>
      <c r="N41" s="860">
        <f>data_info!Z6</f>
        <v>0</v>
      </c>
      <c r="O41" s="861"/>
      <c r="P41" s="862">
        <f>data_info!V6</f>
        <v>0</v>
      </c>
      <c r="Q41" s="863"/>
      <c r="R41" s="860">
        <f>data_info!AB6</f>
        <v>0</v>
      </c>
      <c r="S41" s="864"/>
    </row>
    <row r="42" spans="3:19" ht="18" customHeight="1">
      <c r="C42" s="77"/>
      <c r="J42" s="84"/>
      <c r="K42" s="139" t="str">
        <f>lang!B16</f>
        <v>불안</v>
      </c>
      <c r="L42" s="90" t="s">
        <v>227</v>
      </c>
      <c r="M42" s="103" t="str">
        <f>data_info!AE7</f>
        <v>낮음</v>
      </c>
      <c r="N42" s="860">
        <f>data_info!Z7</f>
        <v>0</v>
      </c>
      <c r="O42" s="861"/>
      <c r="P42" s="862">
        <f>data_info!V7</f>
        <v>0</v>
      </c>
      <c r="Q42" s="863"/>
      <c r="R42" s="860">
        <f>data_info!AB7</f>
        <v>0</v>
      </c>
      <c r="S42" s="864"/>
    </row>
    <row r="43" spans="3:19" ht="18" customHeight="1">
      <c r="C43" s="77"/>
      <c r="J43" s="84"/>
      <c r="K43" s="139" t="str">
        <f>lang!B17</f>
        <v>의심</v>
      </c>
      <c r="L43" s="90" t="s">
        <v>225</v>
      </c>
      <c r="M43" s="103" t="str">
        <f>data_info!AE8</f>
        <v>낮음</v>
      </c>
      <c r="N43" s="860">
        <f>data_info!Z8</f>
        <v>0</v>
      </c>
      <c r="O43" s="861"/>
      <c r="P43" s="862">
        <f>data_info!V8</f>
        <v>0</v>
      </c>
      <c r="Q43" s="863"/>
      <c r="R43" s="860">
        <f>data_info!AB8</f>
        <v>0</v>
      </c>
      <c r="S43" s="864"/>
    </row>
    <row r="44" spans="3:19" ht="18" customHeight="1">
      <c r="C44" s="77"/>
      <c r="J44" s="84"/>
      <c r="K44" s="139" t="str">
        <f>lang!B18</f>
        <v>밸런스</v>
      </c>
      <c r="L44" s="90" t="s">
        <v>2171</v>
      </c>
      <c r="M44" s="103" t="str">
        <f>data_info!AE9</f>
        <v>낮음</v>
      </c>
      <c r="N44" s="860">
        <f>data_info!Z9</f>
        <v>0</v>
      </c>
      <c r="O44" s="861"/>
      <c r="P44" s="862">
        <f>data_info!V9</f>
        <v>0</v>
      </c>
      <c r="Q44" s="863"/>
      <c r="R44" s="860">
        <f>data_info!AB9</f>
        <v>0</v>
      </c>
      <c r="S44" s="864"/>
    </row>
    <row r="45" spans="3:19" ht="18" customHeight="1">
      <c r="C45" s="77"/>
      <c r="J45" s="84"/>
      <c r="K45" s="139" t="str">
        <f>lang!B19</f>
        <v>카리스마</v>
      </c>
      <c r="L45" s="90" t="s">
        <v>229</v>
      </c>
      <c r="M45" s="103" t="str">
        <f>data_info!AE10</f>
        <v>낮음</v>
      </c>
      <c r="N45" s="860">
        <f>data_info!Z10</f>
        <v>0</v>
      </c>
      <c r="O45" s="861"/>
      <c r="P45" s="862">
        <f>data_info!V10</f>
        <v>0</v>
      </c>
      <c r="Q45" s="863"/>
      <c r="R45" s="860">
        <f>data_info!AB10</f>
        <v>0</v>
      </c>
      <c r="S45" s="864"/>
    </row>
    <row r="46" spans="3:19" ht="18" customHeight="1">
      <c r="C46" s="77"/>
      <c r="J46" s="84"/>
      <c r="K46" s="139" t="str">
        <f>lang!B20</f>
        <v>에너지</v>
      </c>
      <c r="L46" s="90" t="s">
        <v>2170</v>
      </c>
      <c r="M46" s="103" t="str">
        <f>data_info!AE11</f>
        <v>낮음</v>
      </c>
      <c r="N46" s="860">
        <f>data_info!Z11</f>
        <v>0</v>
      </c>
      <c r="O46" s="861"/>
      <c r="P46" s="862">
        <f>data_info!V11</f>
        <v>0</v>
      </c>
      <c r="Q46" s="863"/>
      <c r="R46" s="860">
        <f>data_info!AB11</f>
        <v>0</v>
      </c>
      <c r="S46" s="864"/>
    </row>
    <row r="47" spans="3:19" ht="18" customHeight="1">
      <c r="C47" s="77"/>
      <c r="J47" s="84"/>
      <c r="K47" s="139" t="str">
        <f>lang!B21</f>
        <v>자기조절</v>
      </c>
      <c r="L47" s="90" t="s">
        <v>230</v>
      </c>
      <c r="M47" s="103" t="str">
        <f>data_info!AE12</f>
        <v>낮음</v>
      </c>
      <c r="N47" s="860">
        <f>data_info!Z12</f>
        <v>0</v>
      </c>
      <c r="O47" s="861"/>
      <c r="P47" s="862">
        <f>data_info!V12</f>
        <v>0</v>
      </c>
      <c r="Q47" s="863"/>
      <c r="R47" s="860">
        <f>data_info!AB12</f>
        <v>0</v>
      </c>
      <c r="S47" s="864"/>
    </row>
    <row r="48" spans="3:19" ht="18" customHeight="1">
      <c r="C48" s="77"/>
      <c r="J48" s="84"/>
      <c r="K48" s="139" t="str">
        <f>lang!B22</f>
        <v>억제</v>
      </c>
      <c r="L48" s="91" t="s">
        <v>248</v>
      </c>
      <c r="M48" s="103" t="str">
        <f>data_info!AE13</f>
        <v>낮음</v>
      </c>
      <c r="N48" s="860">
        <f>data_info!Z13</f>
        <v>0</v>
      </c>
      <c r="O48" s="861"/>
      <c r="P48" s="862">
        <f>data_info!V13</f>
        <v>0</v>
      </c>
      <c r="Q48" s="863"/>
      <c r="R48" s="860">
        <f>data_info!AB13</f>
        <v>0</v>
      </c>
      <c r="S48" s="864"/>
    </row>
    <row r="49" spans="3:19" ht="18" customHeight="1" thickBot="1">
      <c r="C49" s="385"/>
      <c r="D49" s="248"/>
      <c r="E49" s="248"/>
      <c r="F49" s="248"/>
      <c r="G49" s="248"/>
      <c r="H49" s="248"/>
      <c r="I49" s="248"/>
      <c r="J49" s="386"/>
      <c r="K49" s="140" t="str">
        <f>lang!B23</f>
        <v>신경성</v>
      </c>
      <c r="L49" s="92" t="s">
        <v>231</v>
      </c>
      <c r="M49" s="371" t="str">
        <f>data_info!AE14</f>
        <v>낮음</v>
      </c>
      <c r="N49" s="901">
        <f>data_info!Z14</f>
        <v>0</v>
      </c>
      <c r="O49" s="902"/>
      <c r="P49" s="903">
        <f>data_info!V14</f>
        <v>0</v>
      </c>
      <c r="Q49" s="904"/>
      <c r="R49" s="901">
        <f>data_info!AB14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N49:O49"/>
    <mergeCell ref="P49:Q49"/>
    <mergeCell ref="R49:S49"/>
    <mergeCell ref="C50:S50"/>
    <mergeCell ref="N47:O47"/>
    <mergeCell ref="P47:Q47"/>
    <mergeCell ref="R47:S47"/>
    <mergeCell ref="N48:O48"/>
    <mergeCell ref="P48:Q48"/>
    <mergeCell ref="R48:S48"/>
    <mergeCell ref="N45:O45"/>
    <mergeCell ref="P45:Q45"/>
    <mergeCell ref="R45:S45"/>
    <mergeCell ref="N46:O46"/>
    <mergeCell ref="P46:Q46"/>
    <mergeCell ref="R46:S46"/>
    <mergeCell ref="N43:O43"/>
    <mergeCell ref="P43:Q43"/>
    <mergeCell ref="R43:S43"/>
    <mergeCell ref="N44:O44"/>
    <mergeCell ref="P44:Q44"/>
    <mergeCell ref="R44:S44"/>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O26:P26"/>
    <mergeCell ref="D29:L29"/>
    <mergeCell ref="C31:E31"/>
    <mergeCell ref="F31:J31"/>
    <mergeCell ref="K31:M31"/>
    <mergeCell ref="N31:S31"/>
    <mergeCell ref="D23:H28"/>
    <mergeCell ref="I23:L28"/>
    <mergeCell ref="O23:P23"/>
    <mergeCell ref="O24:P24"/>
    <mergeCell ref="O25:P25"/>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data_info!AW54</f>
        <v>0</v>
      </c>
      <c r="P12" s="309">
        <f>data_info!AW52</f>
        <v>2</v>
      </c>
      <c r="Q12" s="309">
        <f>data_info!AW53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data_info!AP50</f>
        <v>50</v>
      </c>
      <c r="R24" s="407">
        <f>data_info!AP51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data_info!AT50</f>
        <v>50</v>
      </c>
      <c r="R25" s="407">
        <f>data_info!AT51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data_info!AV50</f>
        <v>50</v>
      </c>
      <c r="R26" s="407">
        <f>data_info!AV51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data_info!AZ50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data_info!AX52</f>
        <v>보통</v>
      </c>
      <c r="G31" s="1163"/>
      <c r="H31" s="1163"/>
      <c r="I31" s="1163"/>
      <c r="J31" s="1164"/>
      <c r="K31" s="1161" t="str">
        <f>lang!B657</f>
        <v>피로도</v>
      </c>
      <c r="L31" s="1162"/>
      <c r="M31" s="1162"/>
      <c r="N31" s="1163" t="str">
        <f>data_info!AX53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data_info!AP52</f>
        <v>50</v>
      </c>
      <c r="D33" s="1172"/>
      <c r="E33" s="1172"/>
      <c r="F33" s="1172"/>
      <c r="G33" s="1172"/>
      <c r="H33" s="1172"/>
      <c r="I33" s="1172"/>
      <c r="J33" s="1173"/>
      <c r="K33" s="868">
        <f>data_info!AP53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data_info!AP52</f>
        <v>50</v>
      </c>
      <c r="G37" s="1182"/>
      <c r="H37" s="401">
        <f>data_info!AT52</f>
        <v>50</v>
      </c>
      <c r="I37" s="401">
        <f>data_info!AV52</f>
        <v>50</v>
      </c>
      <c r="J37" s="292"/>
      <c r="K37" s="389"/>
      <c r="L37" s="237"/>
      <c r="M37" s="237"/>
      <c r="N37" s="1183" t="str">
        <f>lang!B657</f>
        <v>피로도</v>
      </c>
      <c r="O37" s="1183"/>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data_info!AY5</f>
        <v>낮음</v>
      </c>
      <c r="N40" s="854">
        <f>data_info!AT5</f>
        <v>0</v>
      </c>
      <c r="O40" s="855"/>
      <c r="P40" s="856">
        <f>data_info!AP5</f>
        <v>0</v>
      </c>
      <c r="Q40" s="857"/>
      <c r="R40" s="858">
        <f>data_info!AV5</f>
        <v>0</v>
      </c>
      <c r="S40" s="859"/>
    </row>
    <row r="41" spans="3:19" ht="18" customHeight="1">
      <c r="C41" s="77"/>
      <c r="J41" s="84"/>
      <c r="K41" s="139" t="str">
        <f>lang!B15</f>
        <v>스트레스</v>
      </c>
      <c r="L41" s="90" t="s">
        <v>226</v>
      </c>
      <c r="M41" s="103" t="str">
        <f>data_info!AY6</f>
        <v>낮음</v>
      </c>
      <c r="N41" s="860">
        <f>data_info!AT6</f>
        <v>0</v>
      </c>
      <c r="O41" s="861"/>
      <c r="P41" s="862">
        <f>data_info!AP6</f>
        <v>0</v>
      </c>
      <c r="Q41" s="863"/>
      <c r="R41" s="860">
        <f>data_info!AV6</f>
        <v>0</v>
      </c>
      <c r="S41" s="864"/>
    </row>
    <row r="42" spans="3:19" ht="18" customHeight="1">
      <c r="C42" s="77"/>
      <c r="J42" s="84"/>
      <c r="K42" s="139" t="str">
        <f>lang!B16</f>
        <v>불안</v>
      </c>
      <c r="L42" s="90" t="s">
        <v>227</v>
      </c>
      <c r="M42" s="103" t="str">
        <f>data_info!AY7</f>
        <v>낮음</v>
      </c>
      <c r="N42" s="860">
        <f>data_info!AT7</f>
        <v>0</v>
      </c>
      <c r="O42" s="861"/>
      <c r="P42" s="862">
        <f>data_info!AP7</f>
        <v>0</v>
      </c>
      <c r="Q42" s="863"/>
      <c r="R42" s="860">
        <f>data_info!AV7</f>
        <v>0</v>
      </c>
      <c r="S42" s="864"/>
    </row>
    <row r="43" spans="3:19" ht="18" customHeight="1">
      <c r="C43" s="77"/>
      <c r="J43" s="84"/>
      <c r="K43" s="139" t="str">
        <f>lang!B17</f>
        <v>의심</v>
      </c>
      <c r="L43" s="90" t="s">
        <v>225</v>
      </c>
      <c r="M43" s="103" t="str">
        <f>data_info!AY8</f>
        <v>낮음</v>
      </c>
      <c r="N43" s="860">
        <f>data_info!AT8</f>
        <v>0</v>
      </c>
      <c r="O43" s="861"/>
      <c r="P43" s="862">
        <f>data_info!AP8</f>
        <v>0</v>
      </c>
      <c r="Q43" s="863"/>
      <c r="R43" s="860">
        <f>data_info!AV8</f>
        <v>0</v>
      </c>
      <c r="S43" s="864"/>
    </row>
    <row r="44" spans="3:19" ht="18" customHeight="1">
      <c r="C44" s="77"/>
      <c r="J44" s="84"/>
      <c r="K44" s="139" t="str">
        <f>lang!B18</f>
        <v>밸런스</v>
      </c>
      <c r="L44" s="90" t="s">
        <v>2171</v>
      </c>
      <c r="M44" s="103" t="str">
        <f>data_info!AY9</f>
        <v>낮음</v>
      </c>
      <c r="N44" s="860">
        <f>data_info!AT9</f>
        <v>0</v>
      </c>
      <c r="O44" s="861"/>
      <c r="P44" s="862">
        <f>data_info!AP9</f>
        <v>0</v>
      </c>
      <c r="Q44" s="863"/>
      <c r="R44" s="860">
        <f>data_info!AV9</f>
        <v>0</v>
      </c>
      <c r="S44" s="864"/>
    </row>
    <row r="45" spans="3:19" ht="18" customHeight="1">
      <c r="C45" s="77"/>
      <c r="J45" s="84"/>
      <c r="K45" s="139" t="str">
        <f>lang!B19</f>
        <v>카리스마</v>
      </c>
      <c r="L45" s="90" t="s">
        <v>229</v>
      </c>
      <c r="M45" s="103" t="str">
        <f>data_info!AY10</f>
        <v>낮음</v>
      </c>
      <c r="N45" s="860">
        <f>data_info!AT10</f>
        <v>0</v>
      </c>
      <c r="O45" s="861"/>
      <c r="P45" s="862">
        <f>data_info!AP10</f>
        <v>0</v>
      </c>
      <c r="Q45" s="863"/>
      <c r="R45" s="860">
        <f>data_info!AV10</f>
        <v>0</v>
      </c>
      <c r="S45" s="864"/>
    </row>
    <row r="46" spans="3:19" ht="18" customHeight="1">
      <c r="C46" s="77"/>
      <c r="J46" s="84"/>
      <c r="K46" s="139" t="str">
        <f>lang!B20</f>
        <v>에너지</v>
      </c>
      <c r="L46" s="90" t="s">
        <v>2170</v>
      </c>
      <c r="M46" s="103" t="str">
        <f>data_info!AY11</f>
        <v>낮음</v>
      </c>
      <c r="N46" s="860">
        <f>data_info!AT11</f>
        <v>0</v>
      </c>
      <c r="O46" s="861"/>
      <c r="P46" s="862">
        <f>data_info!AP11</f>
        <v>0</v>
      </c>
      <c r="Q46" s="863"/>
      <c r="R46" s="860">
        <f>data_info!AV11</f>
        <v>0</v>
      </c>
      <c r="S46" s="864"/>
    </row>
    <row r="47" spans="3:19" ht="18" customHeight="1">
      <c r="C47" s="77"/>
      <c r="J47" s="84"/>
      <c r="K47" s="139" t="str">
        <f>lang!B21</f>
        <v>자기조절</v>
      </c>
      <c r="L47" s="90" t="s">
        <v>230</v>
      </c>
      <c r="M47" s="103" t="str">
        <f>data_info!AY12</f>
        <v>낮음</v>
      </c>
      <c r="N47" s="860">
        <f>data_info!AT12</f>
        <v>0</v>
      </c>
      <c r="O47" s="861"/>
      <c r="P47" s="862">
        <f>data_info!AP12</f>
        <v>0</v>
      </c>
      <c r="Q47" s="863"/>
      <c r="R47" s="860">
        <f>data_info!AV12</f>
        <v>0</v>
      </c>
      <c r="S47" s="864"/>
    </row>
    <row r="48" spans="3:19" ht="18" customHeight="1">
      <c r="C48" s="77"/>
      <c r="J48" s="84"/>
      <c r="K48" s="139" t="str">
        <f>lang!B22</f>
        <v>억제</v>
      </c>
      <c r="L48" s="91" t="s">
        <v>248</v>
      </c>
      <c r="M48" s="103" t="str">
        <f>data_info!AY13</f>
        <v>낮음</v>
      </c>
      <c r="N48" s="860">
        <f>data_info!AT13</f>
        <v>0</v>
      </c>
      <c r="O48" s="861"/>
      <c r="P48" s="862">
        <f>data_info!AP13</f>
        <v>0</v>
      </c>
      <c r="Q48" s="863"/>
      <c r="R48" s="860">
        <f>data_info!AV13</f>
        <v>0</v>
      </c>
      <c r="S48" s="864"/>
    </row>
    <row r="49" spans="3:19" ht="18" customHeight="1" thickBot="1">
      <c r="C49" s="385"/>
      <c r="D49" s="248"/>
      <c r="E49" s="248"/>
      <c r="F49" s="248"/>
      <c r="G49" s="248"/>
      <c r="H49" s="248"/>
      <c r="I49" s="248"/>
      <c r="J49" s="386"/>
      <c r="K49" s="140" t="str">
        <f>lang!B23</f>
        <v>신경성</v>
      </c>
      <c r="L49" s="92" t="s">
        <v>231</v>
      </c>
      <c r="M49" s="371" t="str">
        <f>data_info!AY14</f>
        <v>낮음</v>
      </c>
      <c r="N49" s="901">
        <f>data_info!AT14</f>
        <v>0</v>
      </c>
      <c r="O49" s="902"/>
      <c r="P49" s="903">
        <f>data_info!AP14</f>
        <v>0</v>
      </c>
      <c r="Q49" s="904"/>
      <c r="R49" s="901">
        <f>data_info!AV14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N49:O49"/>
    <mergeCell ref="P49:Q49"/>
    <mergeCell ref="R49:S49"/>
    <mergeCell ref="C50:S50"/>
    <mergeCell ref="N47:O47"/>
    <mergeCell ref="P47:Q47"/>
    <mergeCell ref="R47:S47"/>
    <mergeCell ref="N48:O48"/>
    <mergeCell ref="P48:Q48"/>
    <mergeCell ref="R48:S48"/>
    <mergeCell ref="N45:O45"/>
    <mergeCell ref="P45:Q45"/>
    <mergeCell ref="R45:S45"/>
    <mergeCell ref="N46:O46"/>
    <mergeCell ref="P46:Q46"/>
    <mergeCell ref="R46:S46"/>
    <mergeCell ref="N43:O43"/>
    <mergeCell ref="P43:Q43"/>
    <mergeCell ref="R43:S43"/>
    <mergeCell ref="N44:O44"/>
    <mergeCell ref="P44:Q44"/>
    <mergeCell ref="R44:S44"/>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O26:P26"/>
    <mergeCell ref="D29:L29"/>
    <mergeCell ref="C31:E31"/>
    <mergeCell ref="F31:J31"/>
    <mergeCell ref="K31:M31"/>
    <mergeCell ref="N31:S31"/>
    <mergeCell ref="D23:H28"/>
    <mergeCell ref="I23:L28"/>
    <mergeCell ref="O23:P23"/>
    <mergeCell ref="O24:P24"/>
    <mergeCell ref="O25:P25"/>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data_info!BQ54</f>
        <v>0</v>
      </c>
      <c r="P12" s="309">
        <f>data_info!BQ52</f>
        <v>2</v>
      </c>
      <c r="Q12" s="309">
        <f>data_info!BQ53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data_info!BJ50</f>
        <v>50</v>
      </c>
      <c r="R24" s="407">
        <f>data_info!BJ51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data_info!BN50</f>
        <v>50</v>
      </c>
      <c r="R25" s="407">
        <f>data_info!BN51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data_info!BP50</f>
        <v>50</v>
      </c>
      <c r="R26" s="407">
        <f>data_info!BP51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data_info!BT50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data_info!BR52</f>
        <v>보통</v>
      </c>
      <c r="G31" s="1163"/>
      <c r="H31" s="1163"/>
      <c r="I31" s="1163"/>
      <c r="J31" s="1164"/>
      <c r="K31" s="1161" t="str">
        <f>lang!B657</f>
        <v>피로도</v>
      </c>
      <c r="L31" s="1162"/>
      <c r="M31" s="1162"/>
      <c r="N31" s="1163" t="str">
        <f>data_info!BR53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data_info!BJ52</f>
        <v>50</v>
      </c>
      <c r="D33" s="1172"/>
      <c r="E33" s="1172"/>
      <c r="F33" s="1172"/>
      <c r="G33" s="1172"/>
      <c r="H33" s="1172"/>
      <c r="I33" s="1172"/>
      <c r="J33" s="1173"/>
      <c r="K33" s="868">
        <f>data_info!BJ53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data_info!BJ52</f>
        <v>50</v>
      </c>
      <c r="G37" s="1182"/>
      <c r="H37" s="401">
        <f>data_info!BN52</f>
        <v>50</v>
      </c>
      <c r="I37" s="401">
        <f>data_info!BP52</f>
        <v>50</v>
      </c>
      <c r="J37" s="292"/>
      <c r="K37" s="389"/>
      <c r="L37" s="237"/>
      <c r="M37" s="237"/>
      <c r="N37" s="1183" t="str">
        <f>lang!B657</f>
        <v>피로도</v>
      </c>
      <c r="O37" s="1183"/>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data_info!BS5</f>
        <v>낮음</v>
      </c>
      <c r="N40" s="854">
        <f>data_info!BN5</f>
        <v>0</v>
      </c>
      <c r="O40" s="855"/>
      <c r="P40" s="856">
        <f>data_info!BJ5</f>
        <v>0</v>
      </c>
      <c r="Q40" s="857"/>
      <c r="R40" s="858">
        <f>data_info!BP5</f>
        <v>0</v>
      </c>
      <c r="S40" s="859"/>
    </row>
    <row r="41" spans="3:19" ht="18" customHeight="1">
      <c r="C41" s="77"/>
      <c r="J41" s="84"/>
      <c r="K41" s="139" t="str">
        <f>lang!B15</f>
        <v>스트레스</v>
      </c>
      <c r="L41" s="90" t="s">
        <v>226</v>
      </c>
      <c r="M41" s="103" t="str">
        <f>data_info!BS6</f>
        <v>낮음</v>
      </c>
      <c r="N41" s="860">
        <f>data_info!BN6</f>
        <v>0</v>
      </c>
      <c r="O41" s="861"/>
      <c r="P41" s="862">
        <f>data_info!BJ6</f>
        <v>0</v>
      </c>
      <c r="Q41" s="863"/>
      <c r="R41" s="860">
        <f>data_info!BP6</f>
        <v>0</v>
      </c>
      <c r="S41" s="864"/>
    </row>
    <row r="42" spans="3:19" ht="18" customHeight="1">
      <c r="C42" s="77"/>
      <c r="J42" s="84"/>
      <c r="K42" s="139" t="str">
        <f>lang!B16</f>
        <v>불안</v>
      </c>
      <c r="L42" s="90" t="s">
        <v>227</v>
      </c>
      <c r="M42" s="103" t="str">
        <f>data_info!BS7</f>
        <v>낮음</v>
      </c>
      <c r="N42" s="860">
        <f>data_info!BN7</f>
        <v>0</v>
      </c>
      <c r="O42" s="861"/>
      <c r="P42" s="862">
        <f>data_info!BJ7</f>
        <v>0</v>
      </c>
      <c r="Q42" s="863"/>
      <c r="R42" s="860">
        <f>data_info!BP7</f>
        <v>0</v>
      </c>
      <c r="S42" s="864"/>
    </row>
    <row r="43" spans="3:19" ht="18" customHeight="1">
      <c r="C43" s="77"/>
      <c r="J43" s="84"/>
      <c r="K43" s="139" t="str">
        <f>lang!B17</f>
        <v>의심</v>
      </c>
      <c r="L43" s="90" t="s">
        <v>225</v>
      </c>
      <c r="M43" s="103" t="str">
        <f>data_info!BS8</f>
        <v>낮음</v>
      </c>
      <c r="N43" s="860">
        <f>data_info!BN8</f>
        <v>0</v>
      </c>
      <c r="O43" s="861"/>
      <c r="P43" s="862">
        <f>data_info!BJ8</f>
        <v>0</v>
      </c>
      <c r="Q43" s="863"/>
      <c r="R43" s="860">
        <f>data_info!BP8</f>
        <v>0</v>
      </c>
      <c r="S43" s="864"/>
    </row>
    <row r="44" spans="3:19" ht="18" customHeight="1">
      <c r="C44" s="77"/>
      <c r="J44" s="84"/>
      <c r="K44" s="139" t="str">
        <f>lang!B18</f>
        <v>밸런스</v>
      </c>
      <c r="L44" s="90" t="s">
        <v>2171</v>
      </c>
      <c r="M44" s="103" t="str">
        <f>data_info!BS9</f>
        <v>낮음</v>
      </c>
      <c r="N44" s="860">
        <f>data_info!BN9</f>
        <v>0</v>
      </c>
      <c r="O44" s="861"/>
      <c r="P44" s="862">
        <f>data_info!BJ9</f>
        <v>0</v>
      </c>
      <c r="Q44" s="863"/>
      <c r="R44" s="860">
        <f>data_info!BP9</f>
        <v>0</v>
      </c>
      <c r="S44" s="864"/>
    </row>
    <row r="45" spans="3:19" ht="18" customHeight="1">
      <c r="C45" s="77"/>
      <c r="J45" s="84"/>
      <c r="K45" s="139" t="str">
        <f>lang!B19</f>
        <v>카리스마</v>
      </c>
      <c r="L45" s="90" t="s">
        <v>229</v>
      </c>
      <c r="M45" s="103" t="str">
        <f>data_info!BS10</f>
        <v>낮음</v>
      </c>
      <c r="N45" s="860">
        <f>data_info!BN10</f>
        <v>0</v>
      </c>
      <c r="O45" s="861"/>
      <c r="P45" s="862">
        <f>data_info!BJ10</f>
        <v>0</v>
      </c>
      <c r="Q45" s="863"/>
      <c r="R45" s="860">
        <f>data_info!BP10</f>
        <v>0</v>
      </c>
      <c r="S45" s="864"/>
    </row>
    <row r="46" spans="3:19" ht="18" customHeight="1">
      <c r="C46" s="77"/>
      <c r="J46" s="84"/>
      <c r="K46" s="139" t="str">
        <f>lang!B20</f>
        <v>에너지</v>
      </c>
      <c r="L46" s="90" t="s">
        <v>2170</v>
      </c>
      <c r="M46" s="103" t="str">
        <f>data_info!BS11</f>
        <v>낮음</v>
      </c>
      <c r="N46" s="860">
        <f>data_info!BN11</f>
        <v>0</v>
      </c>
      <c r="O46" s="861"/>
      <c r="P46" s="862">
        <f>data_info!BJ11</f>
        <v>0</v>
      </c>
      <c r="Q46" s="863"/>
      <c r="R46" s="860">
        <f>data_info!BP11</f>
        <v>0</v>
      </c>
      <c r="S46" s="864"/>
    </row>
    <row r="47" spans="3:19" ht="18" customHeight="1">
      <c r="C47" s="77"/>
      <c r="J47" s="84"/>
      <c r="K47" s="139" t="str">
        <f>lang!B21</f>
        <v>자기조절</v>
      </c>
      <c r="L47" s="90" t="s">
        <v>230</v>
      </c>
      <c r="M47" s="103" t="str">
        <f>data_info!BS12</f>
        <v>낮음</v>
      </c>
      <c r="N47" s="860">
        <f>data_info!BN12</f>
        <v>0</v>
      </c>
      <c r="O47" s="861"/>
      <c r="P47" s="862">
        <f>data_info!BJ12</f>
        <v>0</v>
      </c>
      <c r="Q47" s="863"/>
      <c r="R47" s="860">
        <f>data_info!BP12</f>
        <v>0</v>
      </c>
      <c r="S47" s="864"/>
    </row>
    <row r="48" spans="3:19" ht="18" customHeight="1">
      <c r="C48" s="77"/>
      <c r="J48" s="84"/>
      <c r="K48" s="139" t="str">
        <f>lang!B22</f>
        <v>억제</v>
      </c>
      <c r="L48" s="91" t="s">
        <v>248</v>
      </c>
      <c r="M48" s="103" t="str">
        <f>data_info!BS13</f>
        <v>낮음</v>
      </c>
      <c r="N48" s="860">
        <f>data_info!BN13</f>
        <v>0</v>
      </c>
      <c r="O48" s="861"/>
      <c r="P48" s="862">
        <f>data_info!BJ13</f>
        <v>0</v>
      </c>
      <c r="Q48" s="863"/>
      <c r="R48" s="860">
        <f>data_info!BP13</f>
        <v>0</v>
      </c>
      <c r="S48" s="864"/>
    </row>
    <row r="49" spans="3:19" ht="18" customHeight="1" thickBot="1">
      <c r="C49" s="385"/>
      <c r="D49" s="248"/>
      <c r="E49" s="248"/>
      <c r="F49" s="248"/>
      <c r="G49" s="248"/>
      <c r="H49" s="248"/>
      <c r="I49" s="248"/>
      <c r="J49" s="386"/>
      <c r="K49" s="140" t="str">
        <f>lang!B23</f>
        <v>신경성</v>
      </c>
      <c r="L49" s="92" t="s">
        <v>231</v>
      </c>
      <c r="M49" s="371" t="str">
        <f>data_info!BS14</f>
        <v>낮음</v>
      </c>
      <c r="N49" s="901">
        <f>data_info!BN14</f>
        <v>0</v>
      </c>
      <c r="O49" s="902"/>
      <c r="P49" s="903">
        <f>data_info!BJ14</f>
        <v>0</v>
      </c>
      <c r="Q49" s="904"/>
      <c r="R49" s="901">
        <f>data_info!BP14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data_info!CK54</f>
        <v>0</v>
      </c>
      <c r="P12" s="309">
        <f>data_info!CK52</f>
        <v>2</v>
      </c>
      <c r="Q12" s="309">
        <f>data_info!CK53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data_info!CD50</f>
        <v>50</v>
      </c>
      <c r="R24" s="407">
        <f>data_info!CD51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data_info!CH50</f>
        <v>50</v>
      </c>
      <c r="R25" s="407">
        <f>data_info!CH51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data_info!CJ50</f>
        <v>50</v>
      </c>
      <c r="R26" s="407">
        <f>data_info!CJ51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data_info!CN50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data_info!CL52</f>
        <v>보통</v>
      </c>
      <c r="G31" s="1163"/>
      <c r="H31" s="1163"/>
      <c r="I31" s="1163"/>
      <c r="J31" s="1164"/>
      <c r="K31" s="1161" t="str">
        <f>lang!B657</f>
        <v>피로도</v>
      </c>
      <c r="L31" s="1162"/>
      <c r="M31" s="1162"/>
      <c r="N31" s="1163" t="str">
        <f>data_info!CL53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data_info!CD52</f>
        <v>50</v>
      </c>
      <c r="D33" s="1172"/>
      <c r="E33" s="1172"/>
      <c r="F33" s="1172"/>
      <c r="G33" s="1172"/>
      <c r="H33" s="1172"/>
      <c r="I33" s="1172"/>
      <c r="J33" s="1173"/>
      <c r="K33" s="868">
        <f>data_info!CD53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data_info!CD52</f>
        <v>50</v>
      </c>
      <c r="G37" s="1182"/>
      <c r="H37" s="401">
        <f>data_info!CH52</f>
        <v>50</v>
      </c>
      <c r="I37" s="401">
        <f>data_info!CJ52</f>
        <v>50</v>
      </c>
      <c r="J37" s="292"/>
      <c r="K37" s="389"/>
      <c r="L37" s="237"/>
      <c r="M37" s="237"/>
      <c r="N37" s="1183" t="str">
        <f>lang!B657</f>
        <v>피로도</v>
      </c>
      <c r="O37" s="1183"/>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data_info!CM5</f>
        <v>낮음</v>
      </c>
      <c r="N40" s="854">
        <f>data_info!CH5</f>
        <v>0</v>
      </c>
      <c r="O40" s="855"/>
      <c r="P40" s="856">
        <f>data_info!CD5</f>
        <v>0</v>
      </c>
      <c r="Q40" s="857"/>
      <c r="R40" s="858">
        <f>data_info!CJ5</f>
        <v>0</v>
      </c>
      <c r="S40" s="859"/>
    </row>
    <row r="41" spans="3:19" ht="18" customHeight="1">
      <c r="C41" s="77"/>
      <c r="J41" s="84"/>
      <c r="K41" s="139" t="str">
        <f>lang!B15</f>
        <v>스트레스</v>
      </c>
      <c r="L41" s="90" t="s">
        <v>226</v>
      </c>
      <c r="M41" s="103" t="str">
        <f>data_info!CM6</f>
        <v>낮음</v>
      </c>
      <c r="N41" s="860">
        <f>data_info!CH6</f>
        <v>0</v>
      </c>
      <c r="O41" s="861"/>
      <c r="P41" s="862">
        <f>data_info!CD6</f>
        <v>0</v>
      </c>
      <c r="Q41" s="863"/>
      <c r="R41" s="860">
        <f>data_info!CJ6</f>
        <v>0</v>
      </c>
      <c r="S41" s="864"/>
    </row>
    <row r="42" spans="3:19" ht="18" customHeight="1">
      <c r="C42" s="77"/>
      <c r="J42" s="84"/>
      <c r="K42" s="139" t="str">
        <f>lang!B16</f>
        <v>불안</v>
      </c>
      <c r="L42" s="90" t="s">
        <v>227</v>
      </c>
      <c r="M42" s="103" t="str">
        <f>data_info!CM7</f>
        <v>낮음</v>
      </c>
      <c r="N42" s="860">
        <f>data_info!CH7</f>
        <v>0</v>
      </c>
      <c r="O42" s="861"/>
      <c r="P42" s="862">
        <f>data_info!CD7</f>
        <v>0</v>
      </c>
      <c r="Q42" s="863"/>
      <c r="R42" s="860">
        <f>data_info!CJ7</f>
        <v>0</v>
      </c>
      <c r="S42" s="864"/>
    </row>
    <row r="43" spans="3:19" ht="18" customHeight="1">
      <c r="C43" s="77"/>
      <c r="J43" s="84"/>
      <c r="K43" s="139" t="str">
        <f>lang!B17</f>
        <v>의심</v>
      </c>
      <c r="L43" s="90" t="s">
        <v>225</v>
      </c>
      <c r="M43" s="103" t="str">
        <f>data_info!CM8</f>
        <v>낮음</v>
      </c>
      <c r="N43" s="860">
        <f>data_info!CH8</f>
        <v>0</v>
      </c>
      <c r="O43" s="861"/>
      <c r="P43" s="862">
        <f>data_info!CD8</f>
        <v>0</v>
      </c>
      <c r="Q43" s="863"/>
      <c r="R43" s="860">
        <f>data_info!CJ8</f>
        <v>0</v>
      </c>
      <c r="S43" s="864"/>
    </row>
    <row r="44" spans="3:19" ht="18" customHeight="1">
      <c r="C44" s="77"/>
      <c r="J44" s="84"/>
      <c r="K44" s="139" t="str">
        <f>lang!B18</f>
        <v>밸런스</v>
      </c>
      <c r="L44" s="90" t="s">
        <v>2171</v>
      </c>
      <c r="M44" s="103" t="str">
        <f>data_info!CM9</f>
        <v>낮음</v>
      </c>
      <c r="N44" s="860">
        <f>data_info!CH9</f>
        <v>0</v>
      </c>
      <c r="O44" s="861"/>
      <c r="P44" s="862">
        <f>data_info!CD9</f>
        <v>0</v>
      </c>
      <c r="Q44" s="863"/>
      <c r="R44" s="860">
        <f>data_info!CJ9</f>
        <v>0</v>
      </c>
      <c r="S44" s="864"/>
    </row>
    <row r="45" spans="3:19" ht="18" customHeight="1">
      <c r="C45" s="77"/>
      <c r="J45" s="84"/>
      <c r="K45" s="139" t="str">
        <f>lang!B19</f>
        <v>카리스마</v>
      </c>
      <c r="L45" s="90" t="s">
        <v>229</v>
      </c>
      <c r="M45" s="103" t="str">
        <f>data_info!CM10</f>
        <v>낮음</v>
      </c>
      <c r="N45" s="860">
        <f>data_info!CH10</f>
        <v>0</v>
      </c>
      <c r="O45" s="861"/>
      <c r="P45" s="862">
        <f>data_info!CD10</f>
        <v>0</v>
      </c>
      <c r="Q45" s="863"/>
      <c r="R45" s="860">
        <f>data_info!CJ10</f>
        <v>0</v>
      </c>
      <c r="S45" s="864"/>
    </row>
    <row r="46" spans="3:19" ht="18" customHeight="1">
      <c r="C46" s="77"/>
      <c r="J46" s="84"/>
      <c r="K46" s="139" t="str">
        <f>lang!B20</f>
        <v>에너지</v>
      </c>
      <c r="L46" s="90" t="s">
        <v>2170</v>
      </c>
      <c r="M46" s="103" t="str">
        <f>data_info!CM11</f>
        <v>낮음</v>
      </c>
      <c r="N46" s="860">
        <f>data_info!CH11</f>
        <v>0</v>
      </c>
      <c r="O46" s="861"/>
      <c r="P46" s="862">
        <f>data_info!CD11</f>
        <v>0</v>
      </c>
      <c r="Q46" s="863"/>
      <c r="R46" s="860">
        <f>data_info!CJ11</f>
        <v>0</v>
      </c>
      <c r="S46" s="864"/>
    </row>
    <row r="47" spans="3:19" ht="18" customHeight="1">
      <c r="C47" s="77"/>
      <c r="J47" s="84"/>
      <c r="K47" s="139" t="str">
        <f>lang!B21</f>
        <v>자기조절</v>
      </c>
      <c r="L47" s="90" t="s">
        <v>230</v>
      </c>
      <c r="M47" s="103" t="str">
        <f>data_info!CM12</f>
        <v>낮음</v>
      </c>
      <c r="N47" s="860">
        <f>data_info!CH12</f>
        <v>0</v>
      </c>
      <c r="O47" s="861"/>
      <c r="P47" s="862">
        <f>data_info!CD12</f>
        <v>0</v>
      </c>
      <c r="Q47" s="863"/>
      <c r="R47" s="860">
        <f>data_info!CJ12</f>
        <v>0</v>
      </c>
      <c r="S47" s="864"/>
    </row>
    <row r="48" spans="3:19" ht="18" customHeight="1">
      <c r="C48" s="77"/>
      <c r="J48" s="84"/>
      <c r="K48" s="139" t="str">
        <f>lang!B22</f>
        <v>억제</v>
      </c>
      <c r="L48" s="91" t="s">
        <v>248</v>
      </c>
      <c r="M48" s="103" t="str">
        <f>data_info!CM13</f>
        <v>낮음</v>
      </c>
      <c r="N48" s="860">
        <f>data_info!CH13</f>
        <v>0</v>
      </c>
      <c r="O48" s="861"/>
      <c r="P48" s="862">
        <f>data_info!CD13</f>
        <v>0</v>
      </c>
      <c r="Q48" s="863"/>
      <c r="R48" s="860">
        <f>data_info!CJ13</f>
        <v>0</v>
      </c>
      <c r="S48" s="864"/>
    </row>
    <row r="49" spans="3:19" ht="18" customHeight="1" thickBot="1">
      <c r="C49" s="385"/>
      <c r="D49" s="248"/>
      <c r="E49" s="248"/>
      <c r="F49" s="248"/>
      <c r="G49" s="248"/>
      <c r="H49" s="248"/>
      <c r="I49" s="248"/>
      <c r="J49" s="386"/>
      <c r="K49" s="140" t="str">
        <f>lang!B23</f>
        <v>신경성</v>
      </c>
      <c r="L49" s="92" t="s">
        <v>231</v>
      </c>
      <c r="M49" s="371" t="str">
        <f>data_info!CM14</f>
        <v>낮음</v>
      </c>
      <c r="N49" s="901">
        <f>data_info!CH14</f>
        <v>0</v>
      </c>
      <c r="O49" s="902"/>
      <c r="P49" s="903">
        <f>data_info!CD14</f>
        <v>0</v>
      </c>
      <c r="Q49" s="904"/>
      <c r="R49" s="901">
        <f>data_info!CJ14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data_info!DE54</f>
        <v>0</v>
      </c>
      <c r="P12" s="309">
        <f>data_info!DE52</f>
        <v>2</v>
      </c>
      <c r="Q12" s="309">
        <f>data_info!DE53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data_info!CX50</f>
        <v>50</v>
      </c>
      <c r="R24" s="407">
        <f>data_info!CX51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data_info!DB50</f>
        <v>50</v>
      </c>
      <c r="R25" s="407">
        <f>data_info!DB51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data_info!DD50</f>
        <v>50</v>
      </c>
      <c r="R26" s="407">
        <f>data_info!DD51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data_info!DH50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data_info!DF52</f>
        <v>보통</v>
      </c>
      <c r="G31" s="1163"/>
      <c r="H31" s="1163"/>
      <c r="I31" s="1163"/>
      <c r="J31" s="1164"/>
      <c r="K31" s="1161" t="str">
        <f>lang!B657</f>
        <v>피로도</v>
      </c>
      <c r="L31" s="1162"/>
      <c r="M31" s="1162"/>
      <c r="N31" s="1163" t="str">
        <f>data_info!DF53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data_info!CX52</f>
        <v>50</v>
      </c>
      <c r="D33" s="1172"/>
      <c r="E33" s="1172"/>
      <c r="F33" s="1172"/>
      <c r="G33" s="1172"/>
      <c r="H33" s="1172"/>
      <c r="I33" s="1172"/>
      <c r="J33" s="1173"/>
      <c r="K33" s="868">
        <f>data_info!CX53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data_info!CX52</f>
        <v>50</v>
      </c>
      <c r="G37" s="1182"/>
      <c r="H37" s="401">
        <f>data_info!DB52</f>
        <v>50</v>
      </c>
      <c r="I37" s="401">
        <f>data_info!DD52</f>
        <v>50</v>
      </c>
      <c r="J37" s="292"/>
      <c r="K37" s="389"/>
      <c r="L37" s="237"/>
      <c r="M37" s="237"/>
      <c r="N37" s="1183" t="str">
        <f>lang!B657</f>
        <v>피로도</v>
      </c>
      <c r="O37" s="1183"/>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data_info!DG5</f>
        <v>낮음</v>
      </c>
      <c r="N40" s="854">
        <f>data_info!DB5</f>
        <v>0</v>
      </c>
      <c r="O40" s="855"/>
      <c r="P40" s="856">
        <f>data_info!CX5</f>
        <v>0</v>
      </c>
      <c r="Q40" s="857"/>
      <c r="R40" s="858">
        <f>data_info!DD5</f>
        <v>0</v>
      </c>
      <c r="S40" s="859"/>
    </row>
    <row r="41" spans="3:19" ht="18" customHeight="1">
      <c r="C41" s="77"/>
      <c r="J41" s="84"/>
      <c r="K41" s="139" t="str">
        <f>lang!B15</f>
        <v>스트레스</v>
      </c>
      <c r="L41" s="90" t="s">
        <v>226</v>
      </c>
      <c r="M41" s="103" t="str">
        <f>data_info!DG6</f>
        <v>낮음</v>
      </c>
      <c r="N41" s="860">
        <f>data_info!DB6</f>
        <v>0</v>
      </c>
      <c r="O41" s="861"/>
      <c r="P41" s="862">
        <f>data_info!CX6</f>
        <v>0</v>
      </c>
      <c r="Q41" s="863"/>
      <c r="R41" s="860">
        <f>data_info!DD6</f>
        <v>0</v>
      </c>
      <c r="S41" s="864"/>
    </row>
    <row r="42" spans="3:19" ht="18" customHeight="1">
      <c r="C42" s="77"/>
      <c r="J42" s="84"/>
      <c r="K42" s="139" t="str">
        <f>lang!B16</f>
        <v>불안</v>
      </c>
      <c r="L42" s="90" t="s">
        <v>227</v>
      </c>
      <c r="M42" s="103" t="str">
        <f>data_info!DG7</f>
        <v>낮음</v>
      </c>
      <c r="N42" s="860">
        <f>data_info!DB7</f>
        <v>0</v>
      </c>
      <c r="O42" s="861"/>
      <c r="P42" s="862">
        <f>data_info!CX7</f>
        <v>0</v>
      </c>
      <c r="Q42" s="863"/>
      <c r="R42" s="860">
        <f>data_info!DD7</f>
        <v>0</v>
      </c>
      <c r="S42" s="864"/>
    </row>
    <row r="43" spans="3:19" ht="18" customHeight="1">
      <c r="C43" s="77"/>
      <c r="J43" s="84"/>
      <c r="K43" s="139" t="str">
        <f>lang!B17</f>
        <v>의심</v>
      </c>
      <c r="L43" s="90" t="s">
        <v>225</v>
      </c>
      <c r="M43" s="103" t="str">
        <f>data_info!DG8</f>
        <v>낮음</v>
      </c>
      <c r="N43" s="860">
        <f>data_info!DB8</f>
        <v>0</v>
      </c>
      <c r="O43" s="861"/>
      <c r="P43" s="862">
        <f>data_info!CX8</f>
        <v>0</v>
      </c>
      <c r="Q43" s="863"/>
      <c r="R43" s="860">
        <f>data_info!DD8</f>
        <v>0</v>
      </c>
      <c r="S43" s="864"/>
    </row>
    <row r="44" spans="3:19" ht="18" customHeight="1">
      <c r="C44" s="77"/>
      <c r="J44" s="84"/>
      <c r="K44" s="139" t="str">
        <f>lang!B18</f>
        <v>밸런스</v>
      </c>
      <c r="L44" s="90" t="s">
        <v>2171</v>
      </c>
      <c r="M44" s="103" t="str">
        <f>data_info!DG9</f>
        <v>낮음</v>
      </c>
      <c r="N44" s="860">
        <f>data_info!DB9</f>
        <v>0</v>
      </c>
      <c r="O44" s="861"/>
      <c r="P44" s="862">
        <f>data_info!CX9</f>
        <v>0</v>
      </c>
      <c r="Q44" s="863"/>
      <c r="R44" s="860">
        <f>data_info!DD9</f>
        <v>0</v>
      </c>
      <c r="S44" s="864"/>
    </row>
    <row r="45" spans="3:19" ht="18" customHeight="1">
      <c r="C45" s="77"/>
      <c r="J45" s="84"/>
      <c r="K45" s="139" t="str">
        <f>lang!B19</f>
        <v>카리스마</v>
      </c>
      <c r="L45" s="90" t="s">
        <v>229</v>
      </c>
      <c r="M45" s="103" t="str">
        <f>data_info!DG10</f>
        <v>낮음</v>
      </c>
      <c r="N45" s="860">
        <f>data_info!DB10</f>
        <v>0</v>
      </c>
      <c r="O45" s="861"/>
      <c r="P45" s="862">
        <f>data_info!CX10</f>
        <v>0</v>
      </c>
      <c r="Q45" s="863"/>
      <c r="R45" s="860">
        <f>data_info!DD10</f>
        <v>0</v>
      </c>
      <c r="S45" s="864"/>
    </row>
    <row r="46" spans="3:19" ht="18" customHeight="1">
      <c r="C46" s="77"/>
      <c r="J46" s="84"/>
      <c r="K46" s="139" t="str">
        <f>lang!B20</f>
        <v>에너지</v>
      </c>
      <c r="L46" s="90" t="s">
        <v>2170</v>
      </c>
      <c r="M46" s="103" t="str">
        <f>data_info!DG11</f>
        <v>낮음</v>
      </c>
      <c r="N46" s="860">
        <f>data_info!DB11</f>
        <v>0</v>
      </c>
      <c r="O46" s="861"/>
      <c r="P46" s="862">
        <f>data_info!CX11</f>
        <v>0</v>
      </c>
      <c r="Q46" s="863"/>
      <c r="R46" s="860">
        <f>data_info!DD11</f>
        <v>0</v>
      </c>
      <c r="S46" s="864"/>
    </row>
    <row r="47" spans="3:19" ht="18" customHeight="1">
      <c r="C47" s="77"/>
      <c r="J47" s="84"/>
      <c r="K47" s="139" t="str">
        <f>lang!B21</f>
        <v>자기조절</v>
      </c>
      <c r="L47" s="90" t="s">
        <v>230</v>
      </c>
      <c r="M47" s="103" t="str">
        <f>data_info!DG12</f>
        <v>낮음</v>
      </c>
      <c r="N47" s="860">
        <f>data_info!DB12</f>
        <v>0</v>
      </c>
      <c r="O47" s="861"/>
      <c r="P47" s="862">
        <f>data_info!CX12</f>
        <v>0</v>
      </c>
      <c r="Q47" s="863"/>
      <c r="R47" s="860">
        <f>data_info!DD12</f>
        <v>0</v>
      </c>
      <c r="S47" s="864"/>
    </row>
    <row r="48" spans="3:19" ht="18" customHeight="1">
      <c r="C48" s="77"/>
      <c r="J48" s="84"/>
      <c r="K48" s="139" t="str">
        <f>lang!B22</f>
        <v>억제</v>
      </c>
      <c r="L48" s="91" t="s">
        <v>248</v>
      </c>
      <c r="M48" s="103" t="str">
        <f>data_info!DG13</f>
        <v>낮음</v>
      </c>
      <c r="N48" s="860">
        <f>data_info!DB13</f>
        <v>0</v>
      </c>
      <c r="O48" s="861"/>
      <c r="P48" s="862">
        <f>data_info!CX13</f>
        <v>0</v>
      </c>
      <c r="Q48" s="863"/>
      <c r="R48" s="860">
        <f>data_info!DD13</f>
        <v>0</v>
      </c>
      <c r="S48" s="864"/>
    </row>
    <row r="49" spans="3:19" ht="18" customHeight="1" thickBot="1">
      <c r="C49" s="385"/>
      <c r="D49" s="248"/>
      <c r="E49" s="248"/>
      <c r="F49" s="248"/>
      <c r="G49" s="248"/>
      <c r="H49" s="248"/>
      <c r="I49" s="248"/>
      <c r="J49" s="386"/>
      <c r="K49" s="140" t="str">
        <f>lang!B23</f>
        <v>신경성</v>
      </c>
      <c r="L49" s="92" t="s">
        <v>231</v>
      </c>
      <c r="M49" s="371" t="str">
        <f>data_info!DG14</f>
        <v>낮음</v>
      </c>
      <c r="N49" s="901">
        <f>data_info!DB14</f>
        <v>0</v>
      </c>
      <c r="O49" s="902"/>
      <c r="P49" s="903">
        <f>data_info!CX14</f>
        <v>0</v>
      </c>
      <c r="Q49" s="904"/>
      <c r="R49" s="901">
        <f>data_info!DD14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data_info!DY54</f>
        <v>0</v>
      </c>
      <c r="P12" s="309">
        <f>data_info!DY52</f>
        <v>2</v>
      </c>
      <c r="Q12" s="309">
        <f>data_info!DY53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data_info!DR50</f>
        <v>50</v>
      </c>
      <c r="R24" s="407">
        <f>data_info!DR51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data_info!DV50</f>
        <v>50</v>
      </c>
      <c r="R25" s="407">
        <f>data_info!DV51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data_info!DX50</f>
        <v>50</v>
      </c>
      <c r="R26" s="407">
        <f>data_info!DX51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data_info!EB50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data_info!DZ52</f>
        <v>보통</v>
      </c>
      <c r="G31" s="1163"/>
      <c r="H31" s="1163"/>
      <c r="I31" s="1163"/>
      <c r="J31" s="1164"/>
      <c r="K31" s="1161" t="str">
        <f>lang!B657</f>
        <v>피로도</v>
      </c>
      <c r="L31" s="1162"/>
      <c r="M31" s="1162"/>
      <c r="N31" s="1163" t="str">
        <f>data_info!DZ53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data_info!DR52</f>
        <v>50</v>
      </c>
      <c r="D33" s="1172"/>
      <c r="E33" s="1172"/>
      <c r="F33" s="1172"/>
      <c r="G33" s="1172"/>
      <c r="H33" s="1172"/>
      <c r="I33" s="1172"/>
      <c r="J33" s="1173"/>
      <c r="K33" s="868">
        <f>data_info!DR53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data_info!DR52</f>
        <v>50</v>
      </c>
      <c r="G37" s="1182"/>
      <c r="H37" s="401">
        <f>data_info!DV52</f>
        <v>50</v>
      </c>
      <c r="I37" s="401">
        <f>data_info!DX52</f>
        <v>50</v>
      </c>
      <c r="J37" s="292"/>
      <c r="K37" s="389"/>
      <c r="L37" s="237"/>
      <c r="M37" s="237"/>
      <c r="N37" s="1183" t="str">
        <f>lang!B657</f>
        <v>피로도</v>
      </c>
      <c r="O37" s="1183"/>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data_info!EA5</f>
        <v>낮음</v>
      </c>
      <c r="N40" s="854">
        <f>data_info!DV5</f>
        <v>0</v>
      </c>
      <c r="O40" s="855"/>
      <c r="P40" s="856">
        <f>data_info!DR5</f>
        <v>0</v>
      </c>
      <c r="Q40" s="857"/>
      <c r="R40" s="858">
        <f>data_info!DX5</f>
        <v>0</v>
      </c>
      <c r="S40" s="859"/>
    </row>
    <row r="41" spans="3:19" ht="18" customHeight="1">
      <c r="C41" s="77"/>
      <c r="J41" s="84"/>
      <c r="K41" s="139" t="str">
        <f>lang!B15</f>
        <v>스트레스</v>
      </c>
      <c r="L41" s="90" t="s">
        <v>226</v>
      </c>
      <c r="M41" s="103" t="str">
        <f>data_info!EA6</f>
        <v>낮음</v>
      </c>
      <c r="N41" s="860">
        <f>data_info!DV6</f>
        <v>0</v>
      </c>
      <c r="O41" s="861"/>
      <c r="P41" s="862">
        <f>data_info!DR6</f>
        <v>0</v>
      </c>
      <c r="Q41" s="863"/>
      <c r="R41" s="860">
        <f>data_info!DX6</f>
        <v>0</v>
      </c>
      <c r="S41" s="864"/>
    </row>
    <row r="42" spans="3:19" ht="18" customHeight="1">
      <c r="C42" s="77"/>
      <c r="J42" s="84"/>
      <c r="K42" s="139" t="str">
        <f>lang!B16</f>
        <v>불안</v>
      </c>
      <c r="L42" s="90" t="s">
        <v>227</v>
      </c>
      <c r="M42" s="103" t="str">
        <f>data_info!EA7</f>
        <v>낮음</v>
      </c>
      <c r="N42" s="860">
        <f>data_info!DV7</f>
        <v>0</v>
      </c>
      <c r="O42" s="861"/>
      <c r="P42" s="862">
        <f>data_info!DR7</f>
        <v>0</v>
      </c>
      <c r="Q42" s="863"/>
      <c r="R42" s="860">
        <f>data_info!DX7</f>
        <v>0</v>
      </c>
      <c r="S42" s="864"/>
    </row>
    <row r="43" spans="3:19" ht="18" customHeight="1">
      <c r="C43" s="77"/>
      <c r="J43" s="84"/>
      <c r="K43" s="139" t="str">
        <f>lang!B17</f>
        <v>의심</v>
      </c>
      <c r="L43" s="90" t="s">
        <v>225</v>
      </c>
      <c r="M43" s="103" t="str">
        <f>data_info!EA8</f>
        <v>낮음</v>
      </c>
      <c r="N43" s="860">
        <f>data_info!DV8</f>
        <v>0</v>
      </c>
      <c r="O43" s="861"/>
      <c r="P43" s="862">
        <f>data_info!DR8</f>
        <v>0</v>
      </c>
      <c r="Q43" s="863"/>
      <c r="R43" s="860">
        <f>data_info!DX8</f>
        <v>0</v>
      </c>
      <c r="S43" s="864"/>
    </row>
    <row r="44" spans="3:19" ht="18" customHeight="1">
      <c r="C44" s="77"/>
      <c r="J44" s="84"/>
      <c r="K44" s="139" t="str">
        <f>lang!B18</f>
        <v>밸런스</v>
      </c>
      <c r="L44" s="90" t="s">
        <v>2171</v>
      </c>
      <c r="M44" s="103" t="str">
        <f>data_info!EA9</f>
        <v>낮음</v>
      </c>
      <c r="N44" s="860">
        <f>data_info!DV9</f>
        <v>0</v>
      </c>
      <c r="O44" s="861"/>
      <c r="P44" s="862">
        <f>data_info!DR9</f>
        <v>0</v>
      </c>
      <c r="Q44" s="863"/>
      <c r="R44" s="860">
        <f>data_info!DX9</f>
        <v>0</v>
      </c>
      <c r="S44" s="864"/>
    </row>
    <row r="45" spans="3:19" ht="18" customHeight="1">
      <c r="C45" s="77"/>
      <c r="J45" s="84"/>
      <c r="K45" s="139" t="str">
        <f>lang!B19</f>
        <v>카리스마</v>
      </c>
      <c r="L45" s="90" t="s">
        <v>229</v>
      </c>
      <c r="M45" s="103" t="str">
        <f>data_info!EA10</f>
        <v>낮음</v>
      </c>
      <c r="N45" s="860">
        <f>data_info!DV10</f>
        <v>0</v>
      </c>
      <c r="O45" s="861"/>
      <c r="P45" s="862">
        <f>data_info!DR10</f>
        <v>0</v>
      </c>
      <c r="Q45" s="863"/>
      <c r="R45" s="860">
        <f>data_info!DX10</f>
        <v>0</v>
      </c>
      <c r="S45" s="864"/>
    </row>
    <row r="46" spans="3:19" ht="18" customHeight="1">
      <c r="C46" s="77"/>
      <c r="J46" s="84"/>
      <c r="K46" s="139" t="str">
        <f>lang!B20</f>
        <v>에너지</v>
      </c>
      <c r="L46" s="90" t="s">
        <v>2170</v>
      </c>
      <c r="M46" s="103" t="str">
        <f>data_info!EA11</f>
        <v>낮음</v>
      </c>
      <c r="N46" s="860">
        <f>data_info!DV11</f>
        <v>0</v>
      </c>
      <c r="O46" s="861"/>
      <c r="P46" s="862">
        <f>data_info!DR11</f>
        <v>0</v>
      </c>
      <c r="Q46" s="863"/>
      <c r="R46" s="860">
        <f>data_info!DX11</f>
        <v>0</v>
      </c>
      <c r="S46" s="864"/>
    </row>
    <row r="47" spans="3:19" ht="18" customHeight="1">
      <c r="C47" s="77"/>
      <c r="J47" s="84"/>
      <c r="K47" s="139" t="str">
        <f>lang!B21</f>
        <v>자기조절</v>
      </c>
      <c r="L47" s="90" t="s">
        <v>230</v>
      </c>
      <c r="M47" s="103" t="str">
        <f>data_info!EA12</f>
        <v>낮음</v>
      </c>
      <c r="N47" s="860">
        <f>data_info!DV12</f>
        <v>0</v>
      </c>
      <c r="O47" s="861"/>
      <c r="P47" s="862">
        <f>data_info!DR12</f>
        <v>0</v>
      </c>
      <c r="Q47" s="863"/>
      <c r="R47" s="860">
        <f>data_info!DX12</f>
        <v>0</v>
      </c>
      <c r="S47" s="864"/>
    </row>
    <row r="48" spans="3:19" ht="18" customHeight="1">
      <c r="C48" s="77"/>
      <c r="J48" s="84"/>
      <c r="K48" s="139" t="str">
        <f>lang!B22</f>
        <v>억제</v>
      </c>
      <c r="L48" s="91" t="s">
        <v>248</v>
      </c>
      <c r="M48" s="103" t="str">
        <f>data_info!EA13</f>
        <v>낮음</v>
      </c>
      <c r="N48" s="860">
        <f>data_info!DV13</f>
        <v>0</v>
      </c>
      <c r="O48" s="861"/>
      <c r="P48" s="862">
        <f>data_info!DR13</f>
        <v>0</v>
      </c>
      <c r="Q48" s="863"/>
      <c r="R48" s="860">
        <f>data_info!DX13</f>
        <v>0</v>
      </c>
      <c r="S48" s="864"/>
    </row>
    <row r="49" spans="3:19" ht="18" customHeight="1" thickBot="1">
      <c r="C49" s="385"/>
      <c r="D49" s="248"/>
      <c r="E49" s="248"/>
      <c r="F49" s="248"/>
      <c r="G49" s="248"/>
      <c r="H49" s="248"/>
      <c r="I49" s="248"/>
      <c r="J49" s="386"/>
      <c r="K49" s="140" t="str">
        <f>lang!B23</f>
        <v>신경성</v>
      </c>
      <c r="L49" s="92" t="s">
        <v>231</v>
      </c>
      <c r="M49" s="371" t="str">
        <f>data_info!EA14</f>
        <v>낮음</v>
      </c>
      <c r="N49" s="901">
        <f>data_info!DV14</f>
        <v>0</v>
      </c>
      <c r="O49" s="902"/>
      <c r="P49" s="903">
        <f>data_info!DR14</f>
        <v>0</v>
      </c>
      <c r="Q49" s="904"/>
      <c r="R49" s="901">
        <f>data_info!DX14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data_info!ES54</f>
        <v>0</v>
      </c>
      <c r="P12" s="309">
        <f>data_info!ES52</f>
        <v>2</v>
      </c>
      <c r="Q12" s="309">
        <f>data_info!ES53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data_info!EL50</f>
        <v>50</v>
      </c>
      <c r="R24" s="407">
        <f>data_info!EL51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data_info!EP50</f>
        <v>50</v>
      </c>
      <c r="R25" s="407">
        <f>data_info!EP51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data_info!ER50</f>
        <v>50</v>
      </c>
      <c r="R26" s="407">
        <f>data_info!ER51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data_info!EV50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data_info!ET52</f>
        <v>보통</v>
      </c>
      <c r="G31" s="1163"/>
      <c r="H31" s="1163"/>
      <c r="I31" s="1163"/>
      <c r="J31" s="1164"/>
      <c r="K31" s="1161" t="str">
        <f>lang!B657</f>
        <v>피로도</v>
      </c>
      <c r="L31" s="1162"/>
      <c r="M31" s="1162"/>
      <c r="N31" s="1163" t="str">
        <f>data_info!ET53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data_info!EL52</f>
        <v>50</v>
      </c>
      <c r="D33" s="1172"/>
      <c r="E33" s="1172"/>
      <c r="F33" s="1172"/>
      <c r="G33" s="1172"/>
      <c r="H33" s="1172"/>
      <c r="I33" s="1172"/>
      <c r="J33" s="1173"/>
      <c r="K33" s="868">
        <f>data_info!EL53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data_info!EL52</f>
        <v>50</v>
      </c>
      <c r="G37" s="1182"/>
      <c r="H37" s="401">
        <f>data_info!EP52</f>
        <v>50</v>
      </c>
      <c r="I37" s="401">
        <f>data_info!ER52</f>
        <v>50</v>
      </c>
      <c r="J37" s="292"/>
      <c r="K37" s="389"/>
      <c r="L37" s="237"/>
      <c r="M37" s="237"/>
      <c r="N37" s="1183" t="str">
        <f>lang!B657</f>
        <v>피로도</v>
      </c>
      <c r="O37" s="1183"/>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data_info!EU5</f>
        <v>낮음</v>
      </c>
      <c r="N40" s="854">
        <f>data_info!EP5</f>
        <v>0</v>
      </c>
      <c r="O40" s="855"/>
      <c r="P40" s="856">
        <f>data_info!EL5</f>
        <v>0</v>
      </c>
      <c r="Q40" s="857"/>
      <c r="R40" s="858">
        <f>data_info!ER5</f>
        <v>0</v>
      </c>
      <c r="S40" s="859"/>
    </row>
    <row r="41" spans="3:19" ht="18" customHeight="1">
      <c r="C41" s="77"/>
      <c r="J41" s="84"/>
      <c r="K41" s="139" t="str">
        <f>lang!B15</f>
        <v>스트레스</v>
      </c>
      <c r="L41" s="90" t="s">
        <v>226</v>
      </c>
      <c r="M41" s="103" t="str">
        <f>data_info!EU6</f>
        <v>낮음</v>
      </c>
      <c r="N41" s="860">
        <f>data_info!EP6</f>
        <v>0</v>
      </c>
      <c r="O41" s="861"/>
      <c r="P41" s="862">
        <f>data_info!EL6</f>
        <v>0</v>
      </c>
      <c r="Q41" s="863"/>
      <c r="R41" s="860">
        <f>data_info!ER6</f>
        <v>0</v>
      </c>
      <c r="S41" s="864"/>
    </row>
    <row r="42" spans="3:19" ht="18" customHeight="1">
      <c r="C42" s="77"/>
      <c r="J42" s="84"/>
      <c r="K42" s="139" t="str">
        <f>lang!B16</f>
        <v>불안</v>
      </c>
      <c r="L42" s="90" t="s">
        <v>227</v>
      </c>
      <c r="M42" s="103" t="str">
        <f>data_info!EU7</f>
        <v>낮음</v>
      </c>
      <c r="N42" s="860">
        <f>data_info!EP7</f>
        <v>0</v>
      </c>
      <c r="O42" s="861"/>
      <c r="P42" s="862">
        <f>data_info!EL7</f>
        <v>0</v>
      </c>
      <c r="Q42" s="863"/>
      <c r="R42" s="860">
        <f>data_info!ER7</f>
        <v>0</v>
      </c>
      <c r="S42" s="864"/>
    </row>
    <row r="43" spans="3:19" ht="18" customHeight="1">
      <c r="C43" s="77"/>
      <c r="J43" s="84"/>
      <c r="K43" s="139" t="str">
        <f>lang!B17</f>
        <v>의심</v>
      </c>
      <c r="L43" s="90" t="s">
        <v>225</v>
      </c>
      <c r="M43" s="103" t="str">
        <f>data_info!EU8</f>
        <v>낮음</v>
      </c>
      <c r="N43" s="860">
        <f>data_info!EP8</f>
        <v>0</v>
      </c>
      <c r="O43" s="861"/>
      <c r="P43" s="862">
        <f>data_info!EL8</f>
        <v>0</v>
      </c>
      <c r="Q43" s="863"/>
      <c r="R43" s="860">
        <f>data_info!ER8</f>
        <v>0</v>
      </c>
      <c r="S43" s="864"/>
    </row>
    <row r="44" spans="3:19" ht="18" customHeight="1">
      <c r="C44" s="77"/>
      <c r="J44" s="84"/>
      <c r="K44" s="139" t="str">
        <f>lang!B18</f>
        <v>밸런스</v>
      </c>
      <c r="L44" s="90" t="s">
        <v>2171</v>
      </c>
      <c r="M44" s="103" t="str">
        <f>data_info!EU9</f>
        <v>낮음</v>
      </c>
      <c r="N44" s="860">
        <f>data_info!EP9</f>
        <v>0</v>
      </c>
      <c r="O44" s="861"/>
      <c r="P44" s="862">
        <f>data_info!EL9</f>
        <v>0</v>
      </c>
      <c r="Q44" s="863"/>
      <c r="R44" s="860">
        <f>data_info!ER9</f>
        <v>0</v>
      </c>
      <c r="S44" s="864"/>
    </row>
    <row r="45" spans="3:19" ht="18" customHeight="1">
      <c r="C45" s="77"/>
      <c r="J45" s="84"/>
      <c r="K45" s="139" t="str">
        <f>lang!B19</f>
        <v>카리스마</v>
      </c>
      <c r="L45" s="90" t="s">
        <v>229</v>
      </c>
      <c r="M45" s="103" t="str">
        <f>data_info!EU10</f>
        <v>낮음</v>
      </c>
      <c r="N45" s="860">
        <f>data_info!EP10</f>
        <v>0</v>
      </c>
      <c r="O45" s="861"/>
      <c r="P45" s="862">
        <f>data_info!EL10</f>
        <v>0</v>
      </c>
      <c r="Q45" s="863"/>
      <c r="R45" s="860">
        <f>data_info!ER10</f>
        <v>0</v>
      </c>
      <c r="S45" s="864"/>
    </row>
    <row r="46" spans="3:19" ht="18" customHeight="1">
      <c r="C46" s="77"/>
      <c r="J46" s="84"/>
      <c r="K46" s="139" t="str">
        <f>lang!B20</f>
        <v>에너지</v>
      </c>
      <c r="L46" s="90" t="s">
        <v>2170</v>
      </c>
      <c r="M46" s="103" t="str">
        <f>data_info!EU11</f>
        <v>낮음</v>
      </c>
      <c r="N46" s="860">
        <f>data_info!EP11</f>
        <v>0</v>
      </c>
      <c r="O46" s="861"/>
      <c r="P46" s="862">
        <f>data_info!EL11</f>
        <v>0</v>
      </c>
      <c r="Q46" s="863"/>
      <c r="R46" s="860">
        <f>data_info!ER11</f>
        <v>0</v>
      </c>
      <c r="S46" s="864"/>
    </row>
    <row r="47" spans="3:19" ht="18" customHeight="1">
      <c r="C47" s="77"/>
      <c r="J47" s="84"/>
      <c r="K47" s="139" t="str">
        <f>lang!B21</f>
        <v>자기조절</v>
      </c>
      <c r="L47" s="90" t="s">
        <v>230</v>
      </c>
      <c r="M47" s="103" t="str">
        <f>data_info!EU12</f>
        <v>낮음</v>
      </c>
      <c r="N47" s="860">
        <f>data_info!EP12</f>
        <v>0</v>
      </c>
      <c r="O47" s="861"/>
      <c r="P47" s="862">
        <f>data_info!EL12</f>
        <v>0</v>
      </c>
      <c r="Q47" s="863"/>
      <c r="R47" s="860">
        <f>data_info!ER12</f>
        <v>0</v>
      </c>
      <c r="S47" s="864"/>
    </row>
    <row r="48" spans="3:19" ht="18" customHeight="1">
      <c r="C48" s="77"/>
      <c r="J48" s="84"/>
      <c r="K48" s="139" t="str">
        <f>lang!B22</f>
        <v>억제</v>
      </c>
      <c r="L48" s="91" t="s">
        <v>248</v>
      </c>
      <c r="M48" s="103" t="str">
        <f>data_info!EU13</f>
        <v>낮음</v>
      </c>
      <c r="N48" s="860">
        <f>data_info!EP13</f>
        <v>0</v>
      </c>
      <c r="O48" s="861"/>
      <c r="P48" s="862">
        <f>data_info!EL13</f>
        <v>0</v>
      </c>
      <c r="Q48" s="863"/>
      <c r="R48" s="860">
        <f>data_info!ER13</f>
        <v>0</v>
      </c>
      <c r="S48" s="864"/>
    </row>
    <row r="49" spans="3:19" ht="18" customHeight="1" thickBot="1">
      <c r="C49" s="385"/>
      <c r="D49" s="248"/>
      <c r="E49" s="248"/>
      <c r="F49" s="248"/>
      <c r="G49" s="248"/>
      <c r="H49" s="248"/>
      <c r="I49" s="248"/>
      <c r="J49" s="386"/>
      <c r="K49" s="140" t="str">
        <f>lang!B23</f>
        <v>신경성</v>
      </c>
      <c r="L49" s="92" t="s">
        <v>231</v>
      </c>
      <c r="M49" s="371" t="str">
        <f>data_info!EU14</f>
        <v>낮음</v>
      </c>
      <c r="N49" s="901">
        <f>data_info!EP14</f>
        <v>0</v>
      </c>
      <c r="O49" s="902"/>
      <c r="P49" s="903">
        <f>data_info!EL14</f>
        <v>0</v>
      </c>
      <c r="Q49" s="904"/>
      <c r="R49" s="901">
        <f>data_info!ER14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data_info!FM54</f>
        <v>0</v>
      </c>
      <c r="P12" s="309">
        <f>data_info!FM52</f>
        <v>2</v>
      </c>
      <c r="Q12" s="309">
        <f>data_info!FM53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data_info!FF50</f>
        <v>50</v>
      </c>
      <c r="R24" s="407">
        <f>data_info!FF51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data_info!FJ50</f>
        <v>50</v>
      </c>
      <c r="R25" s="407">
        <f>data_info!FJ51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data_info!FL50</f>
        <v>50</v>
      </c>
      <c r="R26" s="407">
        <f>data_info!FL51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data_info!FP50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data_info!FN52</f>
        <v>보통</v>
      </c>
      <c r="G31" s="1163"/>
      <c r="H31" s="1163"/>
      <c r="I31" s="1163"/>
      <c r="J31" s="1164"/>
      <c r="K31" s="1161" t="str">
        <f>lang!B657</f>
        <v>피로도</v>
      </c>
      <c r="L31" s="1162"/>
      <c r="M31" s="1162"/>
      <c r="N31" s="1163" t="str">
        <f>data_info!FN53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data_info!FF52</f>
        <v>50</v>
      </c>
      <c r="D33" s="1172"/>
      <c r="E33" s="1172"/>
      <c r="F33" s="1172"/>
      <c r="G33" s="1172"/>
      <c r="H33" s="1172"/>
      <c r="I33" s="1172"/>
      <c r="J33" s="1173"/>
      <c r="K33" s="868">
        <f>data_info!FF53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data_info!FF52</f>
        <v>50</v>
      </c>
      <c r="G37" s="1182"/>
      <c r="H37" s="401">
        <f>data_info!FJ52</f>
        <v>50</v>
      </c>
      <c r="I37" s="401">
        <f>data_info!FL52</f>
        <v>50</v>
      </c>
      <c r="J37" s="292"/>
      <c r="K37" s="389"/>
      <c r="L37" s="237"/>
      <c r="M37" s="237"/>
      <c r="N37" s="1183" t="str">
        <f>lang!B657</f>
        <v>피로도</v>
      </c>
      <c r="O37" s="1183"/>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data_info!FO5</f>
        <v>낮음</v>
      </c>
      <c r="N40" s="854">
        <f>data_info!FJ5</f>
        <v>0</v>
      </c>
      <c r="O40" s="855"/>
      <c r="P40" s="856">
        <f>data_info!FF5</f>
        <v>0</v>
      </c>
      <c r="Q40" s="857"/>
      <c r="R40" s="858">
        <f>data_info!FL5</f>
        <v>0</v>
      </c>
      <c r="S40" s="859"/>
    </row>
    <row r="41" spans="3:19" ht="18" customHeight="1">
      <c r="C41" s="77"/>
      <c r="J41" s="84"/>
      <c r="K41" s="139" t="str">
        <f>lang!B15</f>
        <v>스트레스</v>
      </c>
      <c r="L41" s="90" t="s">
        <v>226</v>
      </c>
      <c r="M41" s="103" t="str">
        <f>data_info!FO6</f>
        <v>낮음</v>
      </c>
      <c r="N41" s="860">
        <f>data_info!FJ6</f>
        <v>0</v>
      </c>
      <c r="O41" s="861"/>
      <c r="P41" s="862">
        <f>data_info!FF6</f>
        <v>0</v>
      </c>
      <c r="Q41" s="863"/>
      <c r="R41" s="860">
        <f>data_info!FL6</f>
        <v>0</v>
      </c>
      <c r="S41" s="864"/>
    </row>
    <row r="42" spans="3:19" ht="18" customHeight="1">
      <c r="C42" s="77"/>
      <c r="J42" s="84"/>
      <c r="K42" s="139" t="str">
        <f>lang!B16</f>
        <v>불안</v>
      </c>
      <c r="L42" s="90" t="s">
        <v>227</v>
      </c>
      <c r="M42" s="103" t="str">
        <f>data_info!FO7</f>
        <v>낮음</v>
      </c>
      <c r="N42" s="860">
        <f>data_info!FJ7</f>
        <v>0</v>
      </c>
      <c r="O42" s="861"/>
      <c r="P42" s="862">
        <f>data_info!FF7</f>
        <v>0</v>
      </c>
      <c r="Q42" s="863"/>
      <c r="R42" s="860">
        <f>data_info!FL7</f>
        <v>0</v>
      </c>
      <c r="S42" s="864"/>
    </row>
    <row r="43" spans="3:19" ht="18" customHeight="1">
      <c r="C43" s="77"/>
      <c r="J43" s="84"/>
      <c r="K43" s="139" t="str">
        <f>lang!B17</f>
        <v>의심</v>
      </c>
      <c r="L43" s="90" t="s">
        <v>225</v>
      </c>
      <c r="M43" s="103" t="str">
        <f>data_info!FO8</f>
        <v>낮음</v>
      </c>
      <c r="N43" s="860">
        <f>data_info!FJ8</f>
        <v>0</v>
      </c>
      <c r="O43" s="861"/>
      <c r="P43" s="862">
        <f>data_info!FF8</f>
        <v>0</v>
      </c>
      <c r="Q43" s="863"/>
      <c r="R43" s="860">
        <f>data_info!FL8</f>
        <v>0</v>
      </c>
      <c r="S43" s="864"/>
    </row>
    <row r="44" spans="3:19" ht="18" customHeight="1">
      <c r="C44" s="77"/>
      <c r="J44" s="84"/>
      <c r="K44" s="139" t="str">
        <f>lang!B18</f>
        <v>밸런스</v>
      </c>
      <c r="L44" s="90" t="s">
        <v>2171</v>
      </c>
      <c r="M44" s="103" t="str">
        <f>data_info!FO9</f>
        <v>낮음</v>
      </c>
      <c r="N44" s="860">
        <f>data_info!FJ9</f>
        <v>0</v>
      </c>
      <c r="O44" s="861"/>
      <c r="P44" s="862">
        <f>data_info!FF9</f>
        <v>0</v>
      </c>
      <c r="Q44" s="863"/>
      <c r="R44" s="860">
        <f>data_info!FL9</f>
        <v>0</v>
      </c>
      <c r="S44" s="864"/>
    </row>
    <row r="45" spans="3:19" ht="18" customHeight="1">
      <c r="C45" s="77"/>
      <c r="J45" s="84"/>
      <c r="K45" s="139" t="str">
        <f>lang!B19</f>
        <v>카리스마</v>
      </c>
      <c r="L45" s="90" t="s">
        <v>229</v>
      </c>
      <c r="M45" s="103" t="str">
        <f>data_info!FO10</f>
        <v>낮음</v>
      </c>
      <c r="N45" s="860">
        <f>data_info!FJ10</f>
        <v>0</v>
      </c>
      <c r="O45" s="861"/>
      <c r="P45" s="862">
        <f>data_info!FF10</f>
        <v>0</v>
      </c>
      <c r="Q45" s="863"/>
      <c r="R45" s="860">
        <f>data_info!FL10</f>
        <v>0</v>
      </c>
      <c r="S45" s="864"/>
    </row>
    <row r="46" spans="3:19" ht="18" customHeight="1">
      <c r="C46" s="77"/>
      <c r="J46" s="84"/>
      <c r="K46" s="139" t="str">
        <f>lang!B20</f>
        <v>에너지</v>
      </c>
      <c r="L46" s="90" t="s">
        <v>2170</v>
      </c>
      <c r="M46" s="103" t="str">
        <f>data_info!FO11</f>
        <v>낮음</v>
      </c>
      <c r="N46" s="860">
        <f>data_info!FJ11</f>
        <v>0</v>
      </c>
      <c r="O46" s="861"/>
      <c r="P46" s="862">
        <f>data_info!FF11</f>
        <v>0</v>
      </c>
      <c r="Q46" s="863"/>
      <c r="R46" s="860">
        <f>data_info!FL11</f>
        <v>0</v>
      </c>
      <c r="S46" s="864"/>
    </row>
    <row r="47" spans="3:19" ht="18" customHeight="1">
      <c r="C47" s="77"/>
      <c r="J47" s="84"/>
      <c r="K47" s="139" t="str">
        <f>lang!B21</f>
        <v>자기조절</v>
      </c>
      <c r="L47" s="90" t="s">
        <v>230</v>
      </c>
      <c r="M47" s="103" t="str">
        <f>data_info!FO12</f>
        <v>낮음</v>
      </c>
      <c r="N47" s="860">
        <f>data_info!FJ12</f>
        <v>0</v>
      </c>
      <c r="O47" s="861"/>
      <c r="P47" s="862">
        <f>data_info!FF12</f>
        <v>0</v>
      </c>
      <c r="Q47" s="863"/>
      <c r="R47" s="860">
        <f>data_info!FL12</f>
        <v>0</v>
      </c>
      <c r="S47" s="864"/>
    </row>
    <row r="48" spans="3:19" ht="18" customHeight="1">
      <c r="C48" s="77"/>
      <c r="J48" s="84"/>
      <c r="K48" s="139" t="str">
        <f>lang!B22</f>
        <v>억제</v>
      </c>
      <c r="L48" s="91" t="s">
        <v>248</v>
      </c>
      <c r="M48" s="103" t="str">
        <f>data_info!FO13</f>
        <v>낮음</v>
      </c>
      <c r="N48" s="860">
        <f>data_info!FJ13</f>
        <v>0</v>
      </c>
      <c r="O48" s="861"/>
      <c r="P48" s="862">
        <f>data_info!FF13</f>
        <v>0</v>
      </c>
      <c r="Q48" s="863"/>
      <c r="R48" s="860">
        <f>data_info!FL13</f>
        <v>0</v>
      </c>
      <c r="S48" s="864"/>
    </row>
    <row r="49" spans="3:19" ht="18" customHeight="1" thickBot="1">
      <c r="C49" s="385"/>
      <c r="D49" s="248"/>
      <c r="E49" s="248"/>
      <c r="F49" s="248"/>
      <c r="G49" s="248"/>
      <c r="H49" s="248"/>
      <c r="I49" s="248"/>
      <c r="J49" s="386"/>
      <c r="K49" s="140" t="str">
        <f>lang!B23</f>
        <v>신경성</v>
      </c>
      <c r="L49" s="92" t="s">
        <v>231</v>
      </c>
      <c r="M49" s="371" t="str">
        <f>data_info!FO14</f>
        <v>낮음</v>
      </c>
      <c r="N49" s="901">
        <f>data_info!FJ14</f>
        <v>0</v>
      </c>
      <c r="O49" s="902"/>
      <c r="P49" s="903">
        <f>data_info!FF14</f>
        <v>0</v>
      </c>
      <c r="Q49" s="904"/>
      <c r="R49" s="901">
        <f>data_info!FL14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data_info!GG54</f>
        <v>0</v>
      </c>
      <c r="P12" s="309">
        <f>data_info!GG52</f>
        <v>2</v>
      </c>
      <c r="Q12" s="309">
        <f>data_info!GG53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data_info!FZ50</f>
        <v>50</v>
      </c>
      <c r="R24" s="407">
        <f>data_info!FZ51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data_info!GD50</f>
        <v>50</v>
      </c>
      <c r="R25" s="407">
        <f>data_info!GD51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data_info!GF50</f>
        <v>50</v>
      </c>
      <c r="R26" s="407">
        <f>data_info!GF51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data_info!GJ50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data_info!GH52</f>
        <v>보통</v>
      </c>
      <c r="G31" s="1163"/>
      <c r="H31" s="1163"/>
      <c r="I31" s="1163"/>
      <c r="J31" s="1164"/>
      <c r="K31" s="1161" t="str">
        <f>lang!B657</f>
        <v>피로도</v>
      </c>
      <c r="L31" s="1162"/>
      <c r="M31" s="1162"/>
      <c r="N31" s="1163" t="str">
        <f>data_info!GH53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data_info!FZ52</f>
        <v>50</v>
      </c>
      <c r="D33" s="1172"/>
      <c r="E33" s="1172"/>
      <c r="F33" s="1172"/>
      <c r="G33" s="1172"/>
      <c r="H33" s="1172"/>
      <c r="I33" s="1172"/>
      <c r="J33" s="1173"/>
      <c r="K33" s="868">
        <f>data_info!FZ53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data_info!FZ52</f>
        <v>50</v>
      </c>
      <c r="G37" s="1182"/>
      <c r="H37" s="401">
        <f>data_info!GD52</f>
        <v>50</v>
      </c>
      <c r="I37" s="401">
        <f>data_info!GF52</f>
        <v>50</v>
      </c>
      <c r="J37" s="292"/>
      <c r="K37" s="389"/>
      <c r="L37" s="237"/>
      <c r="M37" s="237"/>
      <c r="N37" s="1183" t="str">
        <f>lang!B657</f>
        <v>피로도</v>
      </c>
      <c r="O37" s="1183"/>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data_info!GI5</f>
        <v>낮음</v>
      </c>
      <c r="N40" s="854">
        <f>data_info!GD5</f>
        <v>0</v>
      </c>
      <c r="O40" s="855"/>
      <c r="P40" s="856">
        <f>data_info!FZ5</f>
        <v>0</v>
      </c>
      <c r="Q40" s="857"/>
      <c r="R40" s="858">
        <f>data_info!GF5</f>
        <v>0</v>
      </c>
      <c r="S40" s="859"/>
    </row>
    <row r="41" spans="3:19" ht="18" customHeight="1">
      <c r="C41" s="77"/>
      <c r="J41" s="84"/>
      <c r="K41" s="139" t="str">
        <f>lang!B15</f>
        <v>스트레스</v>
      </c>
      <c r="L41" s="90" t="s">
        <v>226</v>
      </c>
      <c r="M41" s="103" t="str">
        <f>data_info!GI6</f>
        <v>낮음</v>
      </c>
      <c r="N41" s="860">
        <f>data_info!GD6</f>
        <v>0</v>
      </c>
      <c r="O41" s="861"/>
      <c r="P41" s="862">
        <f>data_info!FZ6</f>
        <v>0</v>
      </c>
      <c r="Q41" s="863"/>
      <c r="R41" s="860">
        <f>data_info!GF6</f>
        <v>0</v>
      </c>
      <c r="S41" s="864"/>
    </row>
    <row r="42" spans="3:19" ht="18" customHeight="1">
      <c r="C42" s="77"/>
      <c r="J42" s="84"/>
      <c r="K42" s="139" t="str">
        <f>lang!B16</f>
        <v>불안</v>
      </c>
      <c r="L42" s="90" t="s">
        <v>227</v>
      </c>
      <c r="M42" s="103" t="str">
        <f>data_info!GI7</f>
        <v>낮음</v>
      </c>
      <c r="N42" s="860">
        <f>data_info!GD7</f>
        <v>0</v>
      </c>
      <c r="O42" s="861"/>
      <c r="P42" s="862">
        <f>data_info!FZ7</f>
        <v>0</v>
      </c>
      <c r="Q42" s="863"/>
      <c r="R42" s="860">
        <f>data_info!GF7</f>
        <v>0</v>
      </c>
      <c r="S42" s="864"/>
    </row>
    <row r="43" spans="3:19" ht="18" customHeight="1">
      <c r="C43" s="77"/>
      <c r="J43" s="84"/>
      <c r="K43" s="139" t="str">
        <f>lang!B17</f>
        <v>의심</v>
      </c>
      <c r="L43" s="90" t="s">
        <v>225</v>
      </c>
      <c r="M43" s="103" t="str">
        <f>data_info!GI8</f>
        <v>낮음</v>
      </c>
      <c r="N43" s="860">
        <f>data_info!GD8</f>
        <v>0</v>
      </c>
      <c r="O43" s="861"/>
      <c r="P43" s="862">
        <f>data_info!FZ8</f>
        <v>0</v>
      </c>
      <c r="Q43" s="863"/>
      <c r="R43" s="860">
        <f>data_info!GF8</f>
        <v>0</v>
      </c>
      <c r="S43" s="864"/>
    </row>
    <row r="44" spans="3:19" ht="18" customHeight="1">
      <c r="C44" s="77"/>
      <c r="J44" s="84"/>
      <c r="K44" s="139" t="str">
        <f>lang!B18</f>
        <v>밸런스</v>
      </c>
      <c r="L44" s="90" t="s">
        <v>2171</v>
      </c>
      <c r="M44" s="103" t="str">
        <f>data_info!GI9</f>
        <v>낮음</v>
      </c>
      <c r="N44" s="860">
        <f>data_info!GD9</f>
        <v>0</v>
      </c>
      <c r="O44" s="861"/>
      <c r="P44" s="862">
        <f>data_info!FZ9</f>
        <v>0</v>
      </c>
      <c r="Q44" s="863"/>
      <c r="R44" s="860">
        <f>data_info!GF9</f>
        <v>0</v>
      </c>
      <c r="S44" s="864"/>
    </row>
    <row r="45" spans="3:19" ht="18" customHeight="1">
      <c r="C45" s="77"/>
      <c r="J45" s="84"/>
      <c r="K45" s="139" t="str">
        <f>lang!B19</f>
        <v>카리스마</v>
      </c>
      <c r="L45" s="90" t="s">
        <v>229</v>
      </c>
      <c r="M45" s="103" t="str">
        <f>data_info!GI10</f>
        <v>낮음</v>
      </c>
      <c r="N45" s="860">
        <f>data_info!GD10</f>
        <v>0</v>
      </c>
      <c r="O45" s="861"/>
      <c r="P45" s="862">
        <f>data_info!FZ10</f>
        <v>0</v>
      </c>
      <c r="Q45" s="863"/>
      <c r="R45" s="860">
        <f>data_info!GF10</f>
        <v>0</v>
      </c>
      <c r="S45" s="864"/>
    </row>
    <row r="46" spans="3:19" ht="18" customHeight="1">
      <c r="C46" s="77"/>
      <c r="J46" s="84"/>
      <c r="K46" s="139" t="str">
        <f>lang!B20</f>
        <v>에너지</v>
      </c>
      <c r="L46" s="90" t="s">
        <v>2170</v>
      </c>
      <c r="M46" s="103" t="str">
        <f>data_info!GI11</f>
        <v>낮음</v>
      </c>
      <c r="N46" s="860">
        <f>data_info!GD11</f>
        <v>0</v>
      </c>
      <c r="O46" s="861"/>
      <c r="P46" s="862">
        <f>data_info!FZ11</f>
        <v>0</v>
      </c>
      <c r="Q46" s="863"/>
      <c r="R46" s="860">
        <f>data_info!GF11</f>
        <v>0</v>
      </c>
      <c r="S46" s="864"/>
    </row>
    <row r="47" spans="3:19" ht="18" customHeight="1">
      <c r="C47" s="77"/>
      <c r="J47" s="84"/>
      <c r="K47" s="139" t="str">
        <f>lang!B21</f>
        <v>자기조절</v>
      </c>
      <c r="L47" s="90" t="s">
        <v>230</v>
      </c>
      <c r="M47" s="103" t="str">
        <f>data_info!GI12</f>
        <v>낮음</v>
      </c>
      <c r="N47" s="860">
        <f>data_info!GD12</f>
        <v>0</v>
      </c>
      <c r="O47" s="861"/>
      <c r="P47" s="862">
        <f>data_info!FZ12</f>
        <v>0</v>
      </c>
      <c r="Q47" s="863"/>
      <c r="R47" s="860">
        <f>data_info!GF12</f>
        <v>0</v>
      </c>
      <c r="S47" s="864"/>
    </row>
    <row r="48" spans="3:19" ht="18" customHeight="1">
      <c r="C48" s="77"/>
      <c r="J48" s="84"/>
      <c r="K48" s="139" t="str">
        <f>lang!B22</f>
        <v>억제</v>
      </c>
      <c r="L48" s="91" t="s">
        <v>248</v>
      </c>
      <c r="M48" s="103" t="str">
        <f>data_info!GI13</f>
        <v>낮음</v>
      </c>
      <c r="N48" s="860">
        <f>data_info!GD13</f>
        <v>0</v>
      </c>
      <c r="O48" s="861"/>
      <c r="P48" s="862">
        <f>data_info!FZ13</f>
        <v>0</v>
      </c>
      <c r="Q48" s="863"/>
      <c r="R48" s="860">
        <f>data_info!GF13</f>
        <v>0</v>
      </c>
      <c r="S48" s="864"/>
    </row>
    <row r="49" spans="3:19" ht="18" customHeight="1" thickBot="1">
      <c r="C49" s="385"/>
      <c r="D49" s="248"/>
      <c r="E49" s="248"/>
      <c r="F49" s="248"/>
      <c r="G49" s="248"/>
      <c r="H49" s="248"/>
      <c r="I49" s="248"/>
      <c r="J49" s="386"/>
      <c r="K49" s="140" t="str">
        <f>lang!B23</f>
        <v>신경성</v>
      </c>
      <c r="L49" s="92" t="s">
        <v>231</v>
      </c>
      <c r="M49" s="371" t="str">
        <f>data_info!GI14</f>
        <v>낮음</v>
      </c>
      <c r="N49" s="901">
        <f>data_info!GD14</f>
        <v>0</v>
      </c>
      <c r="O49" s="902"/>
      <c r="P49" s="903">
        <f>data_info!FZ14</f>
        <v>0</v>
      </c>
      <c r="Q49" s="904"/>
      <c r="R49" s="901">
        <f>data_info!GF14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data_info!HA54</f>
        <v>0</v>
      </c>
      <c r="P12" s="309">
        <f>data_info!HA52</f>
        <v>2</v>
      </c>
      <c r="Q12" s="309">
        <f>data_info!HA53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data_info!GT50</f>
        <v>50</v>
      </c>
      <c r="R24" s="407">
        <f>data_info!GT51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data_info!GX50</f>
        <v>50</v>
      </c>
      <c r="R25" s="407">
        <f>data_info!GX51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data_info!GZ50</f>
        <v>50</v>
      </c>
      <c r="R26" s="407">
        <f>data_info!GZ51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data_info!HD50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data_info!HB52</f>
        <v>보통</v>
      </c>
      <c r="G31" s="1163"/>
      <c r="H31" s="1163"/>
      <c r="I31" s="1163"/>
      <c r="J31" s="1164"/>
      <c r="K31" s="1161" t="str">
        <f>lang!B657</f>
        <v>피로도</v>
      </c>
      <c r="L31" s="1162"/>
      <c r="M31" s="1162"/>
      <c r="N31" s="1163" t="str">
        <f>data_info!HB53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data_info!GT52</f>
        <v>50</v>
      </c>
      <c r="D33" s="1172"/>
      <c r="E33" s="1172"/>
      <c r="F33" s="1172"/>
      <c r="G33" s="1172"/>
      <c r="H33" s="1172"/>
      <c r="I33" s="1172"/>
      <c r="J33" s="1173"/>
      <c r="K33" s="868">
        <f>data_info!GT53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data_info!GT52</f>
        <v>50</v>
      </c>
      <c r="G37" s="1182"/>
      <c r="H37" s="401">
        <f>data_info!GX52</f>
        <v>50</v>
      </c>
      <c r="I37" s="401">
        <f>data_info!GZ52</f>
        <v>50</v>
      </c>
      <c r="J37" s="292"/>
      <c r="K37" s="389"/>
      <c r="L37" s="237"/>
      <c r="M37" s="237"/>
      <c r="N37" s="1183" t="str">
        <f>lang!B657</f>
        <v>피로도</v>
      </c>
      <c r="O37" s="1183"/>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data_info!HC5</f>
        <v>낮음</v>
      </c>
      <c r="N40" s="854">
        <f>data_info!GX5</f>
        <v>0</v>
      </c>
      <c r="O40" s="855"/>
      <c r="P40" s="856">
        <f>data_info!GT5</f>
        <v>0</v>
      </c>
      <c r="Q40" s="857"/>
      <c r="R40" s="858">
        <f>data_info!GZ5</f>
        <v>0</v>
      </c>
      <c r="S40" s="859"/>
    </row>
    <row r="41" spans="3:19" ht="18" customHeight="1">
      <c r="C41" s="77"/>
      <c r="J41" s="84"/>
      <c r="K41" s="139" t="str">
        <f>lang!B15</f>
        <v>스트레스</v>
      </c>
      <c r="L41" s="90" t="s">
        <v>226</v>
      </c>
      <c r="M41" s="103" t="str">
        <f>data_info!HC6</f>
        <v>낮음</v>
      </c>
      <c r="N41" s="860">
        <f>data_info!GX6</f>
        <v>0</v>
      </c>
      <c r="O41" s="861"/>
      <c r="P41" s="862">
        <f>data_info!GT6</f>
        <v>0</v>
      </c>
      <c r="Q41" s="863"/>
      <c r="R41" s="860">
        <f>data_info!GZ6</f>
        <v>0</v>
      </c>
      <c r="S41" s="864"/>
    </row>
    <row r="42" spans="3:19" ht="18" customHeight="1">
      <c r="C42" s="77"/>
      <c r="J42" s="84"/>
      <c r="K42" s="139" t="str">
        <f>lang!B16</f>
        <v>불안</v>
      </c>
      <c r="L42" s="90" t="s">
        <v>227</v>
      </c>
      <c r="M42" s="103" t="str">
        <f>data_info!HC7</f>
        <v>낮음</v>
      </c>
      <c r="N42" s="860">
        <f>data_info!GX7</f>
        <v>0</v>
      </c>
      <c r="O42" s="861"/>
      <c r="P42" s="862">
        <f>data_info!GT7</f>
        <v>0</v>
      </c>
      <c r="Q42" s="863"/>
      <c r="R42" s="860">
        <f>data_info!GZ7</f>
        <v>0</v>
      </c>
      <c r="S42" s="864"/>
    </row>
    <row r="43" spans="3:19" ht="18" customHeight="1">
      <c r="C43" s="77"/>
      <c r="J43" s="84"/>
      <c r="K43" s="139" t="str">
        <f>lang!B17</f>
        <v>의심</v>
      </c>
      <c r="L43" s="90" t="s">
        <v>225</v>
      </c>
      <c r="M43" s="103" t="str">
        <f>data_info!HC8</f>
        <v>낮음</v>
      </c>
      <c r="N43" s="860">
        <f>data_info!GX8</f>
        <v>0</v>
      </c>
      <c r="O43" s="861"/>
      <c r="P43" s="862">
        <f>data_info!GT8</f>
        <v>0</v>
      </c>
      <c r="Q43" s="863"/>
      <c r="R43" s="860">
        <f>data_info!GZ8</f>
        <v>0</v>
      </c>
      <c r="S43" s="864"/>
    </row>
    <row r="44" spans="3:19" ht="18" customHeight="1">
      <c r="C44" s="77"/>
      <c r="J44" s="84"/>
      <c r="K44" s="139" t="str">
        <f>lang!B18</f>
        <v>밸런스</v>
      </c>
      <c r="L44" s="90" t="s">
        <v>2171</v>
      </c>
      <c r="M44" s="103" t="str">
        <f>data_info!HC9</f>
        <v>낮음</v>
      </c>
      <c r="N44" s="860">
        <f>data_info!GX9</f>
        <v>0</v>
      </c>
      <c r="O44" s="861"/>
      <c r="P44" s="862">
        <f>data_info!GT9</f>
        <v>0</v>
      </c>
      <c r="Q44" s="863"/>
      <c r="R44" s="860">
        <f>data_info!GZ9</f>
        <v>0</v>
      </c>
      <c r="S44" s="864"/>
    </row>
    <row r="45" spans="3:19" ht="18" customHeight="1">
      <c r="C45" s="77"/>
      <c r="J45" s="84"/>
      <c r="K45" s="139" t="str">
        <f>lang!B19</f>
        <v>카리스마</v>
      </c>
      <c r="L45" s="90" t="s">
        <v>229</v>
      </c>
      <c r="M45" s="103" t="str">
        <f>data_info!HC10</f>
        <v>낮음</v>
      </c>
      <c r="N45" s="860">
        <f>data_info!GX10</f>
        <v>0</v>
      </c>
      <c r="O45" s="861"/>
      <c r="P45" s="862">
        <f>data_info!GT10</f>
        <v>0</v>
      </c>
      <c r="Q45" s="863"/>
      <c r="R45" s="860">
        <f>data_info!GZ10</f>
        <v>0</v>
      </c>
      <c r="S45" s="864"/>
    </row>
    <row r="46" spans="3:19" ht="18" customHeight="1">
      <c r="C46" s="77"/>
      <c r="J46" s="84"/>
      <c r="K46" s="139" t="str">
        <f>lang!B20</f>
        <v>에너지</v>
      </c>
      <c r="L46" s="90" t="s">
        <v>2170</v>
      </c>
      <c r="M46" s="103" t="str">
        <f>data_info!HC11</f>
        <v>낮음</v>
      </c>
      <c r="N46" s="860">
        <f>data_info!GX11</f>
        <v>0</v>
      </c>
      <c r="O46" s="861"/>
      <c r="P46" s="862">
        <f>data_info!GT11</f>
        <v>0</v>
      </c>
      <c r="Q46" s="863"/>
      <c r="R46" s="860">
        <f>data_info!GZ11</f>
        <v>0</v>
      </c>
      <c r="S46" s="864"/>
    </row>
    <row r="47" spans="3:19" ht="18" customHeight="1">
      <c r="C47" s="77"/>
      <c r="J47" s="84"/>
      <c r="K47" s="139" t="str">
        <f>lang!B21</f>
        <v>자기조절</v>
      </c>
      <c r="L47" s="90" t="s">
        <v>230</v>
      </c>
      <c r="M47" s="103" t="str">
        <f>data_info!HC12</f>
        <v>낮음</v>
      </c>
      <c r="N47" s="860">
        <f>data_info!GX12</f>
        <v>0</v>
      </c>
      <c r="O47" s="861"/>
      <c r="P47" s="862">
        <f>data_info!GT12</f>
        <v>0</v>
      </c>
      <c r="Q47" s="863"/>
      <c r="R47" s="860">
        <f>data_info!GZ12</f>
        <v>0</v>
      </c>
      <c r="S47" s="864"/>
    </row>
    <row r="48" spans="3:19" ht="18" customHeight="1">
      <c r="C48" s="77"/>
      <c r="J48" s="84"/>
      <c r="K48" s="139" t="str">
        <f>lang!B22</f>
        <v>억제</v>
      </c>
      <c r="L48" s="91" t="s">
        <v>248</v>
      </c>
      <c r="M48" s="103" t="str">
        <f>data_info!HC13</f>
        <v>낮음</v>
      </c>
      <c r="N48" s="860">
        <f>data_info!GX13</f>
        <v>0</v>
      </c>
      <c r="O48" s="861"/>
      <c r="P48" s="862">
        <f>data_info!GT13</f>
        <v>0</v>
      </c>
      <c r="Q48" s="863"/>
      <c r="R48" s="860">
        <f>data_info!GZ13</f>
        <v>0</v>
      </c>
      <c r="S48" s="864"/>
    </row>
    <row r="49" spans="3:19" ht="18" customHeight="1" thickBot="1">
      <c r="C49" s="385"/>
      <c r="D49" s="248"/>
      <c r="E49" s="248"/>
      <c r="F49" s="248"/>
      <c r="G49" s="248"/>
      <c r="H49" s="248"/>
      <c r="I49" s="248"/>
      <c r="J49" s="386"/>
      <c r="K49" s="140" t="str">
        <f>lang!B23</f>
        <v>신경성</v>
      </c>
      <c r="L49" s="92" t="s">
        <v>231</v>
      </c>
      <c r="M49" s="371" t="str">
        <f>data_info!HC14</f>
        <v>낮음</v>
      </c>
      <c r="N49" s="901">
        <f>data_info!GX14</f>
        <v>0</v>
      </c>
      <c r="O49" s="902"/>
      <c r="P49" s="903">
        <f>data_info!GT14</f>
        <v>0</v>
      </c>
      <c r="Q49" s="904"/>
      <c r="R49" s="901">
        <f>data_info!GZ14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data_info!HU54</f>
        <v>0</v>
      </c>
      <c r="P12" s="309">
        <f>data_info!HU52</f>
        <v>2</v>
      </c>
      <c r="Q12" s="309">
        <f>data_info!HU53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data_info!HN50</f>
        <v>50</v>
      </c>
      <c r="R24" s="407">
        <f>data_info!HN51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data_info!HR50</f>
        <v>50</v>
      </c>
      <c r="R25" s="407">
        <f>data_info!HR51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data_info!HT50</f>
        <v>50</v>
      </c>
      <c r="R26" s="407">
        <f>data_info!HT51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data_info!HX50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data_info!HV52</f>
        <v>보통</v>
      </c>
      <c r="G31" s="1163"/>
      <c r="H31" s="1163"/>
      <c r="I31" s="1163"/>
      <c r="J31" s="1164"/>
      <c r="K31" s="1161" t="str">
        <f>lang!B657</f>
        <v>피로도</v>
      </c>
      <c r="L31" s="1162"/>
      <c r="M31" s="1162"/>
      <c r="N31" s="1163" t="str">
        <f>data_info!HV53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data_info!HN52</f>
        <v>50</v>
      </c>
      <c r="D33" s="1172"/>
      <c r="E33" s="1172"/>
      <c r="F33" s="1172"/>
      <c r="G33" s="1172"/>
      <c r="H33" s="1172"/>
      <c r="I33" s="1172"/>
      <c r="J33" s="1173"/>
      <c r="K33" s="868">
        <f>data_info!HN53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data_info!HN52</f>
        <v>50</v>
      </c>
      <c r="G37" s="1182"/>
      <c r="H37" s="401">
        <f>data_info!HR52</f>
        <v>50</v>
      </c>
      <c r="I37" s="401">
        <f>data_info!HT52</f>
        <v>50</v>
      </c>
      <c r="J37" s="292"/>
      <c r="K37" s="389"/>
      <c r="L37" s="237"/>
      <c r="M37" s="237"/>
      <c r="N37" s="1183" t="str">
        <f>lang!B657</f>
        <v>피로도</v>
      </c>
      <c r="O37" s="1183"/>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data_info!HW5</f>
        <v>낮음</v>
      </c>
      <c r="N40" s="854">
        <f>data_info!HR5</f>
        <v>0</v>
      </c>
      <c r="O40" s="855"/>
      <c r="P40" s="856">
        <f>data_info!HN5</f>
        <v>0</v>
      </c>
      <c r="Q40" s="857"/>
      <c r="R40" s="858">
        <f>data_info!HT5</f>
        <v>0</v>
      </c>
      <c r="S40" s="859"/>
    </row>
    <row r="41" spans="3:19" ht="18" customHeight="1">
      <c r="C41" s="77"/>
      <c r="J41" s="84"/>
      <c r="K41" s="139" t="str">
        <f>lang!B15</f>
        <v>스트레스</v>
      </c>
      <c r="L41" s="90" t="s">
        <v>226</v>
      </c>
      <c r="M41" s="103" t="str">
        <f>data_info!HW6</f>
        <v>낮음</v>
      </c>
      <c r="N41" s="860">
        <f>data_info!HR6</f>
        <v>0</v>
      </c>
      <c r="O41" s="861"/>
      <c r="P41" s="862">
        <f>data_info!HN6</f>
        <v>0</v>
      </c>
      <c r="Q41" s="863"/>
      <c r="R41" s="860">
        <f>data_info!HT6</f>
        <v>0</v>
      </c>
      <c r="S41" s="864"/>
    </row>
    <row r="42" spans="3:19" ht="18" customHeight="1">
      <c r="C42" s="77"/>
      <c r="J42" s="84"/>
      <c r="K42" s="139" t="str">
        <f>lang!B16</f>
        <v>불안</v>
      </c>
      <c r="L42" s="90" t="s">
        <v>227</v>
      </c>
      <c r="M42" s="103" t="str">
        <f>data_info!HW7</f>
        <v>낮음</v>
      </c>
      <c r="N42" s="860">
        <f>data_info!HR7</f>
        <v>0</v>
      </c>
      <c r="O42" s="861"/>
      <c r="P42" s="862">
        <f>data_info!HN7</f>
        <v>0</v>
      </c>
      <c r="Q42" s="863"/>
      <c r="R42" s="860">
        <f>data_info!HT7</f>
        <v>0</v>
      </c>
      <c r="S42" s="864"/>
    </row>
    <row r="43" spans="3:19" ht="18" customHeight="1">
      <c r="C43" s="77"/>
      <c r="J43" s="84"/>
      <c r="K43" s="139" t="str">
        <f>lang!B17</f>
        <v>의심</v>
      </c>
      <c r="L43" s="90" t="s">
        <v>225</v>
      </c>
      <c r="M43" s="103" t="str">
        <f>data_info!HW8</f>
        <v>낮음</v>
      </c>
      <c r="N43" s="860">
        <f>data_info!HR8</f>
        <v>0</v>
      </c>
      <c r="O43" s="861"/>
      <c r="P43" s="862">
        <f>data_info!HN8</f>
        <v>0</v>
      </c>
      <c r="Q43" s="863"/>
      <c r="R43" s="860">
        <f>data_info!HT8</f>
        <v>0</v>
      </c>
      <c r="S43" s="864"/>
    </row>
    <row r="44" spans="3:19" ht="18" customHeight="1">
      <c r="C44" s="77"/>
      <c r="J44" s="84"/>
      <c r="K44" s="139" t="str">
        <f>lang!B18</f>
        <v>밸런스</v>
      </c>
      <c r="L44" s="90" t="s">
        <v>2171</v>
      </c>
      <c r="M44" s="103" t="str">
        <f>data_info!HW9</f>
        <v>낮음</v>
      </c>
      <c r="N44" s="860">
        <f>data_info!HR9</f>
        <v>0</v>
      </c>
      <c r="O44" s="861"/>
      <c r="P44" s="862">
        <f>data_info!HN9</f>
        <v>0</v>
      </c>
      <c r="Q44" s="863"/>
      <c r="R44" s="860">
        <f>data_info!HT9</f>
        <v>0</v>
      </c>
      <c r="S44" s="864"/>
    </row>
    <row r="45" spans="3:19" ht="18" customHeight="1">
      <c r="C45" s="77"/>
      <c r="J45" s="84"/>
      <c r="K45" s="139" t="str">
        <f>lang!B19</f>
        <v>카리스마</v>
      </c>
      <c r="L45" s="90" t="s">
        <v>229</v>
      </c>
      <c r="M45" s="103" t="str">
        <f>data_info!HW10</f>
        <v>낮음</v>
      </c>
      <c r="N45" s="860">
        <f>data_info!HR10</f>
        <v>0</v>
      </c>
      <c r="O45" s="861"/>
      <c r="P45" s="862">
        <f>data_info!HN10</f>
        <v>0</v>
      </c>
      <c r="Q45" s="863"/>
      <c r="R45" s="860">
        <f>data_info!HT10</f>
        <v>0</v>
      </c>
      <c r="S45" s="864"/>
    </row>
    <row r="46" spans="3:19" ht="18" customHeight="1">
      <c r="C46" s="77"/>
      <c r="J46" s="84"/>
      <c r="K46" s="139" t="str">
        <f>lang!B20</f>
        <v>에너지</v>
      </c>
      <c r="L46" s="90" t="s">
        <v>2170</v>
      </c>
      <c r="M46" s="103" t="str">
        <f>data_info!HW11</f>
        <v>낮음</v>
      </c>
      <c r="N46" s="860">
        <f>data_info!HR11</f>
        <v>0</v>
      </c>
      <c r="O46" s="861"/>
      <c r="P46" s="862">
        <f>data_info!HN11</f>
        <v>0</v>
      </c>
      <c r="Q46" s="863"/>
      <c r="R46" s="860">
        <f>data_info!HT11</f>
        <v>0</v>
      </c>
      <c r="S46" s="864"/>
    </row>
    <row r="47" spans="3:19" ht="18" customHeight="1">
      <c r="C47" s="77"/>
      <c r="J47" s="84"/>
      <c r="K47" s="139" t="str">
        <f>lang!B21</f>
        <v>자기조절</v>
      </c>
      <c r="L47" s="90" t="s">
        <v>230</v>
      </c>
      <c r="M47" s="103" t="str">
        <f>data_info!HW12</f>
        <v>낮음</v>
      </c>
      <c r="N47" s="860">
        <f>data_info!HR12</f>
        <v>0</v>
      </c>
      <c r="O47" s="861"/>
      <c r="P47" s="862">
        <f>data_info!HN12</f>
        <v>0</v>
      </c>
      <c r="Q47" s="863"/>
      <c r="R47" s="860">
        <f>data_info!HT12</f>
        <v>0</v>
      </c>
      <c r="S47" s="864"/>
    </row>
    <row r="48" spans="3:19" ht="18" customHeight="1">
      <c r="C48" s="77"/>
      <c r="J48" s="84"/>
      <c r="K48" s="139" t="str">
        <f>lang!B22</f>
        <v>억제</v>
      </c>
      <c r="L48" s="91" t="s">
        <v>248</v>
      </c>
      <c r="M48" s="103" t="str">
        <f>data_info!HW13</f>
        <v>낮음</v>
      </c>
      <c r="N48" s="860">
        <f>data_info!HR13</f>
        <v>0</v>
      </c>
      <c r="O48" s="861"/>
      <c r="P48" s="862">
        <f>data_info!HN13</f>
        <v>0</v>
      </c>
      <c r="Q48" s="863"/>
      <c r="R48" s="860">
        <f>data_info!HT13</f>
        <v>0</v>
      </c>
      <c r="S48" s="864"/>
    </row>
    <row r="49" spans="3:19" ht="18" customHeight="1" thickBot="1">
      <c r="C49" s="385"/>
      <c r="D49" s="248"/>
      <c r="E49" s="248"/>
      <c r="F49" s="248"/>
      <c r="G49" s="248"/>
      <c r="H49" s="248"/>
      <c r="I49" s="248"/>
      <c r="J49" s="386"/>
      <c r="K49" s="140" t="str">
        <f>lang!B23</f>
        <v>신경성</v>
      </c>
      <c r="L49" s="92" t="s">
        <v>231</v>
      </c>
      <c r="M49" s="371" t="str">
        <f>data_info!HW14</f>
        <v>낮음</v>
      </c>
      <c r="N49" s="901">
        <f>data_info!HR14</f>
        <v>0</v>
      </c>
      <c r="O49" s="902"/>
      <c r="P49" s="903">
        <f>data_info!HN14</f>
        <v>0</v>
      </c>
      <c r="Q49" s="904"/>
      <c r="R49" s="901">
        <f>data_info!HT14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45778.78328703704</v>
      </c>
      <c r="I7" s="772"/>
      <c r="J7" s="773"/>
      <c r="K7" s="166" t="str">
        <f>lang!B160</f>
        <v>나이</v>
      </c>
      <c r="L7" s="774" t="str">
        <f>IF(FH_info!B2="","", FH_info!T2)</f>
        <v>1</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mj6r</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3</v>
      </c>
      <c r="M12" s="234">
        <f>IF(N12=1,Measurement!CH8,"")</f>
        <v>2</v>
      </c>
      <c r="N12" s="309">
        <v>1</v>
      </c>
      <c r="O12" s="309">
        <f>data_info!IO54</f>
        <v>0</v>
      </c>
      <c r="P12" s="309">
        <f>data_info!IO52</f>
        <v>2</v>
      </c>
      <c r="Q12" s="309">
        <f>data_info!IO53</f>
        <v>2</v>
      </c>
      <c r="R12" s="229"/>
      <c r="S12" s="245">
        <f>info!V45</f>
        <v>2</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3</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data_info!IH50</f>
        <v>50</v>
      </c>
      <c r="R24" s="407">
        <f>data_info!IH51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data_info!IL50</f>
        <v>50</v>
      </c>
      <c r="R25" s="407">
        <f>data_info!IL51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data_info!IN50</f>
        <v>50</v>
      </c>
      <c r="R26" s="407">
        <f>data_info!IN51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data_info!IR50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data_info!IP52</f>
        <v>보통</v>
      </c>
      <c r="G31" s="1163"/>
      <c r="H31" s="1163"/>
      <c r="I31" s="1163"/>
      <c r="J31" s="1164"/>
      <c r="K31" s="1161" t="str">
        <f>lang!B657</f>
        <v>피로도</v>
      </c>
      <c r="L31" s="1162"/>
      <c r="M31" s="1162"/>
      <c r="N31" s="1163" t="str">
        <f>data_info!IP53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data_info!IH52</f>
        <v>50</v>
      </c>
      <c r="D33" s="1172"/>
      <c r="E33" s="1172"/>
      <c r="F33" s="1172"/>
      <c r="G33" s="1172"/>
      <c r="H33" s="1172"/>
      <c r="I33" s="1172"/>
      <c r="J33" s="1173"/>
      <c r="K33" s="868">
        <f>data_info!IH53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data_info!IH52</f>
        <v>50</v>
      </c>
      <c r="G37" s="1182"/>
      <c r="H37" s="401">
        <f>data_info!IL52</f>
        <v>50</v>
      </c>
      <c r="I37" s="401">
        <f>data_info!IN52</f>
        <v>50</v>
      </c>
      <c r="J37" s="292"/>
      <c r="K37" s="389"/>
      <c r="L37" s="237"/>
      <c r="M37" s="237"/>
      <c r="N37" s="1183" t="str">
        <f>lang!B657</f>
        <v>피로도</v>
      </c>
      <c r="O37" s="1183"/>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data_info!IQ5</f>
        <v>낮음</v>
      </c>
      <c r="N40" s="854">
        <f>data_info!IL5</f>
        <v>0</v>
      </c>
      <c r="O40" s="855"/>
      <c r="P40" s="856">
        <f>data_info!IH5</f>
        <v>0</v>
      </c>
      <c r="Q40" s="857"/>
      <c r="R40" s="858">
        <f>data_info!IN5</f>
        <v>0</v>
      </c>
      <c r="S40" s="859"/>
    </row>
    <row r="41" spans="3:19" ht="18" customHeight="1">
      <c r="C41" s="77"/>
      <c r="J41" s="84"/>
      <c r="K41" s="139" t="str">
        <f>lang!B15</f>
        <v>스트레스</v>
      </c>
      <c r="L41" s="90" t="s">
        <v>226</v>
      </c>
      <c r="M41" s="103" t="str">
        <f>data_info!IQ6</f>
        <v>낮음</v>
      </c>
      <c r="N41" s="860">
        <f>data_info!IL6</f>
        <v>0</v>
      </c>
      <c r="O41" s="861"/>
      <c r="P41" s="862">
        <f>data_info!IH6</f>
        <v>0</v>
      </c>
      <c r="Q41" s="863"/>
      <c r="R41" s="860">
        <f>data_info!IN6</f>
        <v>0</v>
      </c>
      <c r="S41" s="864"/>
    </row>
    <row r="42" spans="3:19" ht="18" customHeight="1">
      <c r="C42" s="77"/>
      <c r="J42" s="84"/>
      <c r="K42" s="139" t="str">
        <f>lang!B16</f>
        <v>불안</v>
      </c>
      <c r="L42" s="90" t="s">
        <v>227</v>
      </c>
      <c r="M42" s="103" t="str">
        <f>data_info!IQ7</f>
        <v>낮음</v>
      </c>
      <c r="N42" s="860">
        <f>data_info!IL7</f>
        <v>0</v>
      </c>
      <c r="O42" s="861"/>
      <c r="P42" s="862">
        <f>data_info!IH7</f>
        <v>0</v>
      </c>
      <c r="Q42" s="863"/>
      <c r="R42" s="860">
        <f>data_info!IN7</f>
        <v>0</v>
      </c>
      <c r="S42" s="864"/>
    </row>
    <row r="43" spans="3:19" ht="18" customHeight="1">
      <c r="C43" s="77"/>
      <c r="J43" s="84"/>
      <c r="K43" s="139" t="str">
        <f>lang!B17</f>
        <v>의심</v>
      </c>
      <c r="L43" s="90" t="s">
        <v>225</v>
      </c>
      <c r="M43" s="103" t="str">
        <f>data_info!IQ8</f>
        <v>낮음</v>
      </c>
      <c r="N43" s="860">
        <f>data_info!IL8</f>
        <v>0</v>
      </c>
      <c r="O43" s="861"/>
      <c r="P43" s="862">
        <f>data_info!IH8</f>
        <v>0</v>
      </c>
      <c r="Q43" s="863"/>
      <c r="R43" s="860">
        <f>data_info!IN8</f>
        <v>0</v>
      </c>
      <c r="S43" s="864"/>
    </row>
    <row r="44" spans="3:19" ht="18" customHeight="1">
      <c r="C44" s="77"/>
      <c r="J44" s="84"/>
      <c r="K44" s="139" t="str">
        <f>lang!B18</f>
        <v>밸런스</v>
      </c>
      <c r="L44" s="90" t="s">
        <v>2171</v>
      </c>
      <c r="M44" s="103" t="str">
        <f>data_info!IQ9</f>
        <v>낮음</v>
      </c>
      <c r="N44" s="860">
        <f>data_info!IL9</f>
        <v>0</v>
      </c>
      <c r="O44" s="861"/>
      <c r="P44" s="862">
        <f>data_info!IH9</f>
        <v>0</v>
      </c>
      <c r="Q44" s="863"/>
      <c r="R44" s="860">
        <f>data_info!IN9</f>
        <v>0</v>
      </c>
      <c r="S44" s="864"/>
    </row>
    <row r="45" spans="3:19" ht="18" customHeight="1">
      <c r="C45" s="77"/>
      <c r="J45" s="84"/>
      <c r="K45" s="139" t="str">
        <f>lang!B19</f>
        <v>카리스마</v>
      </c>
      <c r="L45" s="90" t="s">
        <v>229</v>
      </c>
      <c r="M45" s="103" t="str">
        <f>data_info!IQ10</f>
        <v>낮음</v>
      </c>
      <c r="N45" s="860">
        <f>data_info!IL10</f>
        <v>0</v>
      </c>
      <c r="O45" s="861"/>
      <c r="P45" s="862">
        <f>data_info!IH10</f>
        <v>0</v>
      </c>
      <c r="Q45" s="863"/>
      <c r="R45" s="860">
        <f>data_info!IN10</f>
        <v>0</v>
      </c>
      <c r="S45" s="864"/>
    </row>
    <row r="46" spans="3:19" ht="18" customHeight="1">
      <c r="C46" s="77"/>
      <c r="J46" s="84"/>
      <c r="K46" s="139" t="str">
        <f>lang!B20</f>
        <v>에너지</v>
      </c>
      <c r="L46" s="90" t="s">
        <v>2170</v>
      </c>
      <c r="M46" s="103" t="str">
        <f>data_info!IQ11</f>
        <v>낮음</v>
      </c>
      <c r="N46" s="860">
        <f>data_info!IL11</f>
        <v>0</v>
      </c>
      <c r="O46" s="861"/>
      <c r="P46" s="862">
        <f>data_info!IH11</f>
        <v>0</v>
      </c>
      <c r="Q46" s="863"/>
      <c r="R46" s="860">
        <f>data_info!IN11</f>
        <v>0</v>
      </c>
      <c r="S46" s="864"/>
    </row>
    <row r="47" spans="3:19" ht="18" customHeight="1">
      <c r="C47" s="77"/>
      <c r="J47" s="84"/>
      <c r="K47" s="139" t="str">
        <f>lang!B21</f>
        <v>자기조절</v>
      </c>
      <c r="L47" s="90" t="s">
        <v>230</v>
      </c>
      <c r="M47" s="103" t="str">
        <f>data_info!IQ12</f>
        <v>낮음</v>
      </c>
      <c r="N47" s="860">
        <f>data_info!IL12</f>
        <v>0</v>
      </c>
      <c r="O47" s="861"/>
      <c r="P47" s="862">
        <f>data_info!IH12</f>
        <v>0</v>
      </c>
      <c r="Q47" s="863"/>
      <c r="R47" s="860">
        <f>data_info!IN12</f>
        <v>0</v>
      </c>
      <c r="S47" s="864"/>
    </row>
    <row r="48" spans="3:19" ht="18" customHeight="1">
      <c r="C48" s="77"/>
      <c r="J48" s="84"/>
      <c r="K48" s="139" t="str">
        <f>lang!B22</f>
        <v>억제</v>
      </c>
      <c r="L48" s="91" t="s">
        <v>248</v>
      </c>
      <c r="M48" s="103" t="str">
        <f>data_info!IQ13</f>
        <v>낮음</v>
      </c>
      <c r="N48" s="860">
        <f>data_info!IL13</f>
        <v>0</v>
      </c>
      <c r="O48" s="861"/>
      <c r="P48" s="862">
        <f>data_info!IH13</f>
        <v>0</v>
      </c>
      <c r="Q48" s="863"/>
      <c r="R48" s="860">
        <f>data_info!IN13</f>
        <v>0</v>
      </c>
      <c r="S48" s="864"/>
    </row>
    <row r="49" spans="3:19" ht="18" customHeight="1" thickBot="1">
      <c r="C49" s="385"/>
      <c r="D49" s="248"/>
      <c r="E49" s="248"/>
      <c r="F49" s="248"/>
      <c r="G49" s="248"/>
      <c r="H49" s="248"/>
      <c r="I49" s="248"/>
      <c r="J49" s="386"/>
      <c r="K49" s="140" t="str">
        <f>lang!B23</f>
        <v>신경성</v>
      </c>
      <c r="L49" s="92" t="s">
        <v>231</v>
      </c>
      <c r="M49" s="371" t="str">
        <f>data_info!IQ14</f>
        <v>낮음</v>
      </c>
      <c r="N49" s="901">
        <f>data_info!IL14</f>
        <v>0</v>
      </c>
      <c r="O49" s="902"/>
      <c r="P49" s="903">
        <f>data_info!IH14</f>
        <v>0</v>
      </c>
      <c r="Q49" s="904"/>
      <c r="R49" s="901">
        <f>data_info!IN14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2025-05-02T09:11:30Z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