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geUC^1^6^\"/>
    </mc:Choice>
  </mc:AlternateContent>
  <xr:revisionPtr revIDLastSave="0" documentId="13_ncr:1_{6284DE73-D003-4E14-B1C1-D0423F34D4B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8" i="41"/>
  <c r="H7" i="41"/>
  <c r="H8" i="40"/>
  <c r="H7" i="40"/>
  <c r="H7" i="39"/>
  <c r="H7" i="38"/>
  <c r="L8" i="37"/>
  <c r="H7" i="37"/>
  <c r="H7" i="36"/>
  <c r="H7" i="33"/>
  <c r="V2" i="14"/>
  <c r="L8" i="49" s="1"/>
  <c r="U2" i="14"/>
  <c r="R8" i="49" s="1"/>
  <c r="T2" i="14"/>
  <c r="L7" i="49" s="1"/>
  <c r="R2" i="14"/>
  <c r="P2" i="14"/>
  <c r="O2" i="14"/>
  <c r="H8" i="36" s="1"/>
  <c r="Q8" i="41" l="1"/>
  <c r="L7" i="43"/>
  <c r="H8" i="44"/>
  <c r="Q8" i="45"/>
  <c r="L8" i="45"/>
  <c r="L7" i="33"/>
  <c r="L7" i="39"/>
  <c r="L8" i="40"/>
  <c r="L8" i="44"/>
  <c r="L7" i="30"/>
  <c r="H8" i="33"/>
  <c r="Q8" i="36"/>
  <c r="L7" i="38"/>
  <c r="H8" i="39"/>
  <c r="Q8" i="40"/>
  <c r="L7" i="42"/>
  <c r="H8" i="43"/>
  <c r="Q8" i="44"/>
  <c r="L7" i="46"/>
  <c r="Q8" i="37"/>
  <c r="L8" i="36"/>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B7" i="1"/>
  <c r="CD7" i="1"/>
  <c r="CB6" i="1" s="1"/>
  <c r="AS7" i="1"/>
  <c r="A71" i="32"/>
  <c r="A67" i="32"/>
  <c r="B53" i="24"/>
  <c r="D53" i="24" s="1"/>
  <c r="H4" i="21"/>
  <c r="H6" i="21"/>
  <c r="I6" i="21" s="1"/>
  <c r="H5" i="21"/>
  <c r="A9" i="17"/>
  <c r="C8" i="17"/>
  <c r="B8" i="17" s="1"/>
  <c r="V21" i="11"/>
  <c r="V52" i="11"/>
  <c r="X52" i="11" s="1"/>
  <c r="B46" i="25"/>
  <c r="G46" i="25" s="1"/>
  <c r="BW6" i="1"/>
  <c r="BY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4" i="1" l="1"/>
  <c r="Y12" i="1"/>
  <c r="Y13" i="1"/>
  <c r="Y10" i="1"/>
  <c r="Y8" i="1"/>
  <c r="Y9" i="1"/>
  <c r="C213" i="17"/>
  <c r="B213" i="17" s="1"/>
  <c r="A214" i="17"/>
  <c r="F211" i="11"/>
  <c r="A212" i="11"/>
  <c r="B211" i="11"/>
  <c r="E211" i="11" s="1"/>
  <c r="Y7" i="1" l="1"/>
  <c r="Y11" i="1"/>
  <c r="L33" i="48"/>
  <c r="L33" i="18"/>
  <c r="L35" i="48"/>
  <c r="L35" i="18"/>
  <c r="L38" i="48"/>
  <c r="L38" i="18"/>
  <c r="L37" i="48"/>
  <c r="L37" i="18"/>
  <c r="L34" i="48"/>
  <c r="L34" i="18"/>
  <c r="L39" i="48"/>
  <c r="L39" i="18"/>
  <c r="C214" i="17"/>
  <c r="B214" i="17" s="1"/>
  <c r="Y16" i="1" s="1"/>
  <c r="A215" i="17"/>
  <c r="F212" i="11"/>
  <c r="A213" i="11"/>
  <c r="B212" i="11"/>
  <c r="E212" i="11" s="1"/>
  <c r="L41" i="48" l="1"/>
  <c r="L41" i="18"/>
  <c r="L36" i="48"/>
  <c r="L36"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<sst xmlns="http://schemas.openxmlformats.org/spreadsheetml/2006/main" count="7385" uniqueCount="2659">
  <si>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</si>
  <si>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</si>
  <si>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</si>
  <si>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</si>
  <si>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</si>
  <si>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</si>
  <si>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</si>
  <si>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</si>
  <si>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</si>
  <si>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</si>
  <si>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</si>
  <si>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</si>
  <si>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</si>
  <si>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</si>
  <si>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</si>
  <si>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</si>
  <si>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</si>
  <si>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</si>
  <si>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</si>
  <si>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</si>
  <si>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</si>
  <si>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</si>
  <si>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</si>
  <si>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</si>
  <si>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</si>
  <si>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</si>
  <si>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</si>
  <si>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</si>
  <si>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</si>
  <si>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</si>
  <si>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</si>
  <si>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</si>
  <si>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</si>
  <si>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</si>
  <si>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</si>
  <si>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</si>
  <si>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</si>
  <si>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</si>
  <si>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</si>
  <si>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</si>
  <si>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</si>
  <si>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</si>
  <si>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</si>
  <si>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</si>
  <si>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</si>
  <si>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</si>
  <si>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</si>
  <si>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</si>
  <si>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</si>
  <si>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</si>
  <si>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</si>
  <si>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</si>
  <si>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</si>
  <si>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</si>
  <si>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</si>
  <si>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</si>
  <si>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</si>
  <si>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</si>
  <si>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</si>
  <si>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</si>
  <si>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</si>
  <si>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</si>
  <si>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</si>
  <si>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</si>
  <si>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</si>
  <si>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</si>
  <si>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</si>
  <si>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</si>
  <si>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</si>
  <si>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</si>
  <si>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</si>
  <si>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</si>
  <si>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</si>
  <si>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</si>
  <si>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</si>
  <si>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</si>
  <si>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</si>
  <si>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</si>
  <si>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</si>
  <si>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</si>
  <si>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</si>
  <si>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</si>
  <si>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</si>
  <si>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</si>
  <si>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</si>
  <si>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</si>
  <si>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</si>
  <si>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</si>
  <si>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</si>
  <si>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</si>
  <si>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</si>
  <si>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</si>
  <si>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</si>
  <si>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</si>
  <si>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</si>
  <si>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</si>
  <si>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</si>
  <si>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</si>
  <si>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</si>
  <si>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</si>
  <si>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</si>
  <si>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</si>
  <si>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</si>
  <si>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</si>
  <si>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</si>
  <si>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</si>
  <si>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</si>
  <si>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</si>
  <si>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</si>
  <si>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</si>
  <si>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</si>
  <si>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</si>
  <si>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</si>
  <si>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</si>
  <si>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</si>
  <si>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</si>
  <si>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</si>
  <si>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</si>
  <si>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</si>
  <si>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</si>
  <si>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</si>
  <si>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</si>
  <si>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</si>
  <si>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</si>
  <si>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</si>
  <si>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</si>
  <si>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</si>
  <si>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</si>
  <si>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</si>
  <si>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</si>
  <si>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</si>
  <si>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</si>
  <si>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</si>
  <si>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</si>
  <si>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</si>
  <si>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</si>
  <si>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</si>
  <si>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</si>
  <si>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</si>
  <si>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</si>
  <si>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</si>
  <si>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</si>
  <si>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</si>
  <si>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</si>
  <si>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</si>
  <si>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</si>
  <si>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</si>
  <si>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</si>
  <si>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</si>
  <si>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</si>
  <si>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</si>
  <si>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</si>
  <si>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</si>
  <si>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</si>
  <si>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</si>
  <si>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</si>
  <si>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</si>
  <si>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</si>
  <si>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</si>
  <si>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</si>
  <si>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</si>
  <si>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</si>
  <si>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</si>
  <si>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</si>
  <si>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</si>
  <si>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</si>
  <si>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</si>
  <si>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</si>
  <si>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</si>
  <si>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</si>
  <si>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</si>
  <si>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</si>
  <si>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</si>
  <si>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</si>
  <si>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</si>
  <si>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</si>
  <si>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</si>
  <si>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</si>
  <si>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</si>
  <si>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</si>
  <si>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</si>
  <si>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</si>
  <si>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</si>
  <si>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</si>
  <si>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</si>
  <si>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</si>
  <si>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</si>
  <si>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</si>
  <si>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</si>
  <si>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</si>
  <si>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</si>
  <si>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</si>
  <si>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</si>
  <si>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</si>
  <si>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</si>
  <si>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</si>
  <si>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</si>
  <si>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</si>
  <si>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</si>
  <si>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</si>
  <si>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</si>
  <si>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</si>
  <si>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</si>
  <si>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</si>
  <si>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</si>
  <si>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</si>
  <si>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</si>
  <si>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</si>
  <si>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</si>
  <si>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</si>
  <si>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</si>
  <si>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</si>
  <si>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</si>
  <si>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</si>
  <si>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</si>
  <si>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</si>
  <si>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</si>
  <si>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</si>
  <si>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</si>
  <si>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</si>
  <si>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</si>
  <si>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</si>
  <si>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</si>
  <si>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</si>
  <si>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</si>
  <si>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</si>
  <si>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</si>
  <si>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</si>
  <si>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</si>
  <si>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</si>
  <si>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</si>
  <si>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</si>
  <si>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</si>
  <si>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</si>
  <si>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</si>
  <si>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</si>
  <si>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</si>
  <si>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</si>
  <si>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</si>
  <si>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</si>
  <si>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</si>
  <si>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</si>
  <si>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</si>
  <si>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</si>
  <si>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</si>
  <si>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</si>
  <si>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</si>
  <si>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</si>
  <si>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</si>
  <si>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</si>
  <si>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</si>
  <si>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</si>
  <si>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</si>
  <si>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</si>
  <si>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</si>
  <si>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</si>
  <si>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</si>
  <si>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</si>
  <si>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</si>
  <si>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</si>
  <si>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</si>
  <si>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</si>
  <si>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</si>
  <si>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</si>
  <si>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</si>
  <si>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</si>
  <si>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</si>
  <si>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</si>
  <si>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</si>
  <si>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</si>
  <si>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</si>
  <si>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</si>
  <si>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</si>
  <si>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</si>
  <si>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</si>
  <si>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</si>
  <si>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</si>
  <si>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</si>
  <si>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</si>
  <si>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</si>
  <si>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</si>
  <si>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</si>
  <si>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</si>
  <si>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</si>
  <si>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</si>
  <si>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</si>
  <si>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</si>
  <si>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</si>
  <si>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</si>
  <si>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</si>
  <si>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</si>
  <si>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</si>
  <si>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</si>
  <si>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</si>
  <si>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</si>
  <si>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</si>
  <si>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</si>
  <si>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</si>
  <si>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</si>
  <si>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</si>
  <si>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</si>
  <si>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</si>
  <si>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</si>
  <si>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</si>
  <si>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</si>
  <si>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</si>
  <si>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</si>
  <si>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</si>
  <si>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</si>
  <si>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</si>
  <si>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</si>
  <si>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</si>
  <si>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</si>
  <si>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</si>
  <si>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</si>
  <si>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</si>
  <si>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</si>
  <si>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</si>
  <si>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</si>
  <si>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</si>
  <si>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</si>
  <si>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</si>
  <si>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</si>
  <si>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</si>
  <si>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</si>
  <si>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</si>
  <si>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</si>
  <si>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</si>
  <si>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</si>
  <si>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</si>
  <si>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</si>
  <si>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</si>
  <si>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</si>
  <si>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</si>
  <si>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</si>
  <si>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</si>
  <si>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</si>
  <si>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</si>
  <si>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</si>
  <si>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</si>
  <si>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</si>
  <si>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</si>
  <si>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</si>
  <si>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</si>
  <si>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</si>
  <si>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</si>
  <si>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</si>
  <si>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</si>
  <si>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</si>
  <si>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</si>
  <si>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</si>
  <si>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</si>
  <si>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</si>
  <si>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</si>
  <si>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</si>
  <si>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</si>
  <si>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</si>
  <si>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</si>
  <si>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</si>
  <si>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</si>
  <si>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</si>
  <si>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</si>
  <si>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</si>
  <si>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</si>
  <si>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</si>
  <si>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</si>
  <si>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</si>
  <si>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</si>
  <si>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</si>
  <si>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</si>
  <si>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</si>
  <si>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</si>
  <si>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</si>
  <si>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</si>
  <si>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</si>
  <si>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</si>
  <si>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</si>
  <si>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</si>
  <si>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</si>
  <si>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</si>
  <si>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</si>
  <si>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</si>
  <si>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</si>
  <si>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</si>
  <si>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</si>
  <si>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</si>
  <si>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</si>
  <si>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</si>
  <si>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</si>
  <si>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</si>
  <si>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</si>
  <si>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</si>
  <si>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</si>
  <si>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</si>
  <si>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</si>
  <si>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</si>
  <si>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</si>
  <si>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</si>
  <si>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</si>
  <si>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</si>
  <si>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</si>
  <si>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</si>
  <si>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</si>
  <si>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</si>
  <si>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</si>
  <si>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</si>
  <si>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</si>
  <si>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</si>
  <si>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</si>
  <si>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</si>
  <si>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</si>
  <si>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</si>
  <si>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</si>
  <si>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</si>
  <si>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</si>
  <si>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</si>
  <si>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</si>
  <si>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</si>
  <si>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</si>
  <si>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</si>
  <si>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</si>
  <si>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</si>
  <si>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</si>
  <si>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</si>
  <si>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</si>
  <si>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</si>
  <si>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</si>
  <si>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</si>
  <si>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</si>
  <si>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</si>
  <si>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</si>
  <si>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</si>
  <si>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</si>
  <si>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</si>
  <si>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</si>
  <si>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</si>
  <si>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</si>
  <si>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</si>
  <si>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</si>
  <si>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</si>
  <si>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</si>
  <si>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</si>
  <si>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</si>
  <si>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</si>
  <si>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</si>
  <si>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</si>
  <si>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</si>
  <si>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</si>
  <si>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</si>
  <si>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</si>
  <si>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</si>
  <si>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</si>
  <si>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</si>
  <si>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</si>
  <si>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</si>
  <si>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</si>
  <si>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</si>
  <si>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</si>
  <si>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</si>
  <si>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</si>
  <si>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</si>
  <si>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</si>
  <si>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</si>
  <si>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</si>
  <si>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</si>
  <si>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</si>
  <si>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</si>
  <si>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</si>
  <si>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</si>
  <si>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</si>
  <si>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</si>
  <si>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</si>
  <si>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</si>
  <si>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</si>
  <si>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</si>
  <si>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</si>
  <si>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</si>
  <si>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</si>
  <si>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</si>
  <si>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</si>
  <si>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</si>
  <si>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</si>
  <si>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</si>
  <si>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</si>
  <si>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</si>
  <si>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</si>
  <si>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</si>
  <si>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</si>
  <si>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</si>
  <si>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</si>
  <si>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</si>
  <si>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</si>
  <si>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</si>
  <si>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</si>
  <si>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</si>
  <si>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</si>
  <si>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</si>
  <si>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</si>
  <si>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</si>
  <si>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</si>
  <si>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</si>
  <si>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</si>
  <si>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</si>
  <si>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</si>
  <si>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</si>
  <si>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</si>
  <si>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</si>
  <si>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</si>
  <si>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</si>
  <si>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</si>
  <si>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</si>
  <si>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</si>
  <si>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</si>
  <si>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</si>
  <si>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</si>
  <si>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</si>
  <si>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</si>
  <si>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</si>
  <si>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</si>
  <si>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</si>
  <si>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</si>
  <si>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</si>
  <si>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</si>
  <si>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</si>
  <si>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</si>
  <si>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</si>
  <si>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</si>
  <si>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</si>
  <si>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</si>
  <si>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</si>
  <si>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</si>
  <si>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</si>
  <si>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</si>
  <si>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</si>
  <si>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</si>
  <si>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</si>
  <si>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</si>
  <si>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</si>
  <si>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</si>
  <si>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</si>
  <si>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</si>
  <si>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</si>
  <si>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</si>
  <si>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</si>
  <si>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</si>
  <si>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</si>
  <si>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</si>
  <si>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</si>
  <si>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</si>
  <si>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</si>
  <si>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</si>
  <si>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</si>
  <si>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</si>
  <si>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</si>
  <si>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</si>
  <si>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</si>
  <si>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</si>
  <si>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</si>
  <si>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</si>
  <si>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</si>
  <si>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</si>
  <si>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</si>
  <si>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</si>
  <si>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</si>
  <si>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</si>
  <si>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</si>
  <si>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</si>
  <si>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</si>
  <si>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</si>
  <si>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</si>
  <si>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</si>
  <si>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</si>
  <si>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</si>
  <si>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</si>
  <si>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</si>
  <si>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</si>
  <si>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</si>
  <si>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</si>
  <si>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</si>
  <si>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</si>
  <si>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</si>
  <si>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</si>
  <si>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</si>
  <si>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</si>
  <si>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</si>
  <si>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</si>
  <si>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</si>
  <si>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</si>
  <si>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</si>
  <si>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</si>
  <si>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</si>
  <si>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</si>
  <si>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</si>
  <si>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</si>
  <si>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</si>
  <si>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</si>
  <si>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</si>
  <si>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</si>
  <si>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</si>
  <si>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</si>
  <si>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</si>
  <si>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</si>
  <si>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</si>
  <si>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</si>
  <si>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</si>
  <si>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</si>
  <si>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</si>
  <si>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</si>
  <si>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</si>
  <si>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</si>
  <si>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</si>
  <si>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</si>
  <si>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</si>
  <si>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</si>
  <si>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</si>
  <si>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</si>
  <si>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</si>
  <si>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</si>
  <si>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</si>
  <si>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</si>
  <si>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</si>
  <si>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</si>
  <si>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</si>
  <si>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</si>
  <si>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</si>
  <si>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</si>
  <si>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</si>
  <si>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</si>
  <si>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</si>
  <si>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</si>
  <si>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</si>
  <si>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</si>
  <si>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</si>
  <si>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</si>
  <si>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</si>
  <si>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</si>
  <si>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</si>
  <si>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</si>
  <si>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</si>
  <si>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</si>
  <si>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</si>
  <si>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</si>
  <si>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</si>
  <si>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</si>
  <si>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</si>
  <si>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</si>
  <si>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</si>
  <si>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</si>
  <si>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</si>
  <si>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</si>
  <si>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</si>
  <si>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</si>
  <si>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</si>
  <si>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</si>
  <si>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</si>
  <si>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</si>
  <si>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</si>
  <si>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</si>
  <si>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</si>
  <si>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</si>
  <si>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</si>
  <si>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</si>
  <si>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</si>
  <si>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</si>
  <si>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</si>
  <si>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</si>
  <si>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</si>
  <si>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</si>
  <si>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</si>
  <si>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</si>
  <si>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</si>
  <si>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</si>
  <si>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</si>
  <si>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</si>
  <si>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</si>
  <si>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</si>
  <si>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</si>
  <si>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</si>
  <si>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</si>
  <si>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</si>
  <si>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</si>
  <si>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</si>
  <si>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</si>
  <si>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</si>
  <si>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</si>
  <si>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</si>
  <si>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</si>
  <si>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</si>
  <si>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</si>
  <si>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</si>
  <si>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</si>
  <si>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</si>
  <si>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</si>
  <si>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</si>
  <si>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</si>
  <si>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</si>
  <si>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</si>
  <si>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</si>
  <si>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</si>
  <si>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</si>
  <si>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</si>
  <si>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</si>
  <si>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</si>
  <si>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</si>
  <si>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</si>
  <si>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</si>
  <si>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</si>
  <si>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</si>
  <si>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</si>
  <si>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</si>
  <si>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</si>
  <si>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</si>
  <si>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</si>
  <si>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</si>
  <si>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</si>
  <si>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</si>
  <si>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</si>
  <si>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</si>
  <si>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</si>
  <si>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</si>
  <si>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</si>
  <si>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</si>
  <si>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</si>
  <si>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</si>
  <si>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</si>
  <si>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</si>
  <si>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</si>
  <si>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</si>
  <si>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</si>
  <si>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</si>
  <si>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</si>
  <si>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</si>
  <si>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</si>
  <si>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</si>
  <si>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</si>
  <si>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</si>
  <si>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</si>
  <si>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</si>
  <si>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</si>
  <si>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</si>
  <si>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</si>
  <si>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</si>
  <si>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</si>
  <si>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</si>
  <si>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</si>
  <si>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</si>
  <si>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</si>
  <si>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</si>
  <si>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</si>
  <si>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</si>
  <si>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</si>
  <si>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</si>
  <si>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</si>
  <si>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</si>
  <si>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</si>
  <si>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</si>
  <si>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</si>
  <si>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</si>
  <si>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</si>
  <si>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</si>
  <si>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</si>
  <si>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</si>
  <si>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</si>
  <si>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</si>
  <si>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</si>
  <si>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</si>
  <si>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</si>
  <si>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</si>
  <si>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</si>
  <si>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</si>
  <si>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</si>
  <si>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</si>
  <si>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</si>
  <si>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</si>
  <si>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</si>
  <si>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</si>
  <si>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</si>
  <si>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</si>
  <si>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</si>
  <si>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</si>
  <si>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</si>
  <si>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</si>
  <si>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</si>
  <si>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</si>
  <si>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</si>
  <si>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</si>
  <si>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</si>
  <si>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</si>
  <si>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</si>
  <si>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</si>
  <si>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</si>
  <si>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</si>
  <si>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</si>
  <si>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</si>
  <si>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</si>
  <si>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</si>
  <si>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</si>
  <si>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</si>
  <si>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</si>
  <si>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</si>
  <si>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</si>
  <si>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</si>
  <si>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</si>
  <si>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</si>
  <si>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</si>
  <si>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</si>
  <si>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</si>
  <si>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</si>
  <si>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</si>
  <si>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</si>
  <si>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</si>
  <si>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</si>
  <si>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</si>
  <si>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</si>
  <si>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</si>
  <si>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</si>
  <si>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</si>
  <si>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</si>
  <si>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</si>
  <si>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</si>
  <si>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</si>
  <si>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</si>
  <si>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</si>
  <si>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</si>
  <si>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</si>
  <si>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</si>
  <si>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</si>
  <si>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</si>
  <si>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</si>
  <si>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</si>
  <si>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</si>
  <si>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</si>
  <si>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</si>
  <si>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</si>
  <si>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</si>
  <si>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</si>
  <si>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</si>
  <si>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</si>
  <si>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</si>
  <si>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</si>
  <si>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</si>
  <si>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</si>
  <si>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</si>
  <si>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</si>
  <si>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</si>
  <si>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</si>
  <si>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</si>
  <si>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</si>
  <si>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</si>
  <si>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</si>
  <si>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</si>
  <si>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</si>
  <si>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</si>
  <si>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</si>
  <si>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</si>
  <si>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</si>
  <si>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</si>
  <si>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</si>
  <si>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</si>
  <si>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</si>
  <si>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</si>
  <si>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</si>
  <si>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</si>
  <si>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</si>
  <si>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</si>
  <si>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</si>
  <si>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</si>
  <si>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</si>
  <si>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</si>
  <si>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</si>
  <si>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</si>
  <si>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</si>
  <si>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</si>
  <si>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</si>
  <si>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</si>
  <si>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</si>
  <si>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</si>
  <si>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</si>
  <si>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</si>
  <si>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</si>
  <si>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</si>
  <si>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</si>
  <si>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</si>
  <si>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</si>
  <si>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</si>
  <si>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</si>
  <si>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</si>
  <si>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</si>
  <si>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</si>
  <si>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</si>
  <si>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</si>
  <si>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</si>
  <si>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</si>
  <si>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</si>
  <si>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</si>
  <si>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</si>
  <si>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</si>
  <si>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</si>
  <si>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</si>
  <si>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</si>
  <si>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</si>
  <si>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</si>
  <si>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</si>
  <si>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</si>
  <si>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</si>
  <si>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</si>
  <si>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</si>
  <si>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</si>
  <si>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</si>
  <si>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</si>
  <si>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</si>
  <si>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</si>
  <si>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</si>
  <si>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</si>
  <si>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</si>
  <si>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</si>
  <si>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</si>
  <si>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</si>
  <si>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</si>
  <si>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</si>
  <si>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</si>
  <si>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</si>
  <si>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</si>
  <si>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</si>
  <si>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</si>
  <si>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</si>
  <si>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</si>
  <si>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</si>
  <si>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</si>
  <si>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</si>
  <si>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</si>
  <si>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</si>
  <si>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</si>
  <si>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</si>
  <si>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</si>
  <si>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</si>
  <si>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</si>
  <si>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</si>
  <si>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</si>
  <si>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</si>
  <si>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</si>
  <si>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</si>
  <si>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</si>
  <si>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</si>
  <si>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</si>
  <si>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</si>
  <si>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</si>
  <si>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</si>
  <si>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</si>
  <si>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</si>
  <si>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</si>
  <si>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</si>
  <si>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</si>
  <si>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</si>
  <si>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</si>
  <si>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</si>
  <si>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</si>
  <si>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</si>
  <si>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</si>
  <si>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</si>
  <si>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</si>
  <si>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</si>
  <si>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</si>
  <si>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</si>
  <si>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</si>
  <si>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</si>
  <si>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</si>
  <si>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</si>
  <si>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</si>
  <si>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</si>
  <si>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</si>
  <si>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</si>
  <si>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</si>
  <si>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</si>
  <si>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</si>
  <si>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</si>
  <si>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</si>
  <si>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</si>
  <si>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</si>
  <si>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</si>
  <si>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</si>
  <si>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</si>
  <si>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</si>
  <si>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</si>
  <si>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</si>
  <si>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</si>
  <si>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</si>
  <si>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</si>
  <si>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</si>
  <si>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</si>
  <si>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</si>
  <si>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</si>
  <si>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</si>
  <si>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</si>
  <si>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</si>
  <si>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</si>
  <si>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</si>
  <si>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</si>
  <si>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</si>
  <si>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</si>
  <si>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</si>
  <si>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</si>
  <si>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</si>
  <si>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</si>
  <si>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</si>
  <si>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</si>
  <si>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</si>
  <si>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</si>
  <si>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</si>
  <si>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</si>
  <si>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</si>
  <si>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</si>
  <si>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</si>
  <si>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</si>
  <si>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</si>
  <si>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</si>
  <si>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</si>
  <si>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</si>
  <si>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</si>
  <si>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</si>
  <si>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</si>
  <si>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</si>
  <si>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</si>
  <si>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</si>
  <si>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</si>
  <si>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</si>
  <si>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</si>
  <si>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</si>
  <si>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</si>
  <si>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</si>
  <si>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</si>
  <si>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</si>
  <si>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</si>
  <si>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</si>
  <si>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</si>
  <si>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</si>
  <si>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</si>
  <si>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</si>
  <si>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</si>
  <si>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</si>
  <si>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</si>
  <si>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</si>
  <si>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</si>
  <si>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</si>
  <si>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</si>
  <si>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</si>
  <si>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</si>
  <si>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</si>
  <si>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</si>
  <si>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</si>
  <si>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</si>
  <si>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</si>
  <si>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</si>
  <si>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</si>
  <si>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</si>
  <si>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</si>
  <si>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</si>
  <si>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</si>
  <si>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</si>
  <si>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</si>
  <si>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</si>
  <si>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</si>
  <si>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</si>
  <si>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</si>
  <si>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</si>
  <si>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</si>
  <si>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</si>
  <si>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</si>
  <si>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</si>
  <si>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</si>
  <si>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</si>
  <si>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</si>
  <si>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</si>
  <si>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</si>
  <si>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</si>
  <si>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</si>
  <si>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</si>
  <si>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</si>
  <si>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</si>
  <si>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</si>
  <si>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</si>
  <si>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</si>
  <si>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</si>
  <si>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</si>
  <si>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</si>
  <si>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</si>
  <si>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</si>
  <si>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</si>
  <si>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</si>
  <si>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</si>
  <si>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</si>
  <si>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</si>
  <si>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</si>
  <si>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</si>
  <si>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</si>
  <si>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</si>
  <si>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</si>
  <si>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</si>
  <si>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</si>
  <si>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</si>
  <si>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</si>
  <si>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</si>
  <si>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</si>
  <si>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</si>
  <si>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</si>
  <si>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</si>
  <si>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</si>
  <si>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</si>
  <si>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</si>
  <si>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</si>
  <si>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</si>
  <si>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</si>
  <si>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</si>
  <si>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</si>
  <si>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</si>
  <si>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</si>
  <si>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</si>
  <si>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</si>
  <si>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</si>
  <si>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</si>
  <si>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</si>
  <si>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</si>
  <si>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</si>
  <si>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</si>
  <si>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</si>
  <si>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</si>
  <si>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</si>
  <si>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</si>
  <si>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</si>
  <si>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</si>
  <si>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</si>
  <si>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</si>
  <si>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</si>
  <si>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</si>
  <si>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</si>
  <si>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</si>
  <si>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</si>
  <si>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</si>
  <si>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</si>
  <si>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</si>
  <si>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</si>
  <si>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</si>
  <si>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</si>
  <si>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</si>
  <si>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</si>
  <si>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</si>
  <si>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</si>
  <si>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</si>
  <si>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</si>
  <si>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</si>
  <si>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</si>
  <si>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</si>
  <si>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</si>
  <si>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</si>
  <si>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</si>
  <si>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</si>
  <si>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</si>
  <si>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</si>
  <si>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</si>
  <si>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</si>
  <si>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</si>
  <si>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</si>
  <si>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</si>
  <si>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</si>
  <si>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</si>
  <si>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</si>
  <si>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</si>
  <si>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</si>
  <si>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</si>
  <si>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</si>
  <si>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</si>
  <si>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</si>
  <si>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</si>
  <si>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</si>
  <si>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</si>
  <si>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</si>
  <si>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</si>
  <si>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</si>
  <si>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</si>
  <si>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</si>
  <si>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</si>
  <si>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</si>
  <si>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</si>
  <si>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</si>
  <si>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</si>
  <si>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</si>
  <si>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</si>
  <si>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</si>
  <si>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</si>
  <si>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</si>
  <si>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</si>
  <si>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</si>
  <si>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</si>
  <si>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</si>
  <si>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</si>
  <si>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</si>
  <si>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</si>
  <si>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</si>
  <si>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</si>
  <si>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</si>
  <si>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</si>
  <si>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</si>
  <si>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</si>
  <si>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</si>
  <si>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</si>
  <si>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</si>
  <si>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</si>
  <si>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</si>
  <si>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</si>
  <si>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</si>
  <si>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</si>
  <si>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</si>
  <si>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</si>
  <si>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</si>
  <si>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</si>
  <si>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</si>
  <si>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</si>
  <si>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</si>
  <si>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</si>
  <si>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</si>
  <si>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</si>
  <si>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</si>
  <si>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</si>
  <si>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</si>
  <si>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</si>
  <si>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</si>
  <si>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</si>
  <si>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</si>
  <si>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</si>
  <si>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</si>
  <si>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</si>
  <si>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</si>
  <si>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</si>
  <si>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</si>
  <si>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</si>
  <si>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</si>
  <si>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</si>
  <si>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</si>
  <si>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</si>
  <si>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</si>
  <si>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</si>
  <si>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</si>
  <si>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</si>
  <si>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</si>
  <si>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</si>
  <si>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</si>
  <si>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</si>
  <si>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</si>
  <si>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</si>
  <si>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</si>
  <si>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</si>
  <si>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</si>
  <si>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</si>
  <si>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</si>
  <si>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</si>
  <si>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</si>
  <si>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</si>
  <si>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</si>
  <si>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</si>
  <si>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</si>
  <si>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</si>
  <si>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</si>
  <si>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</si>
  <si>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</si>
  <si>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</si>
  <si>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</si>
  <si>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</si>
  <si>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</si>
  <si>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</si>
  <si>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</si>
  <si>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</si>
  <si>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</si>
  <si>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</si>
  <si>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</si>
  <si>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</si>
  <si>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</si>
  <si>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</si>
  <si>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</si>
  <si>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</si>
  <si>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</si>
  <si>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</si>
  <si>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</si>
  <si>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</si>
  <si>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</si>
  <si>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</si>
  <si>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</si>
  <si>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</si>
  <si>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</si>
  <si>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</si>
  <si>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</si>
  <si>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</si>
  <si>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</si>
  <si>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</si>
  <si>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</si>
  <si>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</si>
  <si>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</si>
  <si>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</si>
  <si>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</si>
  <si>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</si>
  <si>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</si>
  <si>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</si>
  <si>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</si>
  <si>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</si>
  <si>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</si>
  <si>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</si>
  <si>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</si>
  <si>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</si>
  <si>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</si>
  <si>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</si>
  <si>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</si>
  <si>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</si>
  <si>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</si>
  <si>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</si>
  <si>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</si>
  <si>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</si>
  <si>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</si>
  <si>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</si>
  <si>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</si>
  <si>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</si>
  <si>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</si>
  <si>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</si>
  <si>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</si>
  <si>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</si>
  <si>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</si>
  <si>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</si>
  <si>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</si>
  <si>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</si>
  <si>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</si>
  <si>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</si>
  <si>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</si>
  <si>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</si>
  <si>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</si>
  <si>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</si>
  <si>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</si>
  <si>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</si>
  <si>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</si>
  <si>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</si>
  <si>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</si>
  <si>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</si>
  <si>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</si>
  <si>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</si>
  <si>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</si>
  <si>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</si>
  <si>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</si>
  <si>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</si>
  <si>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</si>
  <si>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</si>
  <si>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</si>
  <si>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</si>
  <si>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</si>
  <si>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</si>
  <si>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</si>
  <si>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</si>
  <si>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</si>
  <si>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</si>
  <si>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</si>
  <si>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</si>
  <si>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</si>
  <si>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</si>
  <si>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</si>
  <si>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</si>
  <si>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</si>
  <si>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</si>
  <si>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</si>
  <si>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</si>
  <si>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</si>
  <si>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</si>
  <si>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</si>
  <si>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</si>
  <si>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</si>
  <si>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</si>
  <si>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</si>
  <si>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</si>
  <si>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</si>
  <si>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</si>
  <si>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</si>
  <si>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</si>
  <si>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</si>
  <si>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</si>
  <si>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</si>
  <si>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</si>
  <si>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</si>
  <si>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</si>
  <si>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</si>
  <si>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</si>
  <si>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</si>
  <si>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</si>
  <si>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</si>
  <si>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</si>
  <si>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</si>
  <si>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</si>
  <si>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</si>
  <si>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</si>
  <si>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</si>
  <si>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</si>
  <si>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</si>
  <si>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</si>
  <si>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</si>
  <si>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</si>
  <si>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</si>
  <si>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</si>
  <si>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</si>
  <si>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</si>
  <si>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</si>
  <si>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</si>
  <si>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</si>
  <si>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</si>
  <si>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</si>
  <si>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</si>
  <si>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</si>
  <si>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</si>
  <si>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</si>
  <si>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</si>
  <si>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</si>
  <si>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</si>
  <si>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</si>
  <si>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</si>
  <si>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</si>
  <si>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</si>
  <si>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</si>
  <si>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</si>
  <si>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</si>
  <si>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</si>
  <si>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</si>
  <si>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</si>
  <si>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</si>
  <si>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</si>
  <si>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</si>
  <si>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</si>
  <si>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</si>
  <si>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</si>
  <si>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</si>
  <si>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</si>
  <si>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</si>
  <si>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</si>
  <si>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</si>
  <si>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</si>
  <si>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</si>
  <si>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</si>
  <si>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</si>
  <si>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</si>
  <si>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</si>
  <si>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</si>
  <si>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</si>
  <si>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</si>
  <si>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</si>
  <si>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</si>
  <si>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</si>
  <si>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</si>
  <si>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</si>
  <si>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</si>
  <si>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</si>
  <si>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</si>
  <si>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</si>
  <si>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</si>
  <si>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</si>
  <si>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</si>
  <si>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</si>
  <si>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</si>
  <si>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</si>
  <si>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</si>
  <si>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</si>
  <si>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</si>
  <si>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</si>
  <si>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</si>
  <si>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</si>
  <si>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</si>
  <si>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</si>
  <si>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</si>
  <si>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</si>
  <si>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</si>
  <si>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</si>
  <si>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</si>
  <si>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</si>
  <si>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</si>
  <si>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</si>
  <si>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</si>
  <si>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</si>
  <si>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</si>
  <si>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</si>
  <si>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</si>
  <si>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</si>
  <si>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</si>
  <si>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</si>
  <si>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</si>
  <si>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</si>
  <si>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</si>
  <si>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</si>
  <si>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</si>
  <si>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</si>
  <si>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</si>
  <si>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</si>
  <si>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</si>
  <si>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</si>
  <si>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</si>
  <si>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</si>
  <si>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</si>
  <si>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</si>
  <si>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</si>
  <si>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</si>
  <si>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</si>
  <si>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</si>
  <si>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</si>
  <si>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</si>
  <si>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</si>
  <si>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</si>
  <si>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</si>
  <si>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</si>
  <si>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</si>
  <si>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</si>
  <si>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</si>
  <si>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</si>
  <si>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</si>
  <si>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</si>
  <si>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</si>
  <si>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</si>
  <si>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</si>
  <si>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</si>
  <si>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</si>
  <si>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</si>
  <si>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</si>
  <si>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</si>
  <si>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</si>
  <si>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</si>
  <si>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</si>
  <si>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</si>
  <si>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</si>
  <si>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</si>
  <si>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</si>
  <si>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</si>
  <si>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</si>
  <si>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</si>
  <si>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</si>
  <si>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</si>
  <si>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</si>
  <si>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</si>
  <si>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</si>
  <si>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</si>
  <si>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</si>
  <si>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</si>
  <si>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</si>
  <si>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</si>
  <si>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</si>
  <si>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</si>
  <si>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</si>
  <si>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</si>
  <si>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</si>
  <si>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</si>
  <si>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</si>
  <si>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</si>
  <si>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</si>
  <si>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</si>
  <si>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</si>
  <si>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</si>
  <si>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</si>
  <si>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</si>
  <si>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</si>
  <si>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</si>
  <si>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</si>
  <si>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</si>
  <si>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</si>
  <si>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</si>
  <si>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</si>
  <si>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</si>
  <si>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</si>
  <si>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</si>
  <si>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</si>
  <si>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</si>
  <si>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</si>
  <si>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</si>
  <si>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</si>
  <si>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</si>
  <si>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</si>
  <si>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</si>
  <si>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</si>
  <si>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</si>
  <si>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</si>
  <si>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</si>
  <si>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</si>
  <si>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</si>
  <si>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</si>
  <si>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</si>
  <si>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</si>
  <si>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</si>
  <si>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</si>
  <si>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</si>
  <si>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</si>
  <si>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</si>
  <si>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</si>
  <si>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</si>
  <si>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</si>
  <si>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</si>
  <si>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</si>
  <si>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</si>
  <si>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</si>
  <si>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</si>
  <si>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</si>
  <si>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</si>
  <si>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</si>
  <si>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</si>
  <si>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</si>
  <si>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</si>
  <si>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</si>
  <si>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</si>
  <si>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</si>
  <si>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</si>
  <si>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</si>
  <si>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</si>
  <si>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</si>
  <si>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</si>
  <si>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</si>
  <si>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</si>
  <si>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</si>
  <si>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</si>
  <si>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</si>
  <si>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</si>
  <si>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</si>
  <si>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</si>
  <si>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</si>
  <si>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</si>
  <si>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</si>
  <si>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</si>
  <si>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</si>
  <si>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</si>
  <si>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</si>
  <si>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</si>
  <si>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</si>
  <si>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</si>
  <si>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</si>
  <si>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</si>
  <si>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</si>
  <si>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</si>
  <si>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</si>
  <si>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</si>
  <si>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</si>
  <si>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</si>
  <si>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</si>
  <si>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</si>
  <si>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</si>
  <si>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</si>
  <si>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</si>
  <si>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</si>
  <si>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</si>
  <si>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</si>
  <si>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</si>
  <si>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</si>
  <si>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</si>
  <si>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</si>
  <si>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</si>
  <si>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</si>
  <si>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</si>
  <si>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</si>
  <si>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</si>
  <si>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</si>
  <si>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</si>
  <si>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</si>
  <si>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</si>
  <si>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</si>
  <si>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</si>
  <si>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</si>
  <si>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</si>
  <si>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</si>
  <si>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</si>
  <si>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</si>
  <si>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</si>
  <si>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</si>
  <si>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</si>
  <si>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</si>
  <si>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</si>
  <si>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</si>
  <si>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</si>
  <si>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</si>
  <si>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</si>
  <si>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</si>
  <si>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</si>
  <si>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</si>
  <si>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</si>
  <si>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</si>
  <si>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</si>
  <si>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</si>
  <si>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</si>
  <si>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</si>
  <si>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</si>
  <si>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</si>
  <si>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</si>
  <si>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</si>
  <si>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</si>
  <si>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</si>
  <si>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</si>
  <si>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</si>
  <si>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</si>
  <si>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</si>
  <si>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</si>
  <si>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</si>
  <si>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</si>
  <si>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</si>
  <si>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</si>
  <si>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</si>
  <si>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</si>
  <si>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</si>
  <si>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</si>
  <si>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</si>
  <si>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</si>
  <si>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</si>
  <si>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</si>
  <si>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</si>
  <si>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</si>
  <si>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</si>
  <si>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</si>
  <si>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</si>
  <si>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</si>
  <si>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</si>
  <si>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</si>
  <si>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</si>
  <si>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</si>
  <si>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</si>
  <si>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</si>
  <si>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</si>
  <si>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</si>
  <si>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</si>
  <si>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</si>
  <si>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</si>
  <si>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</si>
  <si>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</si>
  <si>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</si>
  <si>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</si>
  <si>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</si>
  <si>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</si>
  <si>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</si>
  <si>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</si>
  <si>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</si>
  <si>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</si>
  <si>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</si>
  <si>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</si>
  <si>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</si>
  <si>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</si>
  <si>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</si>
  <si>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</si>
  <si>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</si>
  <si>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</si>
  <si>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</si>
  <si>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</si>
  <si>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</si>
  <si>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</si>
  <si>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</si>
  <si>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</si>
  <si>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</si>
  <si>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</si>
  <si>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</si>
  <si>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</si>
  <si>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</si>
  <si>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</si>
  <si>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</si>
  <si>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</si>
  <si>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</si>
  <si>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</si>
  <si>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</si>
  <si>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</si>
  <si>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</si>
  <si>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</si>
  <si>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</si>
  <si>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</si>
  <si>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</si>
  <si>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</si>
  <si>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</si>
  <si>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</si>
  <si>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</si>
  <si>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</si>
  <si>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</si>
  <si>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</si>
  <si>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</si>
  <si>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</si>
  <si>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</si>
  <si>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</si>
  <si>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</si>
  <si>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</si>
  <si>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</si>
  <si>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</si>
  <si>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</si>
  <si>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</si>
  <si>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</si>
  <si>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</si>
  <si>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</si>
  <si>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</si>
  <si>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</si>
  <si>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</si>
  <si>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</si>
  <si>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</si>
  <si>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</si>
  <si>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</si>
  <si>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</si>
  <si>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</si>
  <si>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</si>
  <si>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</si>
  <si>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</si>
  <si>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</si>
  <si>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</si>
  <si>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</si>
  <si>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</si>
  <si>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</si>
  <si>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</si>
  <si>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</si>
  <si>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</si>
  <si>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</si>
  <si>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</si>
  <si>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</si>
  <si>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</si>
  <si>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</si>
  <si>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</si>
  <si>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</si>
  <si>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</si>
  <si>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</si>
  <si>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</si>
  <si>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</si>
  <si>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</si>
  <si>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</si>
  <si>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</si>
  <si>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</si>
  <si>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</si>
  <si>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</si>
  <si>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</si>
  <si>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</si>
  <si>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</si>
  <si>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</si>
  <si>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</si>
  <si>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</si>
  <si>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</si>
  <si>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</si>
  <si>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</si>
  <si>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</si>
  <si>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</si>
  <si>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</si>
  <si>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</si>
  <si>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</si>
  <si>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</si>
  <si>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</si>
  <si>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</si>
  <si>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</si>
  <si>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</si>
  <si>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</si>
  <si>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</si>
  <si>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</si>
  <si>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</si>
  <si>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</si>
  <si>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</si>
  <si>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</si>
  <si>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</si>
  <si>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</si>
  <si>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</si>
  <si>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</si>
  <si>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</si>
  <si>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</si>
  <si>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</si>
  <si>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</si>
  <si>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</si>
  <si>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</si>
  <si>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</si>
  <si>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</si>
  <si>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</si>
  <si>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</si>
  <si>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</si>
  <si>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</si>
  <si>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</si>
  <si>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</si>
  <si>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</si>
  <si>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</si>
  <si>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</si>
  <si>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</si>
  <si>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</si>
  <si>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</si>
  <si>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</si>
  <si>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</si>
  <si>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</si>
  <si>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</si>
  <si>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</si>
  <si>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</si>
  <si>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</si>
  <si>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</si>
  <si>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</si>
  <si>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</si>
  <si>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</si>
  <si>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</si>
  <si>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</si>
  <si>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</si>
  <si>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</si>
  <si>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</si>
  <si>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</si>
  <si>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</si>
  <si>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</si>
  <si>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</si>
  <si>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</si>
  <si>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</si>
  <si>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</si>
  <si>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</si>
  <si>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</si>
  <si>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</si>
  <si>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</si>
  <si>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</si>
  <si>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</si>
  <si>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</si>
  <si>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</si>
  <si>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</si>
  <si>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</si>
  <si>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</si>
  <si>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</si>
  <si>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</si>
  <si>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</si>
  <si>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</si>
  <si>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</si>
  <si>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</si>
  <si>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</si>
  <si>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</si>
  <si>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</si>
  <si>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</si>
  <si>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</si>
  <si>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</si>
  <si>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</si>
  <si>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</si>
  <si>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</si>
  <si>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</si>
  <si>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</si>
  <si>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</si>
  <si>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</si>
  <si>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</si>
  <si>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</si>
  <si>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</si>
  <si>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</si>
  <si>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</si>
  <si>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</si>
  <si>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</si>
  <si>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</si>
  <si>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</si>
  <si>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</si>
  <si>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</si>
  <si>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</si>
  <si>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</si>
  <si>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</si>
  <si>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</si>
  <si>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</si>
  <si>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</si>
  <si>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</si>
  <si>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</si>
  <si>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</si>
  <si>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</si>
  <si>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</si>
  <si>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</si>
  <si>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</si>
  <si>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</si>
  <si>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</si>
  <si>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</si>
  <si>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</si>
  <si>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</si>
  <si>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</si>
  <si>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</si>
  <si>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</si>
  <si>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</si>
  <si>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</si>
  <si>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</si>
  <si>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</si>
  <si>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</si>
  <si>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</si>
  <si>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</si>
  <si>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</si>
  <si>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</si>
  <si>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</si>
  <si>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</si>
  <si>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</si>
  <si>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</si>
  <si>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</si>
  <si>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</si>
  <si>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</si>
  <si>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</si>
  <si>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</si>
  <si>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</si>
  <si>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</si>
  <si>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</si>
  <si>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</si>
  <si>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</si>
  <si>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</si>
  <si>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</si>
  <si>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</si>
  <si>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</si>
  <si>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</si>
  <si>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</si>
  <si>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</si>
  <si>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</si>
  <si>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</si>
  <si>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</si>
  <si>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</si>
  <si>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</si>
  <si>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</si>
  <si>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</si>
  <si>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</si>
  <si>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</si>
  <si>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</si>
  <si>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</si>
  <si>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</si>
  <si>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</si>
  <si>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</si>
  <si>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</si>
  <si>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</si>
  <si>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</si>
  <si>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</si>
  <si>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</si>
  <si>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</si>
  <si>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</si>
  <si>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</si>
  <si>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</si>
  <si>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</si>
  <si>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</si>
  <si>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</si>
  <si>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</si>
  <si>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</si>
  <si>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</si>
  <si>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</si>
  <si>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</si>
  <si>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</si>
  <si>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</si>
  <si>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</si>
  <si>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</si>
  <si>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</si>
  <si>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</si>
  <si>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</si>
  <si>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</si>
  <si>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</si>
  <si>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</si>
  <si>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</si>
  <si>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</si>
  <si>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</si>
  <si>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</si>
  <si>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</si>
  <si>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</si>
  <si>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</si>
  <si>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</si>
  <si>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</si>
  <si>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</si>
  <si>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</si>
  <si>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</si>
  <si>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</si>
  <si>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</si>
  <si>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</si>
  <si>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</si>
  <si>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</si>
  <si>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</si>
  <si>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</si>
  <si>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</si>
  <si>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</si>
  <si>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</si>
  <si>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</si>
  <si>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</si>
  <si>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</si>
  <si>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</si>
  <si>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</si>
  <si>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</si>
  <si>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</si>
  <si>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</si>
  <si>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</si>
  <si>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</si>
  <si>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</si>
  <si>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</si>
  <si>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</si>
  <si>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</si>
  <si>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</si>
  <si>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</si>
  <si>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</si>
  <si>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</si>
  <si>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</si>
  <si>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</si>
  <si>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</si>
  <si>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</si>
  <si>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</si>
  <si>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</si>
  <si>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</si>
  <si>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</si>
  <si>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</si>
  <si>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</si>
  <si>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</si>
  <si>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</si>
  <si>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</si>
  <si>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</si>
  <si>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</si>
  <si>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</si>
  <si>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</si>
  <si>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</si>
  <si>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</si>
  <si>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</si>
  <si>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</si>
  <si>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</si>
  <si>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</si>
  <si>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</si>
  <si>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</si>
  <si>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</si>
  <si>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</si>
  <si>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</si>
  <si>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</si>
  <si>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</si>
  <si>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</si>
  <si>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</si>
  <si>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</si>
  <si>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</si>
  <si>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</si>
  <si>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</si>
  <si>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</si>
  <si>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</si>
  <si>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</si>
  <si>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</si>
  <si>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</si>
  <si>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</si>
  <si>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</si>
  <si>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</si>
  <si>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</si>
  <si>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</si>
  <si>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</si>
  <si>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</si>
  <si>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</si>
  <si>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</si>
  <si>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</si>
  <si>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</si>
  <si>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</si>
  <si>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</si>
  <si>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</si>
  <si>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</si>
  <si>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</si>
  <si>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</si>
  <si>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</si>
  <si>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</si>
  <si>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</si>
  <si>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</si>
  <si>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</si>
  <si>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</si>
  <si>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</si>
  <si>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</si>
  <si>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</si>
  <si>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</si>
  <si>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</si>
  <si>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</si>
  <si>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</si>
  <si>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</si>
  <si>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</si>
  <si>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</si>
  <si>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</si>
  <si>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</si>
  <si>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</si>
  <si>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</si>
  <si>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</si>
  <si>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</si>
  <si>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</si>
  <si>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</si>
  <si>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</si>
  <si>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</si>
  <si>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</si>
  <si>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</si>
  <si>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</si>
  <si>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</si>
  <si>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</si>
  <si>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</si>
  <si>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</si>
  <si>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</si>
  <si>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</si>
  <si>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</si>
  <si>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</si>
  <si>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</si>
  <si>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</si>
  <si>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</si>
  <si>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</si>
  <si>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</si>
  <si>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</si>
  <si>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</si>
  <si>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</si>
  <si>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</si>
  <si>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</si>
  <si>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</si>
  <si>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</si>
  <si>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</si>
  <si>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</si>
  <si>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</si>
  <si>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</si>
  <si>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</si>
  <si>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</si>
  <si>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</si>
  <si>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</si>
  <si>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</si>
  <si>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</si>
  <si>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</si>
  <si>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</si>
  <si>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</si>
  <si>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</si>
  <si>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</si>
  <si>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</si>
  <si>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</si>
  <si>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</si>
  <si>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</si>
  <si>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</si>
  <si>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</si>
  <si>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</si>
  <si>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</si>
  <si>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</si>
  <si>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</si>
  <si>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</si>
  <si>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</si>
  <si>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</si>
  <si>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</si>
  <si>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</si>
  <si>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</si>
  <si>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</si>
  <si>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</si>
  <si>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</si>
  <si>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</si>
  <si>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</si>
  <si>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</si>
  <si>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</si>
  <si>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</si>
  <si>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</si>
  <si>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</si>
  <si>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</si>
  <si>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</si>
  <si>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</si>
  <si>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</si>
  <si>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</si>
  <si>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</si>
  <si>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</si>
  <si>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</si>
  <si>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</si>
  <si>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</si>
  <si>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</si>
  <si>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</si>
  <si>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</si>
  <si>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</si>
  <si>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</si>
  <si>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</si>
  <si>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</si>
  <si>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</si>
  <si>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</si>
  <si>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</si>
  <si>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</si>
  <si>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</si>
  <si>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</si>
  <si>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</si>
  <si>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</si>
  <si>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</si>
  <si>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</si>
  <si>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</si>
  <si>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</si>
  <si>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</si>
  <si>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</si>
  <si>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</si>
  <si>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</si>
  <si>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</si>
  <si>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</si>
  <si>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</si>
  <si>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</si>
  <si>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</si>
  <si>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</si>
  <si>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</si>
  <si>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</si>
  <si>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</si>
  <si>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</si>
  <si>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</si>
  <si>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</si>
  <si>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</si>
  <si>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</si>
  <si>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</si>
  <si>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</si>
  <si>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</si>
  <si>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</si>
  <si>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</si>
  <si>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</si>
  <si>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</si>
  <si>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</si>
  <si>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</si>
  <si>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</si>
  <si>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</si>
  <si>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</si>
  <si>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</si>
  <si>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</si>
  <si>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</si>
  <si>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</si>
  <si>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</si>
  <si>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</si>
  <si>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</si>
  <si>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</si>
  <si>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</si>
  <si>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</si>
  <si>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</si>
  <si>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</si>
  <si>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</si>
  <si>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</si>
  <si>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</si>
  <si>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</si>
  <si>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</si>
  <si>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</si>
  <si>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</si>
  <si>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</si>
  <si>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</si>
  <si>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</si>
  <si>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</si>
  <si>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</si>
  <si>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</si>
  <si>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</si>
  <si>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</si>
  <si>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</si>
  <si>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</si>
  <si>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</si>
  <si>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</si>
  <si>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</si>
  <si>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</si>
  <si>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</si>
  <si>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</si>
  <si>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</si>
  <si>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</si>
  <si>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</si>
  <si>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</si>
  <si>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</si>
  <si>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</si>
  <si>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</si>
  <si>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</si>
  <si>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</si>
  <si>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</si>
  <si>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</si>
  <si>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</si>
  <si>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</si>
  <si>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</si>
  <si>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</si>
  <si>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</si>
  <si>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</si>
  <si>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</si>
  <si>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</si>
  <si>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</si>
  <si>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</si>
  <si>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</si>
  <si>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</si>
  <si>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</si>
  <si>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</si>
  <si>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</si>
  <si>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</si>
  <si>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</si>
  <si>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</si>
  <si>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</si>
  <si>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</si>
  <si>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</si>
  <si>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</si>
  <si>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</si>
  <si>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</si>
  <si>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</si>
  <si>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</si>
  <si>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</si>
  <si>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</si>
  <si>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</si>
  <si>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</si>
  <si>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</si>
  <si>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</si>
  <si>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</si>
  <si>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</si>
  <si>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</si>
  <si>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</si>
  <si>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</si>
  <si>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</si>
  <si>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</si>
  <si>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</si>
  <si>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</si>
  <si>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</si>
  <si>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</si>
  <si>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</si>
  <si>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</si>
  <si>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</si>
  <si>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</si>
  <si>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</si>
  <si>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</si>
  <si>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</si>
  <si>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</si>
  <si>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</si>
  <si>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</si>
  <si>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</si>
  <si>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</si>
  <si>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</si>
  <si>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</si>
  <si>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</si>
  <si>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</si>
  <si>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</si>
  <si>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</si>
  <si>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</si>
  <si>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</si>
  <si>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</si>
  <si>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</si>
  <si>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</si>
  <si>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</si>
  <si>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</si>
  <si>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</si>
  <si>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</si>
  <si>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</si>
  <si>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</si>
  <si>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</si>
  <si>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</si>
  <si>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</si>
  <si>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</si>
  <si>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</si>
  <si>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</si>
  <si>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</si>
  <si>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</si>
  <si>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</si>
  <si>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</si>
  <si>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</si>
  <si>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</si>
  <si>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</si>
  <si>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</si>
  <si>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</si>
  <si>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</si>
  <si>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</si>
  <si>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</si>
  <si>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</si>
  <si>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</si>
  <si>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</si>
  <si>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</si>
  <si>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</si>
  <si>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</si>
  <si>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</si>
  <si>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</si>
  <si>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</si>
  <si>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</si>
  <si>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</si>
  <si>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</si>
  <si>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</si>
  <si>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</si>
  <si>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</si>
  <si>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</si>
  <si>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</si>
  <si>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</si>
  <si>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</si>
  <si>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</si>
  <si>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</si>
  <si>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</si>
  <si>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</si>
  <si>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</si>
  <si>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</si>
  <si>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</si>
  <si>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</si>
  <si>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</si>
  <si>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</si>
  <si>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</si>
  <si>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</si>
  <si>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</si>
  <si>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</si>
  <si>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</si>
  <si>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</si>
  <si>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</si>
  <si>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</si>
  <si>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</si>
  <si>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</si>
  <si>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</si>
  <si>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</si>
  <si>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</si>
  <si>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</si>
  <si>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</si>
  <si>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</si>
  <si>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</si>
  <si>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</si>
  <si>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</si>
  <si>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</si>
  <si>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</si>
  <si>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</si>
  <si>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</si>
  <si>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</si>
  <si>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</si>
  <si>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</si>
  <si>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</si>
  <si>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</si>
  <si>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</si>
  <si>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</si>
  <si>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</si>
  <si>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</si>
  <si>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</si>
  <si>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</si>
  <si>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</si>
  <si>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</si>
  <si>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</si>
  <si>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</si>
  <si>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</si>
  <si>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</si>
  <si>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</si>
  <si>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</si>
  <si>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</si>
  <si>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</si>
  <si>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</si>
  <si>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</si>
  <si>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</si>
  <si>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</si>
  <si>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</si>
  <si>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</si>
  <si>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</si>
  <si>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</si>
  <si>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</si>
  <si>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</si>
  <si>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</si>
  <si>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</si>
  <si>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</si>
  <si>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</si>
  <si>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</si>
  <si>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</si>
  <si>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</si>
  <si>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</si>
  <si>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</si>
  <si>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</si>
  <si>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</si>
  <si>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</si>
  <si>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</si>
  <si>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</si>
  <si>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</si>
  <si>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</si>
  <si>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</si>
  <si>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</si>
  <si>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</si>
  <si>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</si>
  <si>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</si>
  <si>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</si>
  <si>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</si>
  <si>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</si>
  <si>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</si>
  <si>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</si>
  <si>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</si>
  <si>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</si>
  <si>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</si>
  <si>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</si>
  <si>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</si>
  <si>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</si>
  <si>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</si>
  <si>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</si>
  <si>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</si>
  <si>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</si>
  <si>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</si>
  <si>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</si>
  <si>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</si>
  <si>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</si>
  <si>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</si>
  <si>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</si>
  <si>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</si>
  <si>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</si>
  <si>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</si>
  <si>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</si>
  <si>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</si>
  <si>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</si>
  <si>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</si>
  <si>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</si>
  <si>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</si>
  <si>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</si>
  <si>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</si>
  <si>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</si>
  <si>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</si>
  <si>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</si>
  <si>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</si>
  <si>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</si>
  <si>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</si>
  <si>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</si>
  <si>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</si>
  <si>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</si>
  <si>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</si>
  <si>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</si>
  <si>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</si>
  <si>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</si>
  <si>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</si>
  <si>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</si>
  <si>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[0.388010]</t>
  </si>
  <si>
    <t>0 [0.783377]</t>
  </si>
  <si>
    <t>0 [1.188288]</t>
  </si>
  <si>
    <t>0 [1.595332]</t>
  </si>
  <si>
    <t>0 [1.996448]</t>
  </si>
  <si>
    <t>0 [2.402408]</t>
  </si>
  <si>
    <t>0 [2.813464]</t>
  </si>
  <si>
    <t>0 [3.216145]</t>
  </si>
  <si>
    <t>0 [3.624658]</t>
  </si>
  <si>
    <t>0 [4.037437]</t>
  </si>
  <si>
    <t>0 [4.435781]</t>
  </si>
  <si>
    <t>0 [4.840037]</t>
  </si>
  <si>
    <t>0 [5.255667]</t>
  </si>
  <si>
    <t>0 [5.665911]</t>
  </si>
  <si>
    <t>0 [6.068333]</t>
  </si>
  <si>
    <t>0 [6.480400]</t>
  </si>
  <si>
    <t>0 [6.885708]</t>
  </si>
  <si>
    <t>0 [7.285026]</t>
  </si>
  <si>
    <t>0 [7.691011]</t>
  </si>
  <si>
    <t>0 [8.102124]</t>
  </si>
  <si>
    <t>0 [8.503640]</t>
  </si>
  <si>
    <t>0 [8.910229]</t>
  </si>
  <si>
    <t>0 [9.309426]</t>
  </si>
  <si>
    <t>0 [9.716823]</t>
  </si>
  <si>
    <t>0 [10.123506]</t>
  </si>
  <si>
    <t>0 [10.535084]</t>
  </si>
  <si>
    <t>0 [10.939133]</t>
  </si>
  <si>
    <t>0 [11.336483]</t>
  </si>
  <si>
    <t>0 [11.757444]</t>
  </si>
  <si>
    <t>0 [12.155572]</t>
  </si>
  <si>
    <t>0 [12.558918]</t>
  </si>
  <si>
    <t>0 [12.965642]</t>
  </si>
  <si>
    <t>0 [13.376740]</t>
  </si>
  <si>
    <t>0 [13.784910]</t>
  </si>
  <si>
    <t>0 [14.187515]</t>
  </si>
  <si>
    <t>0 [14.587353]</t>
  </si>
  <si>
    <t>0 [15.002322]</t>
  </si>
  <si>
    <t>0 [15.401973]</t>
  </si>
  <si>
    <t>0 [15.817894]</t>
  </si>
  <si>
    <t>0 [16.212804]</t>
  </si>
  <si>
    <t>0 [16.627759]</t>
  </si>
  <si>
    <t>0 [17.038442]</t>
  </si>
  <si>
    <t>0 [17.451017]</t>
  </si>
  <si>
    <t>0 [17.855882]</t>
  </si>
  <si>
    <t>0 [18.249961]</t>
  </si>
  <si>
    <t>0 [18.659535]</t>
  </si>
  <si>
    <t>0 [19.063829]</t>
  </si>
  <si>
    <t>0 [19.471812]</t>
  </si>
  <si>
    <t>0 [19.869459]</t>
  </si>
  <si>
    <t>0 [20.277610]</t>
  </si>
  <si>
    <t>0 [20.680849]</t>
  </si>
  <si>
    <t>0 [21.092264]</t>
  </si>
  <si>
    <t>0 [21.497625]</t>
  </si>
  <si>
    <t>0 [21.906317]</t>
  </si>
  <si>
    <t>0 [22.316144]</t>
  </si>
  <si>
    <t>0 [22.722556]</t>
  </si>
  <si>
    <t>0 [23.125058]</t>
  </si>
  <si>
    <t>0 [23.532111]</t>
  </si>
  <si>
    <t>0 [23.947666]</t>
  </si>
  <si>
    <t>0 [24.361651]</t>
  </si>
  <si>
    <t>0 [24.748224]</t>
  </si>
  <si>
    <t>0 [25.149055]</t>
  </si>
  <si>
    <t>0 [25.560708]</t>
  </si>
  <si>
    <t>0 [25.962596]</t>
  </si>
  <si>
    <t>0 [26.371703]</t>
  </si>
  <si>
    <t>0 [26.782934]</t>
  </si>
  <si>
    <t>0 [27.191306]</t>
  </si>
  <si>
    <t>0 [27.595557]</t>
  </si>
  <si>
    <t>0 [28.003185]</t>
  </si>
  <si>
    <t>0 [28.419709]</t>
  </si>
  <si>
    <t>0 [28.817135]</t>
  </si>
  <si>
    <t>0 [29.225621]</t>
  </si>
  <si>
    <t>0 [29.626701]</t>
  </si>
  <si>
    <t>0 [30.026599]</t>
  </si>
  <si>
    <t>0 [30.444175]</t>
  </si>
  <si>
    <t>0 [30.841482]</t>
  </si>
  <si>
    <t>0 [31.251875]</t>
  </si>
  <si>
    <t>0 [31.659176]</t>
  </si>
  <si>
    <t>0 [32.061273]</t>
  </si>
  <si>
    <t>0 [32.478338]</t>
  </si>
  <si>
    <t>0 [32.876838]</t>
  </si>
  <si>
    <t>0 [33.279534]</t>
  </si>
  <si>
    <t>0 [33.687267]</t>
  </si>
  <si>
    <t>0 [34.098266]</t>
  </si>
  <si>
    <t>0 [34.504813]</t>
  </si>
  <si>
    <t>0 [34.906835]</t>
  </si>
  <si>
    <t>0 [35.314837]</t>
  </si>
  <si>
    <t>0 [35.727563]</t>
  </si>
  <si>
    <t>0 [36.137524]</t>
  </si>
  <si>
    <t>0 [36.545568]</t>
  </si>
  <si>
    <t>0 [36.949743]</t>
  </si>
  <si>
    <t>0 [37.358883]</t>
  </si>
  <si>
    <t>0 [37.765339]</t>
  </si>
  <si>
    <t>0 [38.163587]</t>
  </si>
  <si>
    <t>0 [38.559204]</t>
  </si>
  <si>
    <t>0 [38.970513]</t>
  </si>
  <si>
    <t>0 [39.373451]</t>
  </si>
  <si>
    <t>0 [39.778968]</t>
  </si>
  <si>
    <t>vision^geUC^1^6^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</si>
</sst>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28.40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28.401699999999998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4.3167600000000004</c:v>
                </c:pt>
                <c:pt idx="1">
                  <c:v>4.0530600000000003</c:v>
                </c:pt>
              </c:numCache>
            </c:numRef>
          </c:xVal>
          <c:yVal>
            <c:numRef>
              <c:f>info!$W$2:$W$3</c:f>
              <c:numCache>
                <c:formatCode>0.00</c:formatCode>
                <c:ptCount val="2"/>
                <c:pt idx="0">
                  <c:v>31.790299999999998</c:v>
                </c:pt>
                <c:pt idx="1">
                  <c:v>39.2879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3.71767</c:v>
                </c:pt>
                <c:pt idx="1">
                  <c:v>4.0866600000000002</c:v>
                </c:pt>
              </c:numCache>
            </c:numRef>
          </c:xVal>
          <c:yVal>
            <c:numRef>
              <c:f>info!$W$15:$W$16</c:f>
              <c:numCache>
                <c:formatCode>0.00_ </c:formatCode>
                <c:ptCount val="2"/>
                <c:pt idx="0">
                  <c:v>26.268000000000001</c:v>
                </c:pt>
                <c:pt idx="1">
                  <c:v>39.467799999999997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3.8769475757575758</c:v>
                </c:pt>
              </c:numCache>
            </c:numRef>
          </c:xVal>
          <c:yVal>
            <c:numRef>
              <c:f>info!$N$9</c:f>
              <c:numCache>
                <c:formatCode>0.0</c:formatCode>
                <c:ptCount val="1"/>
                <c:pt idx="0">
                  <c:v>32.617249494949498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46.3476</c:v>
                </c:pt>
                <c:pt idx="1">
                  <c:v>30.4603</c:v>
                </c:pt>
                <c:pt idx="2">
                  <c:v>20.383199999999999</c:v>
                </c:pt>
                <c:pt idx="3">
                  <c:v>32.747900000000001</c:v>
                </c:pt>
                <c:pt idx="4">
                  <c:v>70.2714</c:v>
                </c:pt>
                <c:pt idx="5">
                  <c:v>71.355999999999995</c:v>
                </c:pt>
                <c:pt idx="6">
                  <c:v>23.684999999999999</c:v>
                </c:pt>
                <c:pt idx="7">
                  <c:v>71.343100000000007</c:v>
                </c:pt>
                <c:pt idx="8">
                  <c:v>27.146899999999999</c:v>
                </c:pt>
                <c:pt idx="9">
                  <c:v>52.503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28.401699999999998</c:v>
                </c:pt>
                <c:pt idx="1">
                  <c:v>28.401699999999998</c:v>
                </c:pt>
                <c:pt idx="2">
                  <c:v>0</c:v>
                </c:pt>
              </c:numCache>
            </c:numRef>
          </c:xVal>
          <c:yVal>
            <c:numRef>
              <c:f>'R2'!$I$5:$I$7</c:f>
              <c:numCache>
                <c:formatCode>0.0_ </c:formatCode>
                <c:ptCount val="3"/>
                <c:pt idx="0">
                  <c:v>0</c:v>
                </c:pt>
                <c:pt idx="1">
                  <c:v>16.530239808456081</c:v>
                </c:pt>
                <c:pt idx="2">
                  <c:v>16.530239808456081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62.621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62.620666666666672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1.87862</c:v>
                </c:pt>
                <c:pt idx="1">
                  <c:v>1.87862</c:v>
                </c:pt>
                <c:pt idx="2">
                  <c:v>0</c:v>
                </c:pt>
              </c:numCache>
            </c:numRef>
          </c:xVal>
          <c:yVal>
            <c:numRef>
              <c:f>'R3'!$I$6:$I$8</c:f>
              <c:numCache>
                <c:formatCode>0.0_ </c:formatCode>
                <c:ptCount val="3"/>
                <c:pt idx="0">
                  <c:v>0</c:v>
                </c:pt>
                <c:pt idx="1">
                  <c:v>48.803760594727144</c:v>
                </c:pt>
                <c:pt idx="2">
                  <c:v>48.803760594727144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-1.4416199431071599</c:v>
                </c:pt>
              </c:numCache>
            </c:numRef>
          </c:xVal>
          <c:yVal>
            <c:numRef>
              <c:f>'R'!$I$4</c:f>
              <c:numCache>
                <c:formatCode>0.00_ </c:formatCode>
                <c:ptCount val="1"/>
                <c:pt idx="0">
                  <c:v>32.925350154541491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28.40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28.401699999999998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4.3167600000000004</c:v>
                </c:pt>
                <c:pt idx="1">
                  <c:v>4.0530600000000003</c:v>
                </c:pt>
              </c:numCache>
            </c:numRef>
          </c:xVal>
          <c:yVal>
            <c:numRef>
              <c:f>info!$W$2:$W$3</c:f>
              <c:numCache>
                <c:formatCode>0.00</c:formatCode>
                <c:ptCount val="2"/>
                <c:pt idx="0">
                  <c:v>31.790299999999998</c:v>
                </c:pt>
                <c:pt idx="1">
                  <c:v>39.2879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3.71767</c:v>
                </c:pt>
                <c:pt idx="1">
                  <c:v>4.0866600000000002</c:v>
                </c:pt>
              </c:numCache>
            </c:numRef>
          </c:xVal>
          <c:yVal>
            <c:numRef>
              <c:f>info!$W$15:$W$16</c:f>
              <c:numCache>
                <c:formatCode>0.00_ </c:formatCode>
                <c:ptCount val="2"/>
                <c:pt idx="0">
                  <c:v>26.268000000000001</c:v>
                </c:pt>
                <c:pt idx="1">
                  <c:v>39.467799999999997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3.8769475757575758</c:v>
                </c:pt>
              </c:numCache>
            </c:numRef>
          </c:xVal>
          <c:yVal>
            <c:numRef>
              <c:f>info!$N$9</c:f>
              <c:numCache>
                <c:formatCode>0.0</c:formatCode>
                <c:ptCount val="1"/>
                <c:pt idx="0">
                  <c:v>32.617249494949498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46.3476</c:v>
                </c:pt>
                <c:pt idx="1">
                  <c:v>30.4603</c:v>
                </c:pt>
                <c:pt idx="2">
                  <c:v>20.383199999999999</c:v>
                </c:pt>
                <c:pt idx="3">
                  <c:v>32.747900000000001</c:v>
                </c:pt>
                <c:pt idx="4">
                  <c:v>70.2714</c:v>
                </c:pt>
                <c:pt idx="5">
                  <c:v>71.355999999999995</c:v>
                </c:pt>
                <c:pt idx="6">
                  <c:v>23.684999999999999</c:v>
                </c:pt>
                <c:pt idx="7">
                  <c:v>71.343100000000007</c:v>
                </c:pt>
                <c:pt idx="8">
                  <c:v>27.146899999999999</c:v>
                </c:pt>
                <c:pt idx="9">
                  <c:v>52.503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28.401699999999998</c:v>
                </c:pt>
                <c:pt idx="1">
                  <c:v>28.401699999999998</c:v>
                </c:pt>
                <c:pt idx="2">
                  <c:v>0</c:v>
                </c:pt>
              </c:numCache>
            </c:numRef>
          </c:xVal>
          <c:yVal>
            <c:numRef>
              <c:f>'R2'!$I$5:$I$7</c:f>
              <c:numCache>
                <c:formatCode>0.0_ </c:formatCode>
                <c:ptCount val="3"/>
                <c:pt idx="0">
                  <c:v>0</c:v>
                </c:pt>
                <c:pt idx="1">
                  <c:v>16.530239808456081</c:v>
                </c:pt>
                <c:pt idx="2">
                  <c:v>16.530239808456081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62.621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62.620666666666672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1.87862</c:v>
                </c:pt>
                <c:pt idx="1">
                  <c:v>1.87862</c:v>
                </c:pt>
                <c:pt idx="2">
                  <c:v>0</c:v>
                </c:pt>
              </c:numCache>
            </c:numRef>
          </c:xVal>
          <c:yVal>
            <c:numRef>
              <c:f>'R3'!$I$6:$I$8</c:f>
              <c:numCache>
                <c:formatCode>0.0_ </c:formatCode>
                <c:ptCount val="3"/>
                <c:pt idx="0">
                  <c:v>0</c:v>
                </c:pt>
                <c:pt idx="1">
                  <c:v>48.803760594727144</c:v>
                </c:pt>
                <c:pt idx="2">
                  <c:v>48.803760594727144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-1.4416199431071599</c:v>
                </c:pt>
              </c:numCache>
            </c:numRef>
          </c:xVal>
          <c:yVal>
            <c:numRef>
              <c:f>'R'!$I$4</c:f>
              <c:numCache>
                <c:formatCode>0.00_ </c:formatCode>
                <c:ptCount val="1"/>
                <c:pt idx="0">
                  <c:v>32.925350154541491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FT!$J$2:$J$2000</c:f>
              <c:numCache>
                <c:formatCode>General</c:formatCode>
                <c:ptCount val="19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4.6520400000000004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4.6520400000000004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4.6520400000000004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4.6520400000000004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4.6520400000000004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4.6520400000000004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4.6520400000000004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4.6520400000000004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4.6520400000000004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4.6520400000000004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4.6520400000000004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4.6520400000000004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4.6520400000000004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4.6520400000000004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4.6520400000000004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4.6520400000000004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4.6520400000000004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4.6520400000000004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4.6520400000000004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4.6520400000000004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4.6520400000000004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4.6520400000000004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4.6520400000000004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4.6520400000000004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FT!$K$2:$K$2000</c:f>
              <c:numCache>
                <c:formatCode>General</c:formatCode>
                <c:ptCount val="19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32.631900000000002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32.631900000000002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32.631900000000002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32.631900000000002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32.631900000000002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32.631900000000002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32.631900000000002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32.631900000000002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32.631900000000002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32.631900000000002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32.631900000000002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32.631900000000002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32.631900000000002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32.631900000000002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32.631900000000002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32.631900000000002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32.631900000000002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32.631900000000002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32.631900000000002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32.631900000000002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32.631900000000002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32.631900000000002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32.631900000000002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32.631900000000002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FT!$L$2:$L$2000</c:f>
              <c:numCache>
                <c:formatCode>General</c:formatCode>
                <c:ptCount val="1999"/>
                <c:pt idx="0">
                  <c:v>7.0145355585936491</c:v>
                </c:pt>
                <c:pt idx="1">
                  <c:v>7.0540379726294136</c:v>
                </c:pt>
                <c:pt idx="2">
                  <c:v>7.0934832713916602</c:v>
                </c:pt>
                <c:pt idx="3">
                  <c:v>7.1345335960919778</c:v>
                </c:pt>
                <c:pt idx="4">
                  <c:v>7.1699141632803185</c:v>
                </c:pt>
                <c:pt idx="5">
                  <c:v>7.2356971511892256</c:v>
                </c:pt>
                <c:pt idx="6">
                  <c:v>7.2712723090993059</c:v>
                </c:pt>
                <c:pt idx="7">
                  <c:v>7.3073673751136159</c:v>
                </c:pt>
                <c:pt idx="8">
                  <c:v>7.3643890325151258</c:v>
                </c:pt>
                <c:pt idx="9">
                  <c:v>7.414792699730973</c:v>
                </c:pt>
                <c:pt idx="10">
                  <c:v>7.4334283932969676</c:v>
                </c:pt>
                <c:pt idx="11">
                  <c:v>7.409098316653246</c:v>
                </c:pt>
                <c:pt idx="12">
                  <c:v>7.3497879801323718</c:v>
                </c:pt>
                <c:pt idx="13">
                  <c:v>7.2884378738468101</c:v>
                </c:pt>
                <c:pt idx="14">
                  <c:v>7.2259535460476094</c:v>
                </c:pt>
                <c:pt idx="15">
                  <c:v>7.190493658030209</c:v>
                </c:pt>
                <c:pt idx="16">
                  <c:v>7.1665565402482647</c:v>
                </c:pt>
                <c:pt idx="17">
                  <c:v>7.1466935042103525</c:v>
                </c:pt>
                <c:pt idx="18">
                  <c:v>7.1308741658845172</c:v>
                </c:pt>
                <c:pt idx="19">
                  <c:v>7.1386365640709055</c:v>
                </c:pt>
                <c:pt idx="20">
                  <c:v>7.1500671365353377</c:v>
                </c:pt>
                <c:pt idx="21">
                  <c:v>7.1492036286877685</c:v>
                </c:pt>
                <c:pt idx="22">
                  <c:v>7.1271173677660737</c:v>
                </c:pt>
                <c:pt idx="23">
                  <c:v>7.0790669783460638</c:v>
                </c:pt>
                <c:pt idx="24">
                  <c:v>7.0445776711963752</c:v>
                </c:pt>
                <c:pt idx="25">
                  <c:v>7.0504760578766428</c:v>
                </c:pt>
                <c:pt idx="26">
                  <c:v>7.0657158919430723</c:v>
                </c:pt>
                <c:pt idx="27">
                  <c:v>7.1185803972228454</c:v>
                </c:pt>
                <c:pt idx="28">
                  <c:v>7.1860441123768766</c:v>
                </c:pt>
                <c:pt idx="29">
                  <c:v>7.2125337855309466</c:v>
                </c:pt>
                <c:pt idx="30">
                  <c:v>7.2381370754081171</c:v>
                </c:pt>
                <c:pt idx="31">
                  <c:v>7.2797848797608067</c:v>
                </c:pt>
                <c:pt idx="32">
                  <c:v>7.3294954320930081</c:v>
                </c:pt>
                <c:pt idx="33">
                  <c:v>7.3855808338443687</c:v>
                </c:pt>
                <c:pt idx="34">
                  <c:v>7.4363009922822485</c:v>
                </c:pt>
                <c:pt idx="35">
                  <c:v>7.4847418326363293</c:v>
                </c:pt>
                <c:pt idx="36">
                  <c:v>7.5280408549940478</c:v>
                </c:pt>
                <c:pt idx="37">
                  <c:v>7.5652053886925801</c:v>
                </c:pt>
                <c:pt idx="38">
                  <c:v>7.6049441971058638</c:v>
                </c:pt>
                <c:pt idx="39">
                  <c:v>7.6493514368719016</c:v>
                </c:pt>
                <c:pt idx="40">
                  <c:v>7.7070797557849477</c:v>
                </c:pt>
                <c:pt idx="41">
                  <c:v>7.7719267289389808</c:v>
                </c:pt>
                <c:pt idx="42">
                  <c:v>7.8427911953362406</c:v>
                </c:pt>
                <c:pt idx="43">
                  <c:v>7.9284337921477031</c:v>
                </c:pt>
                <c:pt idx="44">
                  <c:v>8.0378486055776897</c:v>
                </c:pt>
                <c:pt idx="45">
                  <c:v>8.173832870952781</c:v>
                </c:pt>
                <c:pt idx="46">
                  <c:v>8.3230601531637785</c:v>
                </c:pt>
                <c:pt idx="47">
                  <c:v>8.4984296535160659</c:v>
                </c:pt>
                <c:pt idx="48">
                  <c:v>8.674985479023853</c:v>
                </c:pt>
                <c:pt idx="49">
                  <c:v>8.8369537726570186</c:v>
                </c:pt>
                <c:pt idx="50">
                  <c:v>8.9704459000157559</c:v>
                </c:pt>
                <c:pt idx="51">
                  <c:v>9.0822796397959564</c:v>
                </c:pt>
                <c:pt idx="52">
                  <c:v>9.1495010992727899</c:v>
                </c:pt>
                <c:pt idx="53">
                  <c:v>9.1567642776067544</c:v>
                </c:pt>
                <c:pt idx="54">
                  <c:v>9.1781685542521316</c:v>
                </c:pt>
                <c:pt idx="55">
                  <c:v>9.2028268193501575</c:v>
                </c:pt>
                <c:pt idx="56">
                  <c:v>9.2105928063693838</c:v>
                </c:pt>
                <c:pt idx="57">
                  <c:v>9.2292101174395675</c:v>
                </c:pt>
                <c:pt idx="58">
                  <c:v>9.2236746327682031</c:v>
                </c:pt>
                <c:pt idx="59">
                  <c:v>9.2522728283097706</c:v>
                </c:pt>
                <c:pt idx="60">
                  <c:v>9.2709856035437443</c:v>
                </c:pt>
                <c:pt idx="61">
                  <c:v>9.3195696503616148</c:v>
                </c:pt>
                <c:pt idx="62">
                  <c:v>9.3759915970314651</c:v>
                </c:pt>
                <c:pt idx="63">
                  <c:v>9.3989289469073061</c:v>
                </c:pt>
                <c:pt idx="64">
                  <c:v>9.4083742822588547</c:v>
                </c:pt>
                <c:pt idx="65">
                  <c:v>9.4093592099529904</c:v>
                </c:pt>
                <c:pt idx="66">
                  <c:v>9.4112241690154477</c:v>
                </c:pt>
                <c:pt idx="67">
                  <c:v>9.4247132371186844</c:v>
                </c:pt>
                <c:pt idx="68">
                  <c:v>9.4453984608535269</c:v>
                </c:pt>
                <c:pt idx="69">
                  <c:v>9.4545569377083876</c:v>
                </c:pt>
                <c:pt idx="70">
                  <c:v>9.460803399015937</c:v>
                </c:pt>
                <c:pt idx="71">
                  <c:v>9.4631233064440767</c:v>
                </c:pt>
                <c:pt idx="72">
                  <c:v>9.4546429464490576</c:v>
                </c:pt>
                <c:pt idx="73">
                  <c:v>9.4246590087804289</c:v>
                </c:pt>
                <c:pt idx="74">
                  <c:v>9.4013872289132028</c:v>
                </c:pt>
                <c:pt idx="75">
                  <c:v>9.4170113160592184</c:v>
                </c:pt>
                <c:pt idx="76">
                  <c:v>9.4461599558068432</c:v>
                </c:pt>
                <c:pt idx="77">
                  <c:v>9.4827840279683322</c:v>
                </c:pt>
                <c:pt idx="78">
                  <c:v>9.5303238961888734</c:v>
                </c:pt>
                <c:pt idx="79">
                  <c:v>9.5722993120136888</c:v>
                </c:pt>
                <c:pt idx="80">
                  <c:v>9.6128978486748036</c:v>
                </c:pt>
                <c:pt idx="81">
                  <c:v>9.6502298201757917</c:v>
                </c:pt>
                <c:pt idx="82">
                  <c:v>9.6706288748434996</c:v>
                </c:pt>
                <c:pt idx="83">
                  <c:v>9.69546864771727</c:v>
                </c:pt>
                <c:pt idx="84">
                  <c:v>9.7047721252054355</c:v>
                </c:pt>
                <c:pt idx="85">
                  <c:v>9.7188823115783389</c:v>
                </c:pt>
                <c:pt idx="86">
                  <c:v>9.7124103766788075</c:v>
                </c:pt>
                <c:pt idx="87">
                  <c:v>9.6970304578580482</c:v>
                </c:pt>
                <c:pt idx="88">
                  <c:v>9.6933921530892704</c:v>
                </c:pt>
                <c:pt idx="89">
                  <c:v>9.6912582621807957</c:v>
                </c:pt>
                <c:pt idx="90">
                  <c:v>9.6797798148934024</c:v>
                </c:pt>
                <c:pt idx="91">
                  <c:v>9.6577155917056956</c:v>
                </c:pt>
                <c:pt idx="92">
                  <c:v>9.6162237885118511</c:v>
                </c:pt>
                <c:pt idx="93">
                  <c:v>9.5563452912616658</c:v>
                </c:pt>
                <c:pt idx="94">
                  <c:v>9.499684833204034</c:v>
                </c:pt>
                <c:pt idx="95">
                  <c:v>9.4278878421639671</c:v>
                </c:pt>
                <c:pt idx="96">
                  <c:v>9.3201484498885669</c:v>
                </c:pt>
                <c:pt idx="97">
                  <c:v>9.1675491976306134</c:v>
                </c:pt>
                <c:pt idx="98">
                  <c:v>8.9937034214791414</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1.0206166427378739E-2</c:v>
                </c:pt>
                <c:pt idx="7">
                  <c:v>0</c:v>
                </c:pt>
                <c:pt idx="8">
                  <c:v>2.0207752928839223E-2</c:v>
                </c:pt>
                <c:pt idx="9">
                  <c:v>0</c:v>
                </c:pt>
                <c:pt idx="10">
                  <c:v>0</c:v>
                </c:pt>
                <c:pt idx="11">
                  <c:v>6.3146358697853608E-2</c:v>
                </c:pt>
                <c:pt idx="12">
                  <c:v>0</c:v>
                </c:pt>
                <c:pt idx="13">
                  <c:v>6.3044079986677881E-2</c:v>
                </c:pt>
                <c:pt idx="14">
                  <c:v>0</c:v>
                </c:pt>
                <c:pt idx="15">
                  <c:v>0</c:v>
                </c:pt>
                <c:pt idx="16">
                  <c:v>3.6096621314478342E-2</c:v>
                </c:pt>
                <c:pt idx="17">
                  <c:v>0</c:v>
                </c:pt>
                <c:pt idx="18">
                  <c:v>0</c:v>
                </c:pt>
                <c:pt idx="19">
                  <c:v>4.2336297803201806E-2</c:v>
                </c:pt>
                <c:pt idx="20">
                  <c:v>0</c:v>
                </c:pt>
                <c:pt idx="21">
                  <c:v>5.5531489241044708E-2</c:v>
                </c:pt>
                <c:pt idx="22">
                  <c:v>0</c:v>
                </c:pt>
                <c:pt idx="23">
                  <c:v>0</c:v>
                </c:pt>
                <c:pt idx="24">
                  <c:v>7.986493359197433E-2</c:v>
                </c:pt>
                <c:pt idx="25">
                  <c:v>0</c:v>
                </c:pt>
                <c:pt idx="26">
                  <c:v>9.8242808985224153E-2</c:v>
                </c:pt>
                <c:pt idx="27">
                  <c:v>0</c:v>
                </c:pt>
                <c:pt idx="28">
                  <c:v>0</c:v>
                </c:pt>
                <c:pt idx="29">
                  <c:v>9.8867958071354303E-2</c:v>
                </c:pt>
                <c:pt idx="30">
                  <c:v>0</c:v>
                </c:pt>
                <c:pt idx="31">
                  <c:v>0.12363347090513846</c:v>
                </c:pt>
                <c:pt idx="32">
                  <c:v>0</c:v>
                </c:pt>
                <c:pt idx="33">
                  <c:v>0</c:v>
                </c:pt>
                <c:pt idx="34">
                  <c:v>0.1985309671582946</c:v>
                </c:pt>
                <c:pt idx="35">
                  <c:v>0</c:v>
                </c:pt>
                <c:pt idx="36">
                  <c:v>0</c:v>
                </c:pt>
                <c:pt idx="37">
                  <c:v>0.38012800028804566</c:v>
                </c:pt>
                <c:pt idx="38">
                  <c:v>0</c:v>
                </c:pt>
                <c:pt idx="39">
                  <c:v>0.46863115303775649</c:v>
                </c:pt>
                <c:pt idx="40">
                  <c:v>0</c:v>
                </c:pt>
                <c:pt idx="41">
                  <c:v>0</c:v>
                </c:pt>
                <c:pt idx="42">
                  <c:v>0.47998532767443641</c:v>
                </c:pt>
                <c:pt idx="43">
                  <c:v>0</c:v>
                </c:pt>
                <c:pt idx="44">
                  <c:v>0.53403889516488368</c:v>
                </c:pt>
                <c:pt idx="45">
                  <c:v>0</c:v>
                </c:pt>
                <c:pt idx="46">
                  <c:v>0</c:v>
                </c:pt>
                <c:pt idx="47">
                  <c:v>0.66092300629649803</c:v>
                </c:pt>
                <c:pt idx="48">
                  <c:v>0</c:v>
                </c:pt>
                <c:pt idx="49">
                  <c:v>0.75143685274115946</c:v>
                </c:pt>
                <c:pt idx="50">
                  <c:v>0</c:v>
                </c:pt>
                <c:pt idx="51">
                  <c:v>0</c:v>
                </c:pt>
                <c:pt idx="52">
                  <c:v>0.87238789848190934</c:v>
                </c:pt>
                <c:pt idx="53">
                  <c:v>0</c:v>
                </c:pt>
                <c:pt idx="54">
                  <c:v>0</c:v>
                </c:pt>
                <c:pt idx="55">
                  <c:v>0.72787674346383902</c:v>
                </c:pt>
                <c:pt idx="56">
                  <c:v>0</c:v>
                </c:pt>
                <c:pt idx="57">
                  <c:v>0.71731806991408131</c:v>
                </c:pt>
                <c:pt idx="58">
                  <c:v>0</c:v>
                </c:pt>
                <c:pt idx="59">
                  <c:v>0</c:v>
                </c:pt>
                <c:pt idx="60">
                  <c:v>0.56197594818778784</c:v>
                </c:pt>
                <c:pt idx="61">
                  <c:v>0</c:v>
                </c:pt>
                <c:pt idx="62">
                  <c:v>0.58575209170653553</c:v>
                </c:pt>
                <c:pt idx="63">
                  <c:v>0</c:v>
                </c:pt>
                <c:pt idx="64">
                  <c:v>0</c:v>
                </c:pt>
                <c:pt idx="65">
                  <c:v>0.54979139193562176</c:v>
                </c:pt>
                <c:pt idx="66">
                  <c:v>0</c:v>
                </c:pt>
                <c:pt idx="67">
                  <c:v>0.58300103066336006</c:v>
                </c:pt>
                <c:pt idx="68">
                  <c:v>0</c:v>
                </c:pt>
                <c:pt idx="69">
                  <c:v>0</c:v>
                </c:pt>
                <c:pt idx="70">
                  <c:v>0.59719740578881753</c:v>
                </c:pt>
                <c:pt idx="71">
                  <c:v>0</c:v>
                </c:pt>
                <c:pt idx="72">
                  <c:v>0</c:v>
                </c:pt>
                <c:pt idx="73">
                  <c:v>0.60973301768330279</c:v>
                </c:pt>
                <c:pt idx="74">
                  <c:v>0</c:v>
                </c:pt>
                <c:pt idx="75">
                  <c:v>0.60741402512298204</c:v>
                </c:pt>
                <c:pt idx="76">
                  <c:v>0</c:v>
                </c:pt>
                <c:pt idx="77">
                  <c:v>0</c:v>
                </c:pt>
                <c:pt idx="78">
                  <c:v>0.69174614176346949</c:v>
                </c:pt>
                <c:pt idx="79">
                  <c:v>0</c:v>
                </c:pt>
                <c:pt idx="80">
                  <c:v>0.77841862935275241</c:v>
                </c:pt>
                <c:pt idx="81">
                  <c:v>0</c:v>
                </c:pt>
                <c:pt idx="82">
                  <c:v>0</c:v>
                </c:pt>
                <c:pt idx="83">
                  <c:v>0.82481198269925782</c:v>
                </c:pt>
                <c:pt idx="84">
                  <c:v>0</c:v>
                </c:pt>
                <c:pt idx="85">
                  <c:v>0</c:v>
                </c:pt>
                <c:pt idx="86">
                  <c:v>0.91017813823491023</c:v>
                </c:pt>
                <c:pt idx="87">
                  <c:v>0</c:v>
                </c:pt>
                <c:pt idx="88">
                  <c:v>0.90047234986745395</c:v>
                </c:pt>
                <c:pt idx="89">
                  <c:v>0</c:v>
                </c:pt>
                <c:pt idx="90">
                  <c:v>0</c:v>
                </c:pt>
                <c:pt idx="91">
                  <c:v>0.89955195398470655</c:v>
                </c:pt>
                <c:pt idx="92">
                  <c:v>0</c:v>
                </c:pt>
                <c:pt idx="93">
                  <c:v>0.95101423575636745</c:v>
                </c:pt>
                <c:pt idx="94">
                  <c:v>0</c:v>
                </c:pt>
                <c:pt idx="95">
                  <c:v>0</c:v>
                </c:pt>
                <c:pt idx="96">
                  <c:v>0.93628452609738655</c:v>
                </c:pt>
                <c:pt idx="97">
                  <c:v>0</c:v>
                </c:pt>
                <c:pt idx="98">
                  <c:v>1</c:v>
                </c:pt>
                <c:pt idx="99">
                  <c:v>0</c:v>
                </c:pt>
                <c:pt idx="100">
                  <c:v>0</c:v>
                </c:pt>
                <c:pt idx="101">
                  <c:v>0.96503958377402821</c:v>
                </c:pt>
                <c:pt idx="102">
                  <c:v>0</c:v>
                </c:pt>
                <c:pt idx="103">
                  <c:v>0</c:v>
                </c:pt>
                <c:pt idx="104">
                  <c:v>0.89955195398470655</c:v>
                </c:pt>
                <c:pt idx="105">
                  <c:v>0</c:v>
                </c:pt>
                <c:pt idx="106">
                  <c:v>0.84465675309536559</c:v>
                </c:pt>
                <c:pt idx="107">
                  <c:v>0</c:v>
                </c:pt>
                <c:pt idx="108">
                  <c:v>0</c:v>
                </c:pt>
                <c:pt idx="109">
                  <c:v>0.80632080184709276</c:v>
                </c:pt>
                <c:pt idx="110">
                  <c:v>0</c:v>
                </c:pt>
                <c:pt idx="111">
                  <c:v>0.77672523594989806</c:v>
                </c:pt>
                <c:pt idx="112">
                  <c:v>0</c:v>
                </c:pt>
                <c:pt idx="113">
                  <c:v>0</c:v>
                </c:pt>
                <c:pt idx="114">
                  <c:v>0.68996160891501301</c:v>
                </c:pt>
                <c:pt idx="115">
                  <c:v>0</c:v>
                </c:pt>
                <c:pt idx="116">
                  <c:v>0.67215228613735278</c:v>
                </c:pt>
                <c:pt idx="117">
                  <c:v>0</c:v>
                </c:pt>
                <c:pt idx="118">
                  <c:v>0</c:v>
                </c:pt>
                <c:pt idx="119">
                  <c:v>0.67310643737032316</c:v>
                </c:pt>
                <c:pt idx="120">
                  <c:v>0</c:v>
                </c:pt>
                <c:pt idx="121">
                  <c:v>0</c:v>
                </c:pt>
                <c:pt idx="122">
                  <c:v>0.66316211119462432</c:v>
                </c:pt>
                <c:pt idx="123">
                  <c:v>0</c:v>
                </c:pt>
                <c:pt idx="124">
                  <c:v>0.66975340591483745</c:v>
                </c:pt>
                <c:pt idx="125">
                  <c:v>0</c:v>
                </c:pt>
                <c:pt idx="126">
                  <c:v>0</c:v>
                </c:pt>
                <c:pt idx="127">
                  <c:v>0.71024857439904221</c:v>
                </c:pt>
                <c:pt idx="128">
                  <c:v>0</c:v>
                </c:pt>
                <c:pt idx="129">
                  <c:v>0.58812734318389459</c:v>
                </c:pt>
                <c:pt idx="130">
                  <c:v>0</c:v>
                </c:pt>
                <c:pt idx="131">
                  <c:v>0</c:v>
                </c:pt>
                <c:pt idx="132">
                  <c:v>0.58191073285115691</c:v>
                </c:pt>
                <c:pt idx="133">
                  <c:v>0</c:v>
                </c:pt>
                <c:pt idx="134">
                  <c:v>0.57618244991831202</c:v>
                </c:pt>
                <c:pt idx="135">
                  <c:v>0</c:v>
                </c:pt>
                <c:pt idx="136">
                  <c:v>0</c:v>
                </c:pt>
                <c:pt idx="137">
                  <c:v>0.54150670381255428</c:v>
                </c:pt>
                <c:pt idx="138">
                  <c:v>0</c:v>
                </c:pt>
                <c:pt idx="139">
                  <c:v>0</c:v>
                </c:pt>
                <c:pt idx="140">
                  <c:v>0.51996854001359205</c:v>
                </c:pt>
                <c:pt idx="141">
                  <c:v>0</c:v>
                </c:pt>
                <c:pt idx="142">
                  <c:v>0.48953246589584454</c:v>
                </c:pt>
                <c:pt idx="143">
                  <c:v>0</c:v>
                </c:pt>
                <c:pt idx="144">
                  <c:v>0</c:v>
                </c:pt>
                <c:pt idx="145">
                  <c:v>0.4226349876455418</c:v>
                </c:pt>
                <c:pt idx="146">
                  <c:v>0</c:v>
                </c:pt>
                <c:pt idx="147">
                  <c:v>0.41706648003708585</c:v>
                </c:pt>
                <c:pt idx="148">
                  <c:v>0</c:v>
                </c:pt>
                <c:pt idx="149">
                  <c:v>0</c:v>
                </c:pt>
                <c:pt idx="150">
                  <c:v>0.44245612929649347</c:v>
                </c:pt>
                <c:pt idx="151">
                  <c:v>0</c:v>
                </c:pt>
                <c:pt idx="152">
                  <c:v>0.40050723039601777</c:v>
                </c:pt>
                <c:pt idx="153">
                  <c:v>0</c:v>
                </c:pt>
                <c:pt idx="154">
                  <c:v>0</c:v>
                </c:pt>
                <c:pt idx="155">
                  <c:v>0.46774451250523208</c:v>
                </c:pt>
                <c:pt idx="156">
                  <c:v>0</c:v>
                </c:pt>
                <c:pt idx="157">
                  <c:v>0</c:v>
                </c:pt>
                <c:pt idx="158">
                  <c:v>0.38881212672208548</c:v>
                </c:pt>
                <c:pt idx="159">
                  <c:v>0</c:v>
                </c:pt>
                <c:pt idx="160">
                  <c:v>0.33311017296241457</c:v>
                </c:pt>
                <c:pt idx="161">
                  <c:v>0</c:v>
                </c:pt>
                <c:pt idx="162">
                  <c:v>0</c:v>
                </c:pt>
                <c:pt idx="163">
                  <c:v>0.31670957346739459</c:v>
                </c:pt>
                <c:pt idx="164">
                  <c:v>0</c:v>
                </c:pt>
                <c:pt idx="165">
                  <c:v>0.29953597645226765</c:v>
                </c:pt>
                <c:pt idx="166">
                  <c:v>0</c:v>
                </c:pt>
                <c:pt idx="167">
                  <c:v>0</c:v>
                </c:pt>
                <c:pt idx="168">
                  <c:v>0.28236350461548154</c:v>
                </c:pt>
                <c:pt idx="169">
                  <c:v>0</c:v>
                </c:pt>
                <c:pt idx="170">
                  <c:v>0</c:v>
                </c:pt>
                <c:pt idx="171">
                  <c:v>0.18963193166116829</c:v>
                </c:pt>
                <c:pt idx="172">
                  <c:v>0</c:v>
                </c:pt>
                <c:pt idx="173">
                  <c:v>0.13351028638039128</c:v>
                </c:pt>
                <c:pt idx="174">
                  <c:v>0</c:v>
                </c:pt>
                <c:pt idx="175">
                  <c:v>0</c:v>
                </c:pt>
                <c:pt idx="176">
                  <c:v>0.11567733485757493</c:v>
                </c:pt>
                <c:pt idx="177">
                  <c:v>0</c:v>
                </c:pt>
                <c:pt idx="178">
                  <c:v>8.4115632327723941E-2</c:v>
                </c:pt>
                <c:pt idx="179">
                  <c:v>0</c:v>
                </c:pt>
                <c:pt idx="180">
                  <c:v>0</c:v>
                </c:pt>
                <c:pt idx="181">
                  <c:v>4.9610125704924228E-2</c:v>
                </c:pt>
                <c:pt idx="182">
                  <c:v>0</c:v>
                </c:pt>
                <c:pt idx="183">
                  <c:v>3.9733535265339556E-2</c:v>
                </c:pt>
                <c:pt idx="184">
                  <c:v>0</c:v>
                </c:pt>
                <c:pt idx="185">
                  <c:v>0</c:v>
                </c:pt>
                <c:pt idx="186">
                  <c:v>2.9447829981051995E-2</c:v>
                </c:pt>
                <c:pt idx="187">
                  <c:v>0</c:v>
                </c:pt>
                <c:pt idx="188">
                  <c:v>0</c:v>
                </c:pt>
                <c:pt idx="189">
                  <c:v>1.6389010158110062E-2</c:v>
                </c:pt>
                <c:pt idx="190">
                  <c:v>0</c:v>
                </c:pt>
                <c:pt idx="191">
                  <c:v>6.0918730618803076E-3</c:v>
                </c:pt>
                <c:pt idx="192">
                  <c:v>0</c:v>
                </c:pt>
                <c:pt idx="193">
                  <c:v>0</c:v>
                </c:pt>
                <c:pt idx="194">
                  <c:v>3.9778992470306546E-3</c:v>
                </c:pt>
                <c:pt idx="195">
                  <c:v>0</c:v>
                </c:pt>
                <c:pt idx="196">
                  <c:v>2.0457767556157653E-3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0.88367347932237328</c:v>
                </c:pt>
                <c:pt idx="4">
                  <c:v>0</c:v>
                </c:pt>
                <c:pt idx="5">
                  <c:v>0</c:v>
                </c:pt>
                <c:pt idx="6">
                  <c:v>1</c:v>
                </c:pt>
                <c:pt idx="7">
                  <c:v>0</c:v>
                </c:pt>
                <c:pt idx="8">
                  <c:v>0.69596318454457284</c:v>
                </c:pt>
                <c:pt idx="9">
                  <c:v>0</c:v>
                </c:pt>
                <c:pt idx="10">
                  <c:v>0</c:v>
                </c:pt>
                <c:pt idx="11">
                  <c:v>0.5765737611245525</c:v>
                </c:pt>
                <c:pt idx="12">
                  <c:v>0</c:v>
                </c:pt>
                <c:pt idx="13">
                  <c:v>0.47673907128382281</c:v>
                </c:pt>
                <c:pt idx="14">
                  <c:v>0</c:v>
                </c:pt>
                <c:pt idx="15">
                  <c:v>0</c:v>
                </c:pt>
                <c:pt idx="16">
                  <c:v>0.43949483855406651</c:v>
                </c:pt>
                <c:pt idx="17">
                  <c:v>0</c:v>
                </c:pt>
                <c:pt idx="18">
                  <c:v>0</c:v>
                </c:pt>
                <c:pt idx="19">
                  <c:v>0.40615701677115534</c:v>
                </c:pt>
                <c:pt idx="20">
                  <c:v>0</c:v>
                </c:pt>
                <c:pt idx="21">
                  <c:v>0.37531956926677629</c:v>
                </c:pt>
                <c:pt idx="22">
                  <c:v>0</c:v>
                </c:pt>
                <c:pt idx="23">
                  <c:v>0</c:v>
                </c:pt>
                <c:pt idx="24">
                  <c:v>0.34514565327318403</c:v>
                </c:pt>
                <c:pt idx="25">
                  <c:v>0</c:v>
                </c:pt>
                <c:pt idx="26">
                  <c:v>0.33009240031614517</c:v>
                </c:pt>
                <c:pt idx="27">
                  <c:v>0</c:v>
                </c:pt>
                <c:pt idx="28">
                  <c:v>0</c:v>
                </c:pt>
                <c:pt idx="29">
                  <c:v>0.31560514719205524</c:v>
                </c:pt>
                <c:pt idx="30">
                  <c:v>0</c:v>
                </c:pt>
                <c:pt idx="31">
                  <c:v>0.30230971737762363</c:v>
                </c:pt>
                <c:pt idx="32">
                  <c:v>0</c:v>
                </c:pt>
                <c:pt idx="33">
                  <c:v>0</c:v>
                </c:pt>
                <c:pt idx="34">
                  <c:v>0.29010452734864395</c:v>
                </c:pt>
                <c:pt idx="35">
                  <c:v>0</c:v>
                </c:pt>
                <c:pt idx="36">
                  <c:v>0</c:v>
                </c:pt>
                <c:pt idx="37">
                  <c:v>0.28040030357007723</c:v>
                </c:pt>
                <c:pt idx="38">
                  <c:v>0</c:v>
                </c:pt>
                <c:pt idx="39">
                  <c:v>0.2681556583278768</c:v>
                </c:pt>
                <c:pt idx="40">
                  <c:v>0</c:v>
                </c:pt>
                <c:pt idx="41">
                  <c:v>0</c:v>
                </c:pt>
                <c:pt idx="42">
                  <c:v>0.25475457015367087</c:v>
                </c:pt>
                <c:pt idx="43">
                  <c:v>0</c:v>
                </c:pt>
                <c:pt idx="44">
                  <c:v>0.24333194970921851</c:v>
                </c:pt>
                <c:pt idx="45">
                  <c:v>0</c:v>
                </c:pt>
                <c:pt idx="46">
                  <c:v>0</c:v>
                </c:pt>
                <c:pt idx="47">
                  <c:v>0.22913613066407965</c:v>
                </c:pt>
                <c:pt idx="48">
                  <c:v>0</c:v>
                </c:pt>
                <c:pt idx="49">
                  <c:v>0.2172775487922621</c:v>
                </c:pt>
                <c:pt idx="50">
                  <c:v>0</c:v>
                </c:pt>
                <c:pt idx="51">
                  <c:v>0</c:v>
                </c:pt>
                <c:pt idx="52">
                  <c:v>0.20554318331131724</c:v>
                </c:pt>
                <c:pt idx="53">
                  <c:v>0</c:v>
                </c:pt>
                <c:pt idx="54">
                  <c:v>0</c:v>
                </c:pt>
                <c:pt idx="55">
                  <c:v>0.19296182676223375</c:v>
                </c:pt>
                <c:pt idx="56">
                  <c:v>0</c:v>
                </c:pt>
                <c:pt idx="57">
                  <c:v>0.18296152508646654</c:v>
                </c:pt>
                <c:pt idx="58">
                  <c:v>0</c:v>
                </c:pt>
                <c:pt idx="59">
                  <c:v>0</c:v>
                </c:pt>
                <c:pt idx="60">
                  <c:v>0.17429934423711435</c:v>
                </c:pt>
                <c:pt idx="61">
                  <c:v>0</c:v>
                </c:pt>
                <c:pt idx="62">
                  <c:v>0.16424563865147862</c:v>
                </c:pt>
                <c:pt idx="63">
                  <c:v>0</c:v>
                </c:pt>
                <c:pt idx="64">
                  <c:v>0</c:v>
                </c:pt>
                <c:pt idx="65">
                  <c:v>0.15690360682202417</c:v>
                </c:pt>
                <c:pt idx="66">
                  <c:v>0</c:v>
                </c:pt>
                <c:pt idx="67">
                  <c:v>0.14950701012813886</c:v>
                </c:pt>
                <c:pt idx="68">
                  <c:v>0</c:v>
                </c:pt>
                <c:pt idx="69">
                  <c:v>0</c:v>
                </c:pt>
                <c:pt idx="70">
                  <c:v>0.14003614971120593</c:v>
                </c:pt>
                <c:pt idx="71">
                  <c:v>0</c:v>
                </c:pt>
                <c:pt idx="72">
                  <c:v>0</c:v>
                </c:pt>
                <c:pt idx="73">
                  <c:v>0.13180415425290615</c:v>
                </c:pt>
                <c:pt idx="74">
                  <c:v>0</c:v>
                </c:pt>
                <c:pt idx="75">
                  <c:v>0.1235959756050342</c:v>
                </c:pt>
                <c:pt idx="76">
                  <c:v>0</c:v>
                </c:pt>
                <c:pt idx="77">
                  <c:v>0</c:v>
                </c:pt>
                <c:pt idx="78">
                  <c:v>0.1155102719161913</c:v>
                </c:pt>
                <c:pt idx="79">
                  <c:v>0</c:v>
                </c:pt>
                <c:pt idx="80">
                  <c:v>0.10745709219699391</c:v>
                </c:pt>
                <c:pt idx="81">
                  <c:v>0</c:v>
                </c:pt>
                <c:pt idx="82">
                  <c:v>0</c:v>
                </c:pt>
                <c:pt idx="83">
                  <c:v>9.950027170647234E-2</c:v>
                </c:pt>
                <c:pt idx="84">
                  <c:v>0</c:v>
                </c:pt>
                <c:pt idx="85">
                  <c:v>0</c:v>
                </c:pt>
                <c:pt idx="86">
                  <c:v>9.213850364945779E-2</c:v>
                </c:pt>
                <c:pt idx="87">
                  <c:v>0</c:v>
                </c:pt>
                <c:pt idx="88">
                  <c:v>8.4758740796726684E-2</c:v>
                </c:pt>
                <c:pt idx="89">
                  <c:v>0</c:v>
                </c:pt>
                <c:pt idx="90">
                  <c:v>0</c:v>
                </c:pt>
                <c:pt idx="91">
                  <c:v>7.7711039685329344E-2</c:v>
                </c:pt>
                <c:pt idx="92">
                  <c:v>0</c:v>
                </c:pt>
                <c:pt idx="93">
                  <c:v>7.1217751850456687E-2</c:v>
                </c:pt>
                <c:pt idx="94">
                  <c:v>0</c:v>
                </c:pt>
                <c:pt idx="95">
                  <c:v>0</c:v>
                </c:pt>
                <c:pt idx="96">
                  <c:v>6.4427811388402173E-2</c:v>
                </c:pt>
                <c:pt idx="97">
                  <c:v>0</c:v>
                </c:pt>
                <c:pt idx="98">
                  <c:v>5.869966732502177E-2</c:v>
                </c:pt>
                <c:pt idx="99">
                  <c:v>0</c:v>
                </c:pt>
                <c:pt idx="100">
                  <c:v>0</c:v>
                </c:pt>
                <c:pt idx="101">
                  <c:v>5.2905929328868083E-2</c:v>
                </c:pt>
                <c:pt idx="102">
                  <c:v>0</c:v>
                </c:pt>
                <c:pt idx="103">
                  <c:v>0</c:v>
                </c:pt>
                <c:pt idx="104">
                  <c:v>4.7899393240891507E-2</c:v>
                </c:pt>
                <c:pt idx="105">
                  <c:v>0</c:v>
                </c:pt>
                <c:pt idx="106">
                  <c:v>4.3083851420322443E-2</c:v>
                </c:pt>
                <c:pt idx="107">
                  <c:v>0</c:v>
                </c:pt>
                <c:pt idx="108">
                  <c:v>0</c:v>
                </c:pt>
                <c:pt idx="109">
                  <c:v>3.9447373903825404E-2</c:v>
                </c:pt>
                <c:pt idx="110">
                  <c:v>0</c:v>
                </c:pt>
                <c:pt idx="111">
                  <c:v>3.5389435397393108E-2</c:v>
                </c:pt>
                <c:pt idx="112">
                  <c:v>0</c:v>
                </c:pt>
                <c:pt idx="113">
                  <c:v>0</c:v>
                </c:pt>
                <c:pt idx="114">
                  <c:v>3.2235386227254637E-2</c:v>
                </c:pt>
                <c:pt idx="115">
                  <c:v>0</c:v>
                </c:pt>
                <c:pt idx="116">
                  <c:v>2.8907176630862844E-2</c:v>
                </c:pt>
                <c:pt idx="117">
                  <c:v>0</c:v>
                </c:pt>
                <c:pt idx="118">
                  <c:v>0</c:v>
                </c:pt>
                <c:pt idx="119">
                  <c:v>2.5637600987170009E-2</c:v>
                </c:pt>
                <c:pt idx="120">
                  <c:v>0</c:v>
                </c:pt>
                <c:pt idx="121">
                  <c:v>0</c:v>
                </c:pt>
                <c:pt idx="122">
                  <c:v>2.2667580357064909E-2</c:v>
                </c:pt>
                <c:pt idx="123">
                  <c:v>0</c:v>
                </c:pt>
                <c:pt idx="124">
                  <c:v>2.0063881122482828E-2</c:v>
                </c:pt>
                <c:pt idx="125">
                  <c:v>0</c:v>
                </c:pt>
                <c:pt idx="126">
                  <c:v>0</c:v>
                </c:pt>
                <c:pt idx="127">
                  <c:v>1.7643629950652936E-2</c:v>
                </c:pt>
                <c:pt idx="128">
                  <c:v>0</c:v>
                </c:pt>
                <c:pt idx="129">
                  <c:v>1.5523514269691964E-2</c:v>
                </c:pt>
                <c:pt idx="130">
                  <c:v>0</c:v>
                </c:pt>
                <c:pt idx="131">
                  <c:v>0</c:v>
                </c:pt>
                <c:pt idx="132">
                  <c:v>1.3429525813683884E-2</c:v>
                </c:pt>
                <c:pt idx="133">
                  <c:v>0</c:v>
                </c:pt>
                <c:pt idx="134">
                  <c:v>1.170301396046137E-2</c:v>
                </c:pt>
                <c:pt idx="135">
                  <c:v>0</c:v>
                </c:pt>
                <c:pt idx="136">
                  <c:v>0</c:v>
                </c:pt>
                <c:pt idx="137">
                  <c:v>9.98346783461301E-3</c:v>
                </c:pt>
                <c:pt idx="138">
                  <c:v>0</c:v>
                </c:pt>
                <c:pt idx="139">
                  <c:v>0</c:v>
                </c:pt>
                <c:pt idx="140">
                  <c:v>8.5158718379958476E-3</c:v>
                </c:pt>
                <c:pt idx="141">
                  <c:v>0</c:v>
                </c:pt>
                <c:pt idx="142">
                  <c:v>6.9966133633537018E-3</c:v>
                </c:pt>
                <c:pt idx="143">
                  <c:v>0</c:v>
                </c:pt>
                <c:pt idx="144">
                  <c:v>0</c:v>
                </c:pt>
                <c:pt idx="145">
                  <c:v>5.74962172278404E-3</c:v>
                </c:pt>
                <c:pt idx="146">
                  <c:v>0</c:v>
                </c:pt>
                <c:pt idx="147">
                  <c:v>4.8143808660066987E-3</c:v>
                </c:pt>
                <c:pt idx="148">
                  <c:v>0</c:v>
                </c:pt>
                <c:pt idx="149">
                  <c:v>0</c:v>
                </c:pt>
                <c:pt idx="150">
                  <c:v>3.9726025987990871E-3</c:v>
                </c:pt>
                <c:pt idx="151">
                  <c:v>0</c:v>
                </c:pt>
                <c:pt idx="152">
                  <c:v>3.1203757405302416E-3</c:v>
                </c:pt>
                <c:pt idx="153">
                  <c:v>0</c:v>
                </c:pt>
                <c:pt idx="154">
                  <c:v>0</c:v>
                </c:pt>
                <c:pt idx="155">
                  <c:v>2.3801924921286848E-3</c:v>
                </c:pt>
                <c:pt idx="156">
                  <c:v>0</c:v>
                </c:pt>
                <c:pt idx="157">
                  <c:v>0</c:v>
                </c:pt>
                <c:pt idx="158">
                  <c:v>1.7961748742638794E-3</c:v>
                </c:pt>
                <c:pt idx="159">
                  <c:v>0</c:v>
                </c:pt>
                <c:pt idx="160">
                  <c:v>1.4118644303241078E-3</c:v>
                </c:pt>
                <c:pt idx="161">
                  <c:v>0</c:v>
                </c:pt>
                <c:pt idx="162">
                  <c:v>0</c:v>
                </c:pt>
                <c:pt idx="163">
                  <c:v>1.0374163528645757E-3</c:v>
                </c:pt>
                <c:pt idx="164">
                  <c:v>0</c:v>
                </c:pt>
                <c:pt idx="165">
                  <c:v>7.198665435602709E-4</c:v>
                </c:pt>
                <c:pt idx="166">
                  <c:v>0</c:v>
                </c:pt>
                <c:pt idx="167">
                  <c:v>0</c:v>
                </c:pt>
                <c:pt idx="168">
                  <c:v>5.0158409663748991E-4</c:v>
                </c:pt>
                <c:pt idx="169">
                  <c:v>0</c:v>
                </c:pt>
                <c:pt idx="170">
                  <c:v>2.8852594524532519E-4</c:v>
                </c:pt>
                <c:pt idx="171">
                  <c:v>0</c:v>
                </c:pt>
                <c:pt idx="172">
                  <c:v>0</c:v>
                </c:pt>
                <c:pt idx="173">
                  <c:v>1.8402854003337146E-4</c:v>
                </c:pt>
                <c:pt idx="174">
                  <c:v>0</c:v>
                </c:pt>
                <c:pt idx="175">
                  <c:v>0</c:v>
                </c:pt>
                <c:pt idx="176">
                  <c:v>1.0972170074257011E-4</c:v>
                </c:pt>
                <c:pt idx="177">
                  <c:v>0</c:v>
                </c:pt>
                <c:pt idx="178">
                  <c:v>7.1404452884903403E-5</c:v>
                </c:pt>
                <c:pt idx="179">
                  <c:v>0</c:v>
                </c:pt>
                <c:pt idx="180">
                  <c:v>0</c:v>
                </c:pt>
                <c:pt idx="181">
                  <c:v>2.902961135879323E-5</c:v>
                </c:pt>
                <c:pt idx="182">
                  <c:v>0</c:v>
                </c:pt>
                <c:pt idx="183">
                  <c:v>2.0897182122465292E-5</c:v>
                </c:pt>
                <c:pt idx="184">
                  <c:v>0</c:v>
                </c:pt>
                <c:pt idx="185">
                  <c:v>0</c:v>
                </c:pt>
                <c:pt idx="186">
                  <c:v>1.4511932029489786E-5</c:v>
                </c:pt>
                <c:pt idx="187">
                  <c:v>0</c:v>
                </c:pt>
                <c:pt idx="188">
                  <c:v>0</c:v>
                </c:pt>
                <c:pt idx="189">
                  <c:v>5.8047728117959141E-6</c:v>
                </c:pt>
                <c:pt idx="190">
                  <c:v>0</c:v>
                </c:pt>
                <c:pt idx="191">
                  <c:v>2.3219091247183659E-6</c:v>
                </c:pt>
                <c:pt idx="192">
                  <c:v>0</c:v>
                </c:pt>
                <c:pt idx="193">
                  <c:v>0</c:v>
                </c:pt>
                <c:pt idx="194">
                  <c:v>1.160954562359183E-6</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(64.6 , 48.8)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64.599734651068019</c:v>
                </c:pt>
              </c:numCache>
            </c:numRef>
          </c:xVal>
          <c:yVal>
            <c:numRef>
              <c:f>info!$W$20:$W$21</c:f>
              <c:numCache>
                <c:formatCode>General</c:formatCode>
                <c:ptCount val="2"/>
                <c:pt idx="0">
                  <c:v>50</c:v>
                </c:pt>
                <c:pt idx="1">
                  <c:v>48.803760594727144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40.771599999999999</c:v>
                      </c:pt>
                    </c:numCache>
                  </c:numRef>
                </c:xVal>
                <c:yVal>
                  <c:numRef>
                    <c:extLst>
                      <c:ext uri="{02D57815-91ED-43cb-92C2-25804820EDAC}">
                        <c15:formulaRef>
                          <c15:sqref>info!$W$18</c15:sqref>
                        </c15:formulaRef>
                      </c:ext>
                    </c:extLst>
                    <c:numCache>
                      <c:formatCode>General</c:formatCode>
                      <c:ptCount val="1"/>
                      <c:pt idx="0">
                        <c:v>48.461799999999997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(64.6 , 48.8)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64.599734651068019</c:v>
                </c:pt>
              </c:numCache>
            </c:numRef>
          </c:xVal>
          <c:yVal>
            <c:numRef>
              <c:f>info!$W$20:$W$21</c:f>
              <c:numCache>
                <c:formatCode>General</c:formatCode>
                <c:ptCount val="2"/>
                <c:pt idx="0">
                  <c:v>50</c:v>
                </c:pt>
                <c:pt idx="1">
                  <c:v>48.803760594727144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46.3476</c:v>
                </c:pt>
                <c:pt idx="1">
                  <c:v>30.4603</c:v>
                </c:pt>
                <c:pt idx="2">
                  <c:v>20.383199999999999</c:v>
                </c:pt>
                <c:pt idx="3">
                  <c:v>32.747900000000001</c:v>
                </c:pt>
                <c:pt idx="4">
                  <c:v>70.2714</c:v>
                </c:pt>
                <c:pt idx="5">
                  <c:v>71.355999999999995</c:v>
                </c:pt>
                <c:pt idx="6">
                  <c:v>23.684999999999999</c:v>
                </c:pt>
                <c:pt idx="7">
                  <c:v>71.343100000000007</c:v>
                </c:pt>
                <c:pt idx="8">
                  <c:v>27.146899999999999</c:v>
                </c:pt>
                <c:pt idx="9">
                  <c:v>52.503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0.45000582816737128</c:v>
                </c:pt>
                <c:pt idx="1">
                  <c:v>0.24708197065455931</c:v>
                </c:pt>
                <c:pt idx="2">
                  <c:v>0.30291220117806944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1.0206166427378739E-2</c:v>
                </c:pt>
                <c:pt idx="7">
                  <c:v>0</c:v>
                </c:pt>
                <c:pt idx="8">
                  <c:v>2.0207752928839223E-2</c:v>
                </c:pt>
                <c:pt idx="9">
                  <c:v>0</c:v>
                </c:pt>
                <c:pt idx="10">
                  <c:v>0</c:v>
                </c:pt>
                <c:pt idx="11">
                  <c:v>6.3146358697853608E-2</c:v>
                </c:pt>
                <c:pt idx="12">
                  <c:v>0</c:v>
                </c:pt>
                <c:pt idx="13">
                  <c:v>6.3044079986677881E-2</c:v>
                </c:pt>
                <c:pt idx="14">
                  <c:v>0</c:v>
                </c:pt>
                <c:pt idx="15">
                  <c:v>0</c:v>
                </c:pt>
                <c:pt idx="16">
                  <c:v>3.6096621314478342E-2</c:v>
                </c:pt>
                <c:pt idx="17">
                  <c:v>0</c:v>
                </c:pt>
                <c:pt idx="18">
                  <c:v>0</c:v>
                </c:pt>
                <c:pt idx="19">
                  <c:v>4.2336297803201806E-2</c:v>
                </c:pt>
                <c:pt idx="20">
                  <c:v>0</c:v>
                </c:pt>
                <c:pt idx="21">
                  <c:v>5.5531489241044708E-2</c:v>
                </c:pt>
                <c:pt idx="22">
                  <c:v>0</c:v>
                </c:pt>
                <c:pt idx="23">
                  <c:v>0</c:v>
                </c:pt>
                <c:pt idx="24">
                  <c:v>7.986493359197433E-2</c:v>
                </c:pt>
                <c:pt idx="25">
                  <c:v>0</c:v>
                </c:pt>
                <c:pt idx="26">
                  <c:v>9.8242808985224153E-2</c:v>
                </c:pt>
                <c:pt idx="27">
                  <c:v>0</c:v>
                </c:pt>
                <c:pt idx="28">
                  <c:v>0</c:v>
                </c:pt>
                <c:pt idx="29">
                  <c:v>9.8867958071354303E-2</c:v>
                </c:pt>
                <c:pt idx="30">
                  <c:v>0</c:v>
                </c:pt>
                <c:pt idx="31">
                  <c:v>0.12363347090513846</c:v>
                </c:pt>
                <c:pt idx="32">
                  <c:v>0</c:v>
                </c:pt>
                <c:pt idx="33">
                  <c:v>0</c:v>
                </c:pt>
                <c:pt idx="34">
                  <c:v>0.1985309671582946</c:v>
                </c:pt>
                <c:pt idx="35">
                  <c:v>0</c:v>
                </c:pt>
                <c:pt idx="36">
                  <c:v>0</c:v>
                </c:pt>
                <c:pt idx="37">
                  <c:v>0.38012800028804566</c:v>
                </c:pt>
                <c:pt idx="38">
                  <c:v>0</c:v>
                </c:pt>
                <c:pt idx="39">
                  <c:v>0.46863115303775649</c:v>
                </c:pt>
                <c:pt idx="40">
                  <c:v>0</c:v>
                </c:pt>
                <c:pt idx="41">
                  <c:v>0</c:v>
                </c:pt>
                <c:pt idx="42">
                  <c:v>0.47998532767443641</c:v>
                </c:pt>
                <c:pt idx="43">
                  <c:v>0</c:v>
                </c:pt>
                <c:pt idx="44">
                  <c:v>0.53403889516488368</c:v>
                </c:pt>
                <c:pt idx="45">
                  <c:v>0</c:v>
                </c:pt>
                <c:pt idx="46">
                  <c:v>0</c:v>
                </c:pt>
                <c:pt idx="47">
                  <c:v>0.66092300629649803</c:v>
                </c:pt>
                <c:pt idx="48">
                  <c:v>0</c:v>
                </c:pt>
                <c:pt idx="49">
                  <c:v>0.75143685274115946</c:v>
                </c:pt>
                <c:pt idx="50">
                  <c:v>0</c:v>
                </c:pt>
                <c:pt idx="51">
                  <c:v>0</c:v>
                </c:pt>
                <c:pt idx="52">
                  <c:v>0.87238789848190934</c:v>
                </c:pt>
                <c:pt idx="53">
                  <c:v>0</c:v>
                </c:pt>
                <c:pt idx="54">
                  <c:v>0</c:v>
                </c:pt>
                <c:pt idx="55">
                  <c:v>0.72787674346383902</c:v>
                </c:pt>
                <c:pt idx="56">
                  <c:v>0</c:v>
                </c:pt>
                <c:pt idx="57">
                  <c:v>0.71731806991408131</c:v>
                </c:pt>
                <c:pt idx="58">
                  <c:v>0</c:v>
                </c:pt>
                <c:pt idx="59">
                  <c:v>0</c:v>
                </c:pt>
                <c:pt idx="60">
                  <c:v>0.56197594818778784</c:v>
                </c:pt>
                <c:pt idx="61">
                  <c:v>0</c:v>
                </c:pt>
                <c:pt idx="62">
                  <c:v>0.58575209170653553</c:v>
                </c:pt>
                <c:pt idx="63">
                  <c:v>0</c:v>
                </c:pt>
                <c:pt idx="64">
                  <c:v>0</c:v>
                </c:pt>
                <c:pt idx="65">
                  <c:v>0.54979139193562176</c:v>
                </c:pt>
                <c:pt idx="66">
                  <c:v>0</c:v>
                </c:pt>
                <c:pt idx="67">
                  <c:v>0.58300103066336006</c:v>
                </c:pt>
                <c:pt idx="68">
                  <c:v>0</c:v>
                </c:pt>
                <c:pt idx="69">
                  <c:v>0</c:v>
                </c:pt>
                <c:pt idx="70">
                  <c:v>0.59719740578881753</c:v>
                </c:pt>
                <c:pt idx="71">
                  <c:v>0</c:v>
                </c:pt>
                <c:pt idx="72">
                  <c:v>0</c:v>
                </c:pt>
                <c:pt idx="73">
                  <c:v>0.60973301768330279</c:v>
                </c:pt>
                <c:pt idx="74">
                  <c:v>0</c:v>
                </c:pt>
                <c:pt idx="75">
                  <c:v>0.60741402512298204</c:v>
                </c:pt>
                <c:pt idx="76">
                  <c:v>0</c:v>
                </c:pt>
                <c:pt idx="77">
                  <c:v>0</c:v>
                </c:pt>
                <c:pt idx="78">
                  <c:v>0.69174614176346949</c:v>
                </c:pt>
                <c:pt idx="79">
                  <c:v>0</c:v>
                </c:pt>
                <c:pt idx="80">
                  <c:v>0.77841862935275241</c:v>
                </c:pt>
                <c:pt idx="81">
                  <c:v>0</c:v>
                </c:pt>
                <c:pt idx="82">
                  <c:v>0</c:v>
                </c:pt>
                <c:pt idx="83">
                  <c:v>0.82481198269925782</c:v>
                </c:pt>
                <c:pt idx="84">
                  <c:v>0</c:v>
                </c:pt>
                <c:pt idx="85">
                  <c:v>0</c:v>
                </c:pt>
                <c:pt idx="86">
                  <c:v>0.91017813823491023</c:v>
                </c:pt>
                <c:pt idx="87">
                  <c:v>0</c:v>
                </c:pt>
                <c:pt idx="88">
                  <c:v>0.90047234986745395</c:v>
                </c:pt>
                <c:pt idx="89">
                  <c:v>0</c:v>
                </c:pt>
                <c:pt idx="90">
                  <c:v>0</c:v>
                </c:pt>
                <c:pt idx="91">
                  <c:v>0.89955195398470655</c:v>
                </c:pt>
                <c:pt idx="92">
                  <c:v>0</c:v>
                </c:pt>
                <c:pt idx="93">
                  <c:v>0.95101423575636745</c:v>
                </c:pt>
                <c:pt idx="94">
                  <c:v>0</c:v>
                </c:pt>
                <c:pt idx="95">
                  <c:v>0</c:v>
                </c:pt>
                <c:pt idx="96">
                  <c:v>0.93628452609738655</c:v>
                </c:pt>
                <c:pt idx="97">
                  <c:v>0</c:v>
                </c:pt>
                <c:pt idx="98">
                  <c:v>1</c:v>
                </c:pt>
                <c:pt idx="99">
                  <c:v>0</c:v>
                </c:pt>
                <c:pt idx="100">
                  <c:v>0</c:v>
                </c:pt>
                <c:pt idx="101">
                  <c:v>0.96503958377402821</c:v>
                </c:pt>
                <c:pt idx="102">
                  <c:v>0</c:v>
                </c:pt>
                <c:pt idx="103">
                  <c:v>0</c:v>
                </c:pt>
                <c:pt idx="104">
                  <c:v>0.89955195398470655</c:v>
                </c:pt>
                <c:pt idx="105">
                  <c:v>0</c:v>
                </c:pt>
                <c:pt idx="106">
                  <c:v>0.84465675309536559</c:v>
                </c:pt>
                <c:pt idx="107">
                  <c:v>0</c:v>
                </c:pt>
                <c:pt idx="108">
                  <c:v>0</c:v>
                </c:pt>
                <c:pt idx="109">
                  <c:v>0.80632080184709276</c:v>
                </c:pt>
                <c:pt idx="110">
                  <c:v>0</c:v>
                </c:pt>
                <c:pt idx="111">
                  <c:v>0.77672523594989806</c:v>
                </c:pt>
                <c:pt idx="112">
                  <c:v>0</c:v>
                </c:pt>
                <c:pt idx="113">
                  <c:v>0</c:v>
                </c:pt>
                <c:pt idx="114">
                  <c:v>0.68996160891501301</c:v>
                </c:pt>
                <c:pt idx="115">
                  <c:v>0</c:v>
                </c:pt>
                <c:pt idx="116">
                  <c:v>0.67215228613735278</c:v>
                </c:pt>
                <c:pt idx="117">
                  <c:v>0</c:v>
                </c:pt>
                <c:pt idx="118">
                  <c:v>0</c:v>
                </c:pt>
                <c:pt idx="119">
                  <c:v>0.67310643737032316</c:v>
                </c:pt>
                <c:pt idx="120">
                  <c:v>0</c:v>
                </c:pt>
                <c:pt idx="121">
                  <c:v>0</c:v>
                </c:pt>
                <c:pt idx="122">
                  <c:v>0.66316211119462432</c:v>
                </c:pt>
                <c:pt idx="123">
                  <c:v>0</c:v>
                </c:pt>
                <c:pt idx="124">
                  <c:v>0.66975340591483745</c:v>
                </c:pt>
                <c:pt idx="125">
                  <c:v>0</c:v>
                </c:pt>
                <c:pt idx="126">
                  <c:v>0</c:v>
                </c:pt>
                <c:pt idx="127">
                  <c:v>0.71024857439904221</c:v>
                </c:pt>
                <c:pt idx="128">
                  <c:v>0</c:v>
                </c:pt>
                <c:pt idx="129">
                  <c:v>0.58812734318389459</c:v>
                </c:pt>
                <c:pt idx="130">
                  <c:v>0</c:v>
                </c:pt>
                <c:pt idx="131">
                  <c:v>0</c:v>
                </c:pt>
                <c:pt idx="132">
                  <c:v>0.58191073285115691</c:v>
                </c:pt>
                <c:pt idx="133">
                  <c:v>0</c:v>
                </c:pt>
                <c:pt idx="134">
                  <c:v>0.57618244991831202</c:v>
                </c:pt>
                <c:pt idx="135">
                  <c:v>0</c:v>
                </c:pt>
                <c:pt idx="136">
                  <c:v>0</c:v>
                </c:pt>
                <c:pt idx="137">
                  <c:v>0.54150670381255428</c:v>
                </c:pt>
                <c:pt idx="138">
                  <c:v>0</c:v>
                </c:pt>
                <c:pt idx="139">
                  <c:v>0</c:v>
                </c:pt>
                <c:pt idx="140">
                  <c:v>0.51996854001359205</c:v>
                </c:pt>
                <c:pt idx="141">
                  <c:v>0</c:v>
                </c:pt>
                <c:pt idx="142">
                  <c:v>0.48953246589584454</c:v>
                </c:pt>
                <c:pt idx="143">
                  <c:v>0</c:v>
                </c:pt>
                <c:pt idx="144">
                  <c:v>0</c:v>
                </c:pt>
                <c:pt idx="145">
                  <c:v>0.4226349876455418</c:v>
                </c:pt>
                <c:pt idx="146">
                  <c:v>0</c:v>
                </c:pt>
                <c:pt idx="147">
                  <c:v>0.41706648003708585</c:v>
                </c:pt>
                <c:pt idx="148">
                  <c:v>0</c:v>
                </c:pt>
                <c:pt idx="149">
                  <c:v>0</c:v>
                </c:pt>
                <c:pt idx="150">
                  <c:v>0.44245612929649347</c:v>
                </c:pt>
                <c:pt idx="151">
                  <c:v>0</c:v>
                </c:pt>
                <c:pt idx="152">
                  <c:v>0.40050723039601777</c:v>
                </c:pt>
                <c:pt idx="153">
                  <c:v>0</c:v>
                </c:pt>
                <c:pt idx="154">
                  <c:v>0</c:v>
                </c:pt>
                <c:pt idx="155">
                  <c:v>0.46774451250523208</c:v>
                </c:pt>
                <c:pt idx="156">
                  <c:v>0</c:v>
                </c:pt>
                <c:pt idx="157">
                  <c:v>0</c:v>
                </c:pt>
                <c:pt idx="158">
                  <c:v>0.38881212672208548</c:v>
                </c:pt>
                <c:pt idx="159">
                  <c:v>0</c:v>
                </c:pt>
                <c:pt idx="160">
                  <c:v>0.33311017296241457</c:v>
                </c:pt>
                <c:pt idx="161">
                  <c:v>0</c:v>
                </c:pt>
                <c:pt idx="162">
                  <c:v>0</c:v>
                </c:pt>
                <c:pt idx="163">
                  <c:v>0.31670957346739459</c:v>
                </c:pt>
                <c:pt idx="164">
                  <c:v>0</c:v>
                </c:pt>
                <c:pt idx="165">
                  <c:v>0.29953597645226765</c:v>
                </c:pt>
                <c:pt idx="166">
                  <c:v>0</c:v>
                </c:pt>
                <c:pt idx="167">
                  <c:v>0</c:v>
                </c:pt>
                <c:pt idx="168">
                  <c:v>0.28236350461548154</c:v>
                </c:pt>
                <c:pt idx="169">
                  <c:v>0</c:v>
                </c:pt>
                <c:pt idx="170">
                  <c:v>0</c:v>
                </c:pt>
                <c:pt idx="171">
                  <c:v>0.18963193166116829</c:v>
                </c:pt>
                <c:pt idx="172">
                  <c:v>0</c:v>
                </c:pt>
                <c:pt idx="173">
                  <c:v>0.13351028638039128</c:v>
                </c:pt>
                <c:pt idx="174">
                  <c:v>0</c:v>
                </c:pt>
                <c:pt idx="175">
                  <c:v>0</c:v>
                </c:pt>
                <c:pt idx="176">
                  <c:v>0.11567733485757493</c:v>
                </c:pt>
                <c:pt idx="177">
                  <c:v>0</c:v>
                </c:pt>
                <c:pt idx="178">
                  <c:v>8.4115632327723941E-2</c:v>
                </c:pt>
                <c:pt idx="179">
                  <c:v>0</c:v>
                </c:pt>
                <c:pt idx="180">
                  <c:v>0</c:v>
                </c:pt>
                <c:pt idx="181">
                  <c:v>4.9610125704924228E-2</c:v>
                </c:pt>
                <c:pt idx="182">
                  <c:v>0</c:v>
                </c:pt>
                <c:pt idx="183">
                  <c:v>3.9733535265339556E-2</c:v>
                </c:pt>
                <c:pt idx="184">
                  <c:v>0</c:v>
                </c:pt>
                <c:pt idx="185">
                  <c:v>0</c:v>
                </c:pt>
                <c:pt idx="186">
                  <c:v>2.9447829981051995E-2</c:v>
                </c:pt>
                <c:pt idx="187">
                  <c:v>0</c:v>
                </c:pt>
                <c:pt idx="188">
                  <c:v>0</c:v>
                </c:pt>
                <c:pt idx="189">
                  <c:v>1.6389010158110062E-2</c:v>
                </c:pt>
                <c:pt idx="190">
                  <c:v>0</c:v>
                </c:pt>
                <c:pt idx="191">
                  <c:v>6.0918730618803076E-3</c:v>
                </c:pt>
                <c:pt idx="192">
                  <c:v>0</c:v>
                </c:pt>
                <c:pt idx="193">
                  <c:v>0</c:v>
                </c:pt>
                <c:pt idx="194">
                  <c:v>3.9778992470306546E-3</c:v>
                </c:pt>
                <c:pt idx="195">
                  <c:v>0</c:v>
                </c:pt>
                <c:pt idx="196">
                  <c:v>2.0457767556157653E-3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extLst xmlns:c15="http://schemas.microsoft.com/office/drawing/2012/chart"/>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4.6520400000000004</c:v>
                </c:pt>
              </c:numCache>
            </c:numRef>
          </c:xVal>
          <c:yVal>
            <c:numRef>
              <c:f>[0]!FT_PH01</c:f>
              <c:numCache>
                <c:formatCode>0.00</c:formatCode>
                <c:ptCount val="1"/>
                <c:pt idx="0">
                  <c:v>32.631900000000002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4.6520400000000004</c:v>
                </c:pt>
              </c:numCache>
            </c:numRef>
          </c:xVal>
          <c:yVal>
            <c:numRef>
              <c:f>[0]!FT_PH02</c:f>
              <c:numCache>
                <c:formatCode>0.00</c:formatCode>
                <c:ptCount val="1"/>
                <c:pt idx="0">
                  <c:v>32.631900000000002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4.6520400000000004</c:v>
                </c:pt>
              </c:numCache>
            </c:numRef>
          </c:xVal>
          <c:yVal>
            <c:numRef>
              <c:f>[0]!FT_PH03</c:f>
              <c:numCache>
                <c:formatCode>0.00</c:formatCode>
                <c:ptCount val="1"/>
                <c:pt idx="0">
                  <c:v>32.631900000000002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4.6520400000000004</c:v>
                </c:pt>
              </c:numCache>
            </c:numRef>
          </c:xVal>
          <c:yVal>
            <c:numRef>
              <c:f>[0]!FT_PH04</c:f>
              <c:numCache>
                <c:formatCode>0.00</c:formatCode>
                <c:ptCount val="1"/>
                <c:pt idx="0">
                  <c:v>32.631900000000002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4.6520400000000004</c:v>
                </c:pt>
              </c:numCache>
            </c:numRef>
          </c:xVal>
          <c:yVal>
            <c:numRef>
              <c:f>[0]!FT_PH05</c:f>
              <c:numCache>
                <c:formatCode>0.00</c:formatCode>
                <c:ptCount val="1"/>
                <c:pt idx="0">
                  <c:v>32.631900000000002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4.6520400000000004</c:v>
                </c:pt>
              </c:numCache>
            </c:numRef>
          </c:xVal>
          <c:yVal>
            <c:numRef>
              <c:f>[0]!FT_PH06</c:f>
              <c:numCache>
                <c:formatCode>0.00</c:formatCode>
                <c:ptCount val="1"/>
                <c:pt idx="0">
                  <c:v>32.631900000000002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4.6520400000000004</c:v>
                </c:pt>
              </c:numCache>
            </c:numRef>
          </c:xVal>
          <c:yVal>
            <c:numRef>
              <c:f>[0]!FT_PH07</c:f>
              <c:numCache>
                <c:formatCode>0.00</c:formatCode>
                <c:ptCount val="1"/>
                <c:pt idx="0">
                  <c:v>32.631900000000002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4.6520400000000004</c:v>
                </c:pt>
              </c:numCache>
            </c:numRef>
          </c:xVal>
          <c:yVal>
            <c:numRef>
              <c:f>[0]!FT_PH08</c:f>
              <c:numCache>
                <c:formatCode>0.00</c:formatCode>
                <c:ptCount val="1"/>
                <c:pt idx="0">
                  <c:v>32.631900000000002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4.6520400000000004</c:v>
                </c:pt>
              </c:numCache>
            </c:numRef>
          </c:xVal>
          <c:yVal>
            <c:numRef>
              <c:f>[0]!FT_PH09</c:f>
              <c:numCache>
                <c:formatCode>0.00</c:formatCode>
                <c:ptCount val="1"/>
                <c:pt idx="0">
                  <c:v>32.631900000000002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4.6520400000000004</c:v>
                </c:pt>
              </c:numCache>
            </c:numRef>
          </c:xVal>
          <c:yVal>
            <c:numRef>
              <c:f>[0]!FT_PH10</c:f>
              <c:numCache>
                <c:formatCode>0.00</c:formatCode>
                <c:ptCount val="1"/>
                <c:pt idx="0">
                  <c:v>32.631900000000002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4.6520400000000004</c:v>
                </c:pt>
              </c:numCache>
            </c:numRef>
          </c:xVal>
          <c:yVal>
            <c:numRef>
              <c:f>[0]!FT_PH11</c:f>
              <c:numCache>
                <c:formatCode>0.00</c:formatCode>
                <c:ptCount val="1"/>
                <c:pt idx="0">
                  <c:v>32.631900000000002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4.6520400000000004</c:v>
                </c:pt>
              </c:numCache>
            </c:numRef>
          </c:xVal>
          <c:yVal>
            <c:numRef>
              <c:f>[0]!FT_PH12</c:f>
              <c:numCache>
                <c:formatCode>0.00</c:formatCode>
                <c:ptCount val="1"/>
                <c:pt idx="0">
                  <c:v>32.631900000000002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4.6520400000000004</c:v>
                </c:pt>
              </c:numCache>
            </c:numRef>
          </c:xVal>
          <c:yVal>
            <c:numRef>
              <c:f>[0]!FT_PH13</c:f>
              <c:numCache>
                <c:formatCode>0.00</c:formatCode>
                <c:ptCount val="1"/>
                <c:pt idx="0">
                  <c:v>32.631900000000002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4.6520400000000004</c:v>
                </c:pt>
              </c:numCache>
            </c:numRef>
          </c:xVal>
          <c:yVal>
            <c:numRef>
              <c:f>[0]!FT_PH14</c:f>
              <c:numCache>
                <c:formatCode>0.00</c:formatCode>
                <c:ptCount val="1"/>
                <c:pt idx="0">
                  <c:v>32.631900000000002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4.6520400000000004</c:v>
                </c:pt>
              </c:numCache>
            </c:numRef>
          </c:xVal>
          <c:yVal>
            <c:numRef>
              <c:f>[0]!FT_PH15</c:f>
              <c:numCache>
                <c:formatCode>0.00</c:formatCode>
                <c:ptCount val="1"/>
                <c:pt idx="0">
                  <c:v>32.631900000000002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4.6520400000000004</c:v>
                </c:pt>
              </c:numCache>
            </c:numRef>
          </c:xVal>
          <c:yVal>
            <c:numRef>
              <c:f>[0]!FT_PH16</c:f>
              <c:numCache>
                <c:formatCode>0.00</c:formatCode>
                <c:ptCount val="1"/>
                <c:pt idx="0">
                  <c:v>32.631900000000002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4.6520400000000004</c:v>
                </c:pt>
              </c:numCache>
            </c:numRef>
          </c:xVal>
          <c:yVal>
            <c:numRef>
              <c:f>[0]!FT_PH17</c:f>
              <c:numCache>
                <c:formatCode>0.00</c:formatCode>
                <c:ptCount val="1"/>
                <c:pt idx="0">
                  <c:v>32.631900000000002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4.6520400000000004</c:v>
                </c:pt>
              </c:numCache>
            </c:numRef>
          </c:xVal>
          <c:yVal>
            <c:numRef>
              <c:f>[0]!FT_PH18</c:f>
              <c:numCache>
                <c:formatCode>0.00</c:formatCode>
                <c:ptCount val="1"/>
                <c:pt idx="0">
                  <c:v>32.631900000000002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4.6520400000000004</c:v>
                </c:pt>
              </c:numCache>
            </c:numRef>
          </c:xVal>
          <c:yVal>
            <c:numRef>
              <c:f>[0]!FT_PH19</c:f>
              <c:numCache>
                <c:formatCode>0.00</c:formatCode>
                <c:ptCount val="1"/>
                <c:pt idx="0">
                  <c:v>32.631900000000002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4.6520400000000004</c:v>
                </c:pt>
              </c:numCache>
            </c:numRef>
          </c:xVal>
          <c:yVal>
            <c:numRef>
              <c:f>[0]!FT_PH20</c:f>
              <c:numCache>
                <c:formatCode>0.00</c:formatCode>
                <c:ptCount val="1"/>
                <c:pt idx="0">
                  <c:v>32.631900000000002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4.6520400000000004</c:v>
                </c:pt>
              </c:numCache>
            </c:numRef>
          </c:xVal>
          <c:yVal>
            <c:numRef>
              <c:f>[0]!FT_PH21</c:f>
              <c:numCache>
                <c:formatCode>0.00</c:formatCode>
                <c:ptCount val="1"/>
                <c:pt idx="0">
                  <c:v>32.631900000000002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4.6520400000000004</c:v>
                </c:pt>
              </c:numCache>
            </c:numRef>
          </c:xVal>
          <c:yVal>
            <c:numRef>
              <c:f>[0]!FT_PH22</c:f>
              <c:numCache>
                <c:formatCode>0.00</c:formatCode>
                <c:ptCount val="1"/>
                <c:pt idx="0">
                  <c:v>32.631900000000002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4.6520400000000004</c:v>
                </c:pt>
              </c:numCache>
            </c:numRef>
          </c:xVal>
          <c:yVal>
            <c:numRef>
              <c:f>[0]!FT_PH23</c:f>
              <c:numCache>
                <c:formatCode>0.00</c:formatCode>
                <c:ptCount val="1"/>
                <c:pt idx="0">
                  <c:v>32.631900000000002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4.6520400000000004</c:v>
                </c:pt>
              </c:numCache>
            </c:numRef>
          </c:xVal>
          <c:yVal>
            <c:numRef>
              <c:f>[0]!FT_PH24</c:f>
              <c:numCache>
                <c:formatCode>0.00</c:formatCode>
                <c:ptCount val="1"/>
                <c:pt idx="0">
                  <c:v>32.631900000000002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4.6520400000000004</c:v>
                </c:pt>
              </c:numCache>
            </c:numRef>
          </c:xVal>
          <c:yVal>
            <c:numRef>
              <c:f>info!$H$2</c:f>
              <c:numCache>
                <c:formatCode>0.00</c:formatCode>
                <c:ptCount val="1"/>
                <c:pt idx="0">
                  <c:v>32.631900000000002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0.15495896274065787</c:v>
                </c:pt>
                <c:pt idx="1">
                  <c:v>0.43665311823705771</c:v>
                </c:pt>
                <c:pt idx="2">
                  <c:v>0.4083879190222845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[0]!FT_E</c:f>
              <c:numCache>
                <c:formatCode>0.00</c:formatCode>
                <c:ptCount val="99"/>
                <c:pt idx="0">
                  <c:v>4.6520400000000004</c:v>
                </c:pt>
                <c:pt idx="1">
                  <c:v>4.6217500000000005</c:v>
                </c:pt>
                <c:pt idx="2">
                  <c:v>4.5903400000000003</c:v>
                </c:pt>
                <c:pt idx="3">
                  <c:v>4.5567799999999998</c:v>
                </c:pt>
                <c:pt idx="4">
                  <c:v>4.5132200000000005</c:v>
                </c:pt>
                <c:pt idx="5">
                  <c:v>4.4646699999999999</c:v>
                </c:pt>
                <c:pt idx="6">
                  <c:v>4.4174799999999994</c:v>
                </c:pt>
                <c:pt idx="7">
                  <c:v>4.3677700000000002</c:v>
                </c:pt>
                <c:pt idx="8">
                  <c:v>4.3167600000000004</c:v>
                </c:pt>
                <c:pt idx="9">
                  <c:v>4.2672400000000001</c:v>
                </c:pt>
                <c:pt idx="10">
                  <c:v>4.2183900000000003</c:v>
                </c:pt>
                <c:pt idx="11">
                  <c:v>4.1726400000000003</c:v>
                </c:pt>
                <c:pt idx="12">
                  <c:v>4.1293299999999995</c:v>
                </c:pt>
                <c:pt idx="13">
                  <c:v>4.0875699999999995</c:v>
                </c:pt>
                <c:pt idx="14">
                  <c:v>4.0483099999999999</c:v>
                </c:pt>
                <c:pt idx="15">
                  <c:v>4.0074300000000003</c:v>
                </c:pt>
                <c:pt idx="16">
                  <c:v>3.9651399999999999</c:v>
                </c:pt>
                <c:pt idx="17">
                  <c:v>3.9248499999999997</c:v>
                </c:pt>
                <c:pt idx="18">
                  <c:v>3.8888499999999997</c:v>
                </c:pt>
                <c:pt idx="19">
                  <c:v>3.8552599999999999</c:v>
                </c:pt>
                <c:pt idx="20">
                  <c:v>3.8280199999999995</c:v>
                </c:pt>
                <c:pt idx="21">
                  <c:v>3.8041299999999998</c:v>
                </c:pt>
                <c:pt idx="22">
                  <c:v>3.78477</c:v>
                </c:pt>
                <c:pt idx="23">
                  <c:v>3.7688300000000003</c:v>
                </c:pt>
                <c:pt idx="24">
                  <c:v>3.7530000000000001</c:v>
                </c:pt>
                <c:pt idx="25">
                  <c:v>3.7348399999999997</c:v>
                </c:pt>
                <c:pt idx="26">
                  <c:v>3.71767</c:v>
                </c:pt>
                <c:pt idx="27">
                  <c:v>3.7001900000000001</c:v>
                </c:pt>
                <c:pt idx="28">
                  <c:v>3.6833200000000001</c:v>
                </c:pt>
                <c:pt idx="29">
                  <c:v>3.6739100000000002</c:v>
                </c:pt>
                <c:pt idx="30">
                  <c:v>3.6649900000000004</c:v>
                </c:pt>
                <c:pt idx="31">
                  <c:v>3.6556300000000004</c:v>
                </c:pt>
                <c:pt idx="32">
                  <c:v>3.6460900000000001</c:v>
                </c:pt>
                <c:pt idx="33">
                  <c:v>3.6364099999999997</c:v>
                </c:pt>
                <c:pt idx="34">
                  <c:v>3.6280000000000001</c:v>
                </c:pt>
                <c:pt idx="35">
                  <c:v>3.6226500000000001</c:v>
                </c:pt>
                <c:pt idx="36">
                  <c:v>3.6206100000000001</c:v>
                </c:pt>
                <c:pt idx="37">
                  <c:v>3.6223999999999998</c:v>
                </c:pt>
                <c:pt idx="38">
                  <c:v>3.6252599999999999</c:v>
                </c:pt>
                <c:pt idx="39">
                  <c:v>3.6280200000000002</c:v>
                </c:pt>
                <c:pt idx="40">
                  <c:v>3.6279499999999998</c:v>
                </c:pt>
                <c:pt idx="41">
                  <c:v>3.6270799999999999</c:v>
                </c:pt>
                <c:pt idx="42">
                  <c:v>3.6262600000000003</c:v>
                </c:pt>
                <c:pt idx="43">
                  <c:v>3.6223800000000002</c:v>
                </c:pt>
                <c:pt idx="44">
                  <c:v>3.6143999999999998</c:v>
                </c:pt>
                <c:pt idx="45">
                  <c:v>3.60093</c:v>
                </c:pt>
                <c:pt idx="46">
                  <c:v>3.5870099999999998</c:v>
                </c:pt>
                <c:pt idx="47">
                  <c:v>3.57246</c:v>
                </c:pt>
                <c:pt idx="48">
                  <c:v>3.5638100000000001</c:v>
                </c:pt>
                <c:pt idx="49">
                  <c:v>3.5585</c:v>
                </c:pt>
                <c:pt idx="50">
                  <c:v>3.55416</c:v>
                </c:pt>
                <c:pt idx="51">
                  <c:v>3.5502099999999999</c:v>
                </c:pt>
                <c:pt idx="52">
                  <c:v>3.5477999999999996</c:v>
                </c:pt>
                <c:pt idx="53">
                  <c:v>3.5504899999999999</c:v>
                </c:pt>
                <c:pt idx="54">
                  <c:v>3.5530400000000002</c:v>
                </c:pt>
                <c:pt idx="55">
                  <c:v>3.5559400000000001</c:v>
                </c:pt>
                <c:pt idx="56">
                  <c:v>3.5620400000000001</c:v>
                </c:pt>
                <c:pt idx="57">
                  <c:v>3.5720499999999999</c:v>
                </c:pt>
                <c:pt idx="58">
                  <c:v>3.58561</c:v>
                </c:pt>
                <c:pt idx="59">
                  <c:v>3.59904</c:v>
                </c:pt>
                <c:pt idx="60">
                  <c:v>3.6120000000000001</c:v>
                </c:pt>
                <c:pt idx="61">
                  <c:v>3.6240299999999999</c:v>
                </c:pt>
                <c:pt idx="62">
                  <c:v>3.6368099999999997</c:v>
                </c:pt>
                <c:pt idx="63">
                  <c:v>3.6524800000000002</c:v>
                </c:pt>
                <c:pt idx="64">
                  <c:v>3.6712400000000001</c:v>
                </c:pt>
                <c:pt idx="65">
                  <c:v>3.6949700000000001</c:v>
                </c:pt>
                <c:pt idx="66">
                  <c:v>3.7217899999999999</c:v>
                </c:pt>
                <c:pt idx="67">
                  <c:v>3.7478699999999998</c:v>
                </c:pt>
                <c:pt idx="68">
                  <c:v>3.7735200000000004</c:v>
                </c:pt>
                <c:pt idx="69">
                  <c:v>3.8000299999999996</c:v>
                </c:pt>
                <c:pt idx="70">
                  <c:v>3.8269900000000003</c:v>
                </c:pt>
                <c:pt idx="71">
                  <c:v>3.85284</c:v>
                </c:pt>
                <c:pt idx="72">
                  <c:v>3.8791099999999998</c:v>
                </c:pt>
                <c:pt idx="73">
                  <c:v>3.9018599999999997</c:v>
                </c:pt>
                <c:pt idx="74">
                  <c:v>3.9157199999999999</c:v>
                </c:pt>
                <c:pt idx="75">
                  <c:v>3.9218599999999997</c:v>
                </c:pt>
                <c:pt idx="76">
                  <c:v>3.92821</c:v>
                </c:pt>
                <c:pt idx="77">
                  <c:v>3.93588</c:v>
                </c:pt>
                <c:pt idx="78">
                  <c:v>3.94293</c:v>
                </c:pt>
                <c:pt idx="79">
                  <c:v>3.9506599999999996</c:v>
                </c:pt>
                <c:pt idx="80">
                  <c:v>3.9594200000000002</c:v>
                </c:pt>
                <c:pt idx="81">
                  <c:v>3.9683200000000003</c:v>
                </c:pt>
                <c:pt idx="82">
                  <c:v>3.9775800000000001</c:v>
                </c:pt>
                <c:pt idx="83">
                  <c:v>3.9871099999999999</c:v>
                </c:pt>
                <c:pt idx="84">
                  <c:v>3.9975899999999998</c:v>
                </c:pt>
                <c:pt idx="85">
                  <c:v>4.0104199999999999</c:v>
                </c:pt>
                <c:pt idx="86">
                  <c:v>4.0251799999999998</c:v>
                </c:pt>
                <c:pt idx="87">
                  <c:v>4.0396799999999997</c:v>
                </c:pt>
                <c:pt idx="88">
                  <c:v>4.0530600000000003</c:v>
                </c:pt>
                <c:pt idx="89">
                  <c:v>4.0652100000000004</c:v>
                </c:pt>
                <c:pt idx="90">
                  <c:v>4.0765700000000002</c:v>
                </c:pt>
                <c:pt idx="91">
                  <c:v>4.0866600000000002</c:v>
                </c:pt>
                <c:pt idx="92">
                  <c:v>4.0974399999999997</c:v>
                </c:pt>
                <c:pt idx="93">
                  <c:v>4.1110799999999994</c:v>
                </c:pt>
                <c:pt idx="94">
                  <c:v>4.1248000000000005</c:v>
                </c:pt>
                <c:pt idx="95">
                  <c:v>4.1420200000000005</c:v>
                </c:pt>
                <c:pt idx="96">
                  <c:v>4.1684099999999997</c:v>
                </c:pt>
                <c:pt idx="97">
                  <c:v>4.2019299999999999</c:v>
                </c:pt>
                <c:pt idx="98">
                  <c:v>4.23881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4.6520400000000004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4.6520400000000004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4.6520400000000004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4.6520400000000004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4.6520400000000004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4.6520400000000004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4.6520400000000004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4.6520400000000004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4.6520400000000004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4.6520400000000004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4.6520400000000004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4.6520400000000004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4.6520400000000004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4.6520400000000004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4.6520400000000004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4.6520400000000004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4.6520400000000004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4.6520400000000004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4.6520400000000004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4.6520400000000004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4.6520400000000004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4.6520400000000004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4.6520400000000004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4.6520400000000004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0.38801000000000002</c:v>
                </c:pt>
                <c:pt idx="2">
                  <c:v>0.78337699999999999</c:v>
                </c:pt>
                <c:pt idx="3">
                  <c:v>1.1882900000000001</c:v>
                </c:pt>
                <c:pt idx="4">
                  <c:v>1.5953299999999999</c:v>
                </c:pt>
                <c:pt idx="5">
                  <c:v>1.9964500000000001</c:v>
                </c:pt>
                <c:pt idx="6">
                  <c:v>2.4024100000000002</c:v>
                </c:pt>
                <c:pt idx="7">
                  <c:v>2.8134600000000001</c:v>
                </c:pt>
                <c:pt idx="8">
                  <c:v>3.2161499999999998</c:v>
                </c:pt>
                <c:pt idx="9">
                  <c:v>3.62466</c:v>
                </c:pt>
                <c:pt idx="10">
                  <c:v>4.0374400000000001</c:v>
                </c:pt>
                <c:pt idx="11">
                  <c:v>4.4357800000000003</c:v>
                </c:pt>
                <c:pt idx="12">
                  <c:v>4.8400400000000001</c:v>
                </c:pt>
                <c:pt idx="13">
                  <c:v>5.2556700000000003</c:v>
                </c:pt>
                <c:pt idx="14">
                  <c:v>5.6659100000000002</c:v>
                </c:pt>
                <c:pt idx="15">
                  <c:v>6.0683299999999996</c:v>
                </c:pt>
                <c:pt idx="16">
                  <c:v>6.4804000000000004</c:v>
                </c:pt>
                <c:pt idx="17">
                  <c:v>6.8857100000000004</c:v>
                </c:pt>
                <c:pt idx="18">
                  <c:v>7.2850299999999999</c:v>
                </c:pt>
                <c:pt idx="19">
                  <c:v>7.6910100000000003</c:v>
                </c:pt>
                <c:pt idx="20">
                  <c:v>8.1021199999999993</c:v>
                </c:pt>
                <c:pt idx="21">
                  <c:v>8.5036400000000008</c:v>
                </c:pt>
                <c:pt idx="22">
                  <c:v>8.9102300000000003</c:v>
                </c:pt>
                <c:pt idx="23">
                  <c:v>9.3094300000000008</c:v>
                </c:pt>
                <c:pt idx="24">
                  <c:v>9.7168200000000002</c:v>
                </c:pt>
                <c:pt idx="25">
                  <c:v>10.1235</c:v>
                </c:pt>
                <c:pt idx="26">
                  <c:v>10.5351</c:v>
                </c:pt>
                <c:pt idx="27">
                  <c:v>10.9391</c:v>
                </c:pt>
                <c:pt idx="28">
                  <c:v>11.336499999999999</c:v>
                </c:pt>
                <c:pt idx="29">
                  <c:v>11.757400000000001</c:v>
                </c:pt>
                <c:pt idx="30">
                  <c:v>12.1556</c:v>
                </c:pt>
                <c:pt idx="31">
                  <c:v>12.5589</c:v>
                </c:pt>
                <c:pt idx="32">
                  <c:v>12.9656</c:v>
                </c:pt>
                <c:pt idx="33">
                  <c:v>13.3767</c:v>
                </c:pt>
                <c:pt idx="34">
                  <c:v>13.7849</c:v>
                </c:pt>
                <c:pt idx="35">
                  <c:v>14.1875</c:v>
                </c:pt>
                <c:pt idx="36">
                  <c:v>14.587400000000001</c:v>
                </c:pt>
                <c:pt idx="37">
                  <c:v>15.0023</c:v>
                </c:pt>
                <c:pt idx="38">
                  <c:v>15.401999999999999</c:v>
                </c:pt>
                <c:pt idx="39">
                  <c:v>15.8179</c:v>
                </c:pt>
                <c:pt idx="40">
                  <c:v>16.212800000000001</c:v>
                </c:pt>
                <c:pt idx="41">
                  <c:v>16.627800000000001</c:v>
                </c:pt>
                <c:pt idx="42">
                  <c:v>17.038399999999999</c:v>
                </c:pt>
                <c:pt idx="43">
                  <c:v>17.451000000000001</c:v>
                </c:pt>
                <c:pt idx="44">
                  <c:v>17.855899999999998</c:v>
                </c:pt>
                <c:pt idx="45">
                  <c:v>18.25</c:v>
                </c:pt>
                <c:pt idx="46">
                  <c:v>18.659500000000001</c:v>
                </c:pt>
                <c:pt idx="47">
                  <c:v>19.063800000000001</c:v>
                </c:pt>
                <c:pt idx="48">
                  <c:v>19.471800000000002</c:v>
                </c:pt>
                <c:pt idx="49">
                  <c:v>19.869499999999999</c:v>
                </c:pt>
                <c:pt idx="50">
                  <c:v>20.2776</c:v>
                </c:pt>
                <c:pt idx="51">
                  <c:v>20.680800000000001</c:v>
                </c:pt>
                <c:pt idx="52">
                  <c:v>21.092300000000002</c:v>
                </c:pt>
                <c:pt idx="53">
                  <c:v>21.497599999999998</c:v>
                </c:pt>
                <c:pt idx="54">
                  <c:v>21.906300000000002</c:v>
                </c:pt>
                <c:pt idx="55">
                  <c:v>22.316099999999999</c:v>
                </c:pt>
                <c:pt idx="56">
                  <c:v>22.7226</c:v>
                </c:pt>
                <c:pt idx="57">
                  <c:v>23.1251</c:v>
                </c:pt>
                <c:pt idx="58">
                  <c:v>23.5321</c:v>
                </c:pt>
                <c:pt idx="59">
                  <c:v>23.947700000000001</c:v>
                </c:pt>
                <c:pt idx="60">
                  <c:v>24.361699999999999</c:v>
                </c:pt>
                <c:pt idx="61">
                  <c:v>24.748200000000001</c:v>
                </c:pt>
                <c:pt idx="62">
                  <c:v>25.149100000000001</c:v>
                </c:pt>
                <c:pt idx="63">
                  <c:v>25.560700000000001</c:v>
                </c:pt>
                <c:pt idx="64">
                  <c:v>25.962599999999998</c:v>
                </c:pt>
                <c:pt idx="65">
                  <c:v>26.371700000000001</c:v>
                </c:pt>
                <c:pt idx="66">
                  <c:v>26.782900000000001</c:v>
                </c:pt>
                <c:pt idx="67">
                  <c:v>27.191299999999998</c:v>
                </c:pt>
                <c:pt idx="68">
                  <c:v>27.595600000000001</c:v>
                </c:pt>
                <c:pt idx="69">
                  <c:v>28.0032</c:v>
                </c:pt>
                <c:pt idx="70">
                  <c:v>28.419699999999999</c:v>
                </c:pt>
                <c:pt idx="71">
                  <c:v>28.8171</c:v>
                </c:pt>
                <c:pt idx="72">
                  <c:v>29.2256</c:v>
                </c:pt>
                <c:pt idx="73">
                  <c:v>29.6267</c:v>
                </c:pt>
                <c:pt idx="74">
                  <c:v>30.026599999999998</c:v>
                </c:pt>
                <c:pt idx="75">
                  <c:v>30.444199999999999</c:v>
                </c:pt>
                <c:pt idx="76">
                  <c:v>30.8415</c:v>
                </c:pt>
                <c:pt idx="77">
                  <c:v>31.251899999999999</c:v>
                </c:pt>
                <c:pt idx="78">
                  <c:v>31.659199999999998</c:v>
                </c:pt>
                <c:pt idx="79">
                  <c:v>32.061300000000003</c:v>
                </c:pt>
                <c:pt idx="80">
                  <c:v>32.478299999999997</c:v>
                </c:pt>
                <c:pt idx="81">
                  <c:v>32.876800000000003</c:v>
                </c:pt>
                <c:pt idx="82">
                  <c:v>33.279499999999999</c:v>
                </c:pt>
                <c:pt idx="83">
                  <c:v>33.6873</c:v>
                </c:pt>
                <c:pt idx="84">
                  <c:v>34.098300000000002</c:v>
                </c:pt>
                <c:pt idx="85">
                  <c:v>34.504800000000003</c:v>
                </c:pt>
                <c:pt idx="86">
                  <c:v>34.906799999999997</c:v>
                </c:pt>
                <c:pt idx="87">
                  <c:v>35.314799999999998</c:v>
                </c:pt>
                <c:pt idx="88">
                  <c:v>35.727600000000002</c:v>
                </c:pt>
                <c:pt idx="89">
                  <c:v>36.137500000000003</c:v>
                </c:pt>
                <c:pt idx="90">
                  <c:v>36.5456</c:v>
                </c:pt>
                <c:pt idx="91">
                  <c:v>36.9497</c:v>
                </c:pt>
                <c:pt idx="92">
                  <c:v>37.358899999999998</c:v>
                </c:pt>
                <c:pt idx="93">
                  <c:v>37.765300000000003</c:v>
                </c:pt>
                <c:pt idx="94">
                  <c:v>38.163600000000002</c:v>
                </c:pt>
                <c:pt idx="95">
                  <c:v>38.559199999999997</c:v>
                </c:pt>
                <c:pt idx="96">
                  <c:v>38.970500000000001</c:v>
                </c:pt>
                <c:pt idx="97">
                  <c:v>39.3735</c:v>
                </c:pt>
                <c:pt idx="98">
                  <c:v>39.779000000000003</c:v>
                </c:pt>
              </c:numCache>
            </c:numRef>
          </c:xVal>
          <c:yVal>
            <c:numRef>
              <c:f>[0]!FT_PH</c:f>
              <c:numCache>
                <c:formatCode>0.00</c:formatCode>
                <c:ptCount val="99"/>
                <c:pt idx="0">
                  <c:v>32.631900000000002</c:v>
                </c:pt>
                <c:pt idx="1">
                  <c:v>32.601999999999997</c:v>
                </c:pt>
                <c:pt idx="2">
                  <c:v>32.561499999999995</c:v>
                </c:pt>
                <c:pt idx="3">
                  <c:v>32.5105</c:v>
                </c:pt>
                <c:pt idx="4">
                  <c:v>32.359400000000001</c:v>
                </c:pt>
                <c:pt idx="5">
                  <c:v>32.305</c:v>
                </c:pt>
                <c:pt idx="6">
                  <c:v>32.120699999999999</c:v>
                </c:pt>
                <c:pt idx="7">
                  <c:v>31.916899999999998</c:v>
                </c:pt>
                <c:pt idx="8">
                  <c:v>31.790299999999998</c:v>
                </c:pt>
                <c:pt idx="9">
                  <c:v>31.640699999999999</c:v>
                </c:pt>
                <c:pt idx="10">
                  <c:v>31.357099999999999</c:v>
                </c:pt>
                <c:pt idx="11">
                  <c:v>30.915500000000002</c:v>
                </c:pt>
                <c:pt idx="12">
                  <c:v>30.349700000000002</c:v>
                </c:pt>
                <c:pt idx="13">
                  <c:v>29.792000000000002</c:v>
                </c:pt>
                <c:pt idx="14">
                  <c:v>29.252899999999997</c:v>
                </c:pt>
                <c:pt idx="15">
                  <c:v>28.815400000000004</c:v>
                </c:pt>
                <c:pt idx="16">
                  <c:v>28.416400000000003</c:v>
                </c:pt>
                <c:pt idx="17">
                  <c:v>28.049700000000001</c:v>
                </c:pt>
                <c:pt idx="18">
                  <c:v>27.730900000000002</c:v>
                </c:pt>
                <c:pt idx="19">
                  <c:v>27.5213</c:v>
                </c:pt>
                <c:pt idx="20">
                  <c:v>27.3706</c:v>
                </c:pt>
                <c:pt idx="21">
                  <c:v>27.1965</c:v>
                </c:pt>
                <c:pt idx="22">
                  <c:v>26.974500000000003</c:v>
                </c:pt>
                <c:pt idx="23">
                  <c:v>26.679799999999997</c:v>
                </c:pt>
                <c:pt idx="24">
                  <c:v>26.438299999999998</c:v>
                </c:pt>
                <c:pt idx="25">
                  <c:v>26.3324</c:v>
                </c:pt>
                <c:pt idx="26">
                  <c:v>26.268000000000001</c:v>
                </c:pt>
                <c:pt idx="27">
                  <c:v>26.3401</c:v>
                </c:pt>
                <c:pt idx="28">
                  <c:v>26.468499999999999</c:v>
                </c:pt>
                <c:pt idx="29">
                  <c:v>26.498200000000001</c:v>
                </c:pt>
                <c:pt idx="30">
                  <c:v>26.527699999999999</c:v>
                </c:pt>
                <c:pt idx="31">
                  <c:v>26.612200000000001</c:v>
                </c:pt>
                <c:pt idx="32">
                  <c:v>26.723999999999997</c:v>
                </c:pt>
                <c:pt idx="33">
                  <c:v>26.856999999999999</c:v>
                </c:pt>
                <c:pt idx="34">
                  <c:v>26.978899999999999</c:v>
                </c:pt>
                <c:pt idx="35">
                  <c:v>27.114599999999999</c:v>
                </c:pt>
                <c:pt idx="36">
                  <c:v>27.2561</c:v>
                </c:pt>
                <c:pt idx="37">
                  <c:v>27.404199999999999</c:v>
                </c:pt>
                <c:pt idx="38">
                  <c:v>27.569900000000004</c:v>
                </c:pt>
                <c:pt idx="39">
                  <c:v>27.751999999999999</c:v>
                </c:pt>
                <c:pt idx="40">
                  <c:v>27.960899999999999</c:v>
                </c:pt>
                <c:pt idx="41">
                  <c:v>28.189399999999999</c:v>
                </c:pt>
                <c:pt idx="42">
                  <c:v>28.439999999999998</c:v>
                </c:pt>
                <c:pt idx="43">
                  <c:v>28.719799999999999</c:v>
                </c:pt>
                <c:pt idx="44">
                  <c:v>29.052</c:v>
                </c:pt>
                <c:pt idx="45">
                  <c:v>29.433399999999999</c:v>
                </c:pt>
                <c:pt idx="46">
                  <c:v>29.854900000000001</c:v>
                </c:pt>
                <c:pt idx="47">
                  <c:v>30.360300000000002</c:v>
                </c:pt>
                <c:pt idx="48">
                  <c:v>30.916</c:v>
                </c:pt>
                <c:pt idx="49">
                  <c:v>31.446300000000001</c:v>
                </c:pt>
                <c:pt idx="50">
                  <c:v>31.882400000000001</c:v>
                </c:pt>
                <c:pt idx="51">
                  <c:v>32.244</c:v>
                </c:pt>
                <c:pt idx="52">
                  <c:v>32.460599999999999</c:v>
                </c:pt>
                <c:pt idx="53">
                  <c:v>32.511000000000003</c:v>
                </c:pt>
                <c:pt idx="54">
                  <c:v>32.610399999999998</c:v>
                </c:pt>
                <c:pt idx="55">
                  <c:v>32.724699999999999</c:v>
                </c:pt>
                <c:pt idx="56">
                  <c:v>32.808500000000002</c:v>
                </c:pt>
                <c:pt idx="57">
                  <c:v>32.967200000000005</c:v>
                </c:pt>
                <c:pt idx="58">
                  <c:v>33.072499999999998</c:v>
                </c:pt>
                <c:pt idx="59">
                  <c:v>33.299299999999995</c:v>
                </c:pt>
                <c:pt idx="60">
                  <c:v>33.486800000000002</c:v>
                </c:pt>
                <c:pt idx="61">
                  <c:v>33.7744</c:v>
                </c:pt>
                <c:pt idx="62">
                  <c:v>34.098700000000001</c:v>
                </c:pt>
                <c:pt idx="63">
                  <c:v>34.3294</c:v>
                </c:pt>
                <c:pt idx="64">
                  <c:v>34.540399999999998</c:v>
                </c:pt>
                <c:pt idx="65">
                  <c:v>34.767299999999999</c:v>
                </c:pt>
                <c:pt idx="66">
                  <c:v>35.026600000000002</c:v>
                </c:pt>
                <c:pt idx="67">
                  <c:v>35.322600000000001</c:v>
                </c:pt>
                <c:pt idx="68">
                  <c:v>35.642400000000002</c:v>
                </c:pt>
                <c:pt idx="69">
                  <c:v>35.927599999999998</c:v>
                </c:pt>
                <c:pt idx="70">
                  <c:v>36.206400000000002</c:v>
                </c:pt>
                <c:pt idx="71">
                  <c:v>36.459899999999998</c:v>
                </c:pt>
                <c:pt idx="72">
                  <c:v>36.675600000000003</c:v>
                </c:pt>
                <c:pt idx="73">
                  <c:v>36.773699999999998</c:v>
                </c:pt>
                <c:pt idx="74">
                  <c:v>36.813200000000002</c:v>
                </c:pt>
                <c:pt idx="75">
                  <c:v>36.932200000000002</c:v>
                </c:pt>
                <c:pt idx="76">
                  <c:v>37.106499999999997</c:v>
                </c:pt>
                <c:pt idx="77">
                  <c:v>37.323099999999997</c:v>
                </c:pt>
                <c:pt idx="78">
                  <c:v>37.577399999999997</c:v>
                </c:pt>
                <c:pt idx="79">
                  <c:v>37.816899999999997</c:v>
                </c:pt>
                <c:pt idx="80">
                  <c:v>38.061499999999995</c:v>
                </c:pt>
                <c:pt idx="81">
                  <c:v>38.295200000000001</c:v>
                </c:pt>
                <c:pt idx="82">
                  <c:v>38.465700000000005</c:v>
                </c:pt>
                <c:pt idx="83">
                  <c:v>38.6569</c:v>
                </c:pt>
                <c:pt idx="84">
                  <c:v>38.795699999999997</c:v>
                </c:pt>
                <c:pt idx="85">
                  <c:v>38.976799999999997</c:v>
                </c:pt>
                <c:pt idx="86">
                  <c:v>39.094200000000001</c:v>
                </c:pt>
                <c:pt idx="87">
                  <c:v>39.172899999999998</c:v>
                </c:pt>
                <c:pt idx="88">
                  <c:v>39.2879</c:v>
                </c:pt>
                <c:pt idx="89">
                  <c:v>39.396999999999998</c:v>
                </c:pt>
                <c:pt idx="90">
                  <c:v>39.460299999999997</c:v>
                </c:pt>
                <c:pt idx="91">
                  <c:v>39.467799999999997</c:v>
                </c:pt>
                <c:pt idx="92">
                  <c:v>39.401899999999998</c:v>
                </c:pt>
                <c:pt idx="93">
                  <c:v>39.286900000000003</c:v>
                </c:pt>
                <c:pt idx="94">
                  <c:v>39.1843</c:v>
                </c:pt>
                <c:pt idx="95">
                  <c:v>39.0505</c:v>
                </c:pt>
                <c:pt idx="96">
                  <c:v>38.850200000000001</c:v>
                </c:pt>
                <c:pt idx="97">
                  <c:v>38.5214</c:v>
                </c:pt>
                <c:pt idx="98">
                  <c:v>38.122599999999998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32.631900000000002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32.631900000000002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32.631900000000002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32.631900000000002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32.631900000000002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32.631900000000002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32.631900000000002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32.631900000000002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32.631900000000002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32.631900000000002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32.631900000000002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32.631900000000002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32.631900000000002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32.631900000000002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32.631900000000002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32.631900000000002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32.631900000000002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32.631900000000002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32.631900000000002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32.631900000000002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32.631900000000002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32.631900000000002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32.631900000000002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32.631900000000002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32.93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-1.4416199431071599</c:v>
                </c:pt>
                <c:pt idx="1">
                  <c:v>-1.4416199431071599</c:v>
                </c:pt>
                <c:pt idx="2">
                  <c:v>-7</c:v>
                </c:pt>
              </c:numCache>
            </c:numRef>
          </c:xVal>
          <c:yVal>
            <c:numRef>
              <c:f>'R'!$I$5:$I$7</c:f>
              <c:numCache>
                <c:formatCode>0.0_ </c:formatCode>
                <c:ptCount val="3"/>
                <c:pt idx="0">
                  <c:v>0</c:v>
                </c:pt>
                <c:pt idx="1">
                  <c:v>32.925350154541491</c:v>
                </c:pt>
                <c:pt idx="2">
                  <c:v>32.925350154541491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-1.4416199431071599</c:v>
                </c:pt>
              </c:numCache>
            </c:numRef>
          </c:xVal>
          <c:yVal>
            <c:numRef>
              <c:f>'R'!$I$4</c:f>
              <c:numCache>
                <c:formatCode>0.00_ </c:formatCode>
                <c:ptCount val="1"/>
                <c:pt idx="0">
                  <c:v>32.925350154541491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28.401699999999998</c:v>
                </c:pt>
                <c:pt idx="1">
                  <c:v>28.401699999999998</c:v>
                </c:pt>
                <c:pt idx="2">
                  <c:v>0</c:v>
                </c:pt>
              </c:numCache>
            </c:numRef>
          </c:xVal>
          <c:yVal>
            <c:numRef>
              <c:f>'R2'!$I$5:$I$7</c:f>
              <c:numCache>
                <c:formatCode>0.0_ </c:formatCode>
                <c:ptCount val="3"/>
                <c:pt idx="0">
                  <c:v>0</c:v>
                </c:pt>
                <c:pt idx="1">
                  <c:v>16.530239808456081</c:v>
                </c:pt>
                <c:pt idx="2">
                  <c:v>16.530239808456081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1.87862</c:v>
                </c:pt>
                <c:pt idx="1">
                  <c:v>1.87862</c:v>
                </c:pt>
                <c:pt idx="2">
                  <c:v>0</c:v>
                </c:pt>
              </c:numCache>
            </c:numRef>
          </c:xVal>
          <c:yVal>
            <c:numRef>
              <c:f>'R3'!$I$6:$I$8</c:f>
              <c:numCache>
                <c:formatCode>0.0_ </c:formatCode>
                <c:ptCount val="3"/>
                <c:pt idx="0">
                  <c:v>0</c:v>
                </c:pt>
                <c:pt idx="1">
                  <c:v>48.803760594727144</c:v>
                </c:pt>
                <c:pt idx="2">
                  <c:v>48.803760594727144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1.87862</c:v>
                </c:pt>
                <c:pt idx="1">
                  <c:v>1.87862</c:v>
                </c:pt>
                <c:pt idx="2">
                  <c:v>0</c:v>
                </c:pt>
              </c:numCache>
            </c:numRef>
          </c:xVal>
          <c:yVal>
            <c:numRef>
              <c:f>'R4'!$I$5:$I$7</c:f>
              <c:numCache>
                <c:formatCode>0.0_ </c:formatCode>
                <c:ptCount val="3"/>
                <c:pt idx="0">
                  <c:v>0</c:v>
                </c:pt>
                <c:pt idx="1">
                  <c:v>6.314580795889041E-2</c:v>
                </c:pt>
                <c:pt idx="2">
                  <c:v>6.314580795889041E-2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0.53032710326448917</c:v>
                </c:pt>
                <c:pt idx="1">
                  <c:v>0.2911834860000484</c:v>
                </c:pt>
                <c:pt idx="2">
                  <c:v>0.17848941073546243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0.1947195106052069</c:v>
                </c:pt>
                <c:pt idx="1">
                  <c:v>0.54869289251539843</c:v>
                </c:pt>
                <c:pt idx="2">
                  <c:v>0.25658759687939459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48.8)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64.599734651068019</c:v>
                      </c:pt>
                    </c:numCache>
                  </c:numRef>
                </c:xVal>
                <c:yVal>
                  <c:numRef>
                    <c:extLst>
                      <c:ext uri="{02D57815-91ED-43cb-92C2-25804820EDAC}">
                        <c15:formulaRef>
                          <c15:sqref>info!$W$20:$W$21</c15:sqref>
                        </c15:formulaRef>
                      </c:ext>
                    </c:extLst>
                    <c:numCache>
                      <c:formatCode>General</c:formatCode>
                      <c:ptCount val="2"/>
                      <c:pt idx="0">
                        <c:v>50</c:v>
                      </c:pt>
                      <c:pt idx="1">
                        <c:v>48.803760594727144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(40.8 , 51.5)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40.771599999999999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48.461799999999997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geUC%5e1%5e6%5e\2025-07-16%2013_42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geUC%5e1%5e6%5e\2025-07-16%2013_42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33A7453-B2D6-929B-E449-83D0B74F216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144156B-6440-A8A2-928D-6C2E8D4513D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45854.571585648147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geUC</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45854.571585648147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geUC</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-1.4416199431071599</v>
      </c>
      <c r="I20" s="862"/>
      <c r="J20" s="311" t="str">
        <f>lang!B174</f>
        <v>정보량</v>
      </c>
      <c r="K20" s="236">
        <f ca="1">info!N9</f>
        <v>32.617249494949498</v>
      </c>
      <c r="L20" s="312" t="str">
        <f>lang!B175</f>
        <v>에너지</v>
      </c>
      <c r="M20" s="863">
        <f ca="1">info!M9</f>
        <v>3.8769475757575758</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37.249299999999998</v>
      </c>
      <c r="N32" s="816"/>
      <c r="O32" s="817">
        <f>Measurement!N7</f>
        <v>46.3476</v>
      </c>
      <c r="P32" s="818"/>
      <c r="Q32" s="819">
        <f>Measurement!T7</f>
        <v>57.249099999999999</v>
      </c>
      <c r="R32" s="820"/>
    </row>
    <row r="33" spans="3:18" ht="12.75" customHeight="1">
      <c r="C33" s="77"/>
      <c r="I33" s="502">
        <f>Measurement!L8</f>
        <v>3</v>
      </c>
      <c r="J33" s="139" t="str">
        <f>lang!B15</f>
        <v>스트레스</v>
      </c>
      <c r="K33" s="90" t="s">
        <v>226</v>
      </c>
      <c r="L33" s="504" t="str">
        <f>Measurement!Y8</f>
        <v>보통</v>
      </c>
      <c r="M33" s="792">
        <f>Measurement!R8</f>
        <v>15.601699999999999</v>
      </c>
      <c r="N33" s="793"/>
      <c r="O33" s="806">
        <f>Measurement!N8</f>
        <v>30.4603</v>
      </c>
      <c r="P33" s="807"/>
      <c r="Q33" s="792">
        <f>Measurement!T8</f>
        <v>34.869700000000002</v>
      </c>
      <c r="R33" s="808"/>
    </row>
    <row r="34" spans="3:18" ht="12.75" customHeight="1">
      <c r="C34" s="77"/>
      <c r="I34" s="502">
        <f>Measurement!L9</f>
        <v>3</v>
      </c>
      <c r="J34" s="139" t="str">
        <f>lang!B16</f>
        <v>불안</v>
      </c>
      <c r="K34" s="90" t="s">
        <v>227</v>
      </c>
      <c r="L34" s="504" t="str">
        <f>Measurement!Y9</f>
        <v>보통</v>
      </c>
      <c r="M34" s="792">
        <f>Measurement!R9</f>
        <v>4.5808600000000004</v>
      </c>
      <c r="N34" s="793"/>
      <c r="O34" s="806">
        <f>Measurement!N9</f>
        <v>20.383199999999999</v>
      </c>
      <c r="P34" s="807"/>
      <c r="Q34" s="792">
        <f>Measurement!T9</f>
        <v>57.772199999999998</v>
      </c>
      <c r="R34" s="808"/>
    </row>
    <row r="35" spans="3:18" ht="12.75" customHeight="1">
      <c r="C35" s="77"/>
      <c r="I35" s="502">
        <f>Measurement!L10</f>
        <v>3</v>
      </c>
      <c r="J35" s="139" t="str">
        <f>lang!B17</f>
        <v>의심</v>
      </c>
      <c r="K35" s="90" t="s">
        <v>225</v>
      </c>
      <c r="L35" s="504" t="str">
        <f>Measurement!Y10</f>
        <v>보통</v>
      </c>
      <c r="M35" s="792">
        <f>Measurement!R10</f>
        <v>24.6401</v>
      </c>
      <c r="N35" s="793"/>
      <c r="O35" s="806">
        <f>Measurement!N10</f>
        <v>32.747900000000001</v>
      </c>
      <c r="P35" s="807"/>
      <c r="Q35" s="792">
        <f>Measurement!T10</f>
        <v>42.049900000000001</v>
      </c>
      <c r="R35" s="808"/>
    </row>
    <row r="36" spans="3:18" ht="12.75" customHeight="1">
      <c r="C36" s="77"/>
      <c r="I36" s="502">
        <f>Measurement!L11</f>
        <v>4</v>
      </c>
      <c r="J36" s="139" t="str">
        <f>lang!B18</f>
        <v>밸런스</v>
      </c>
      <c r="K36" s="90" t="s">
        <v>2171</v>
      </c>
      <c r="L36" s="504" t="str">
        <f>Measurement!Y11</f>
        <v>높음</v>
      </c>
      <c r="M36" s="792">
        <f>Measurement!R11</f>
        <v>64.222700000000003</v>
      </c>
      <c r="N36" s="793"/>
      <c r="O36" s="806">
        <f>Measurement!N11</f>
        <v>70.2714</v>
      </c>
      <c r="P36" s="807"/>
      <c r="Q36" s="792">
        <f>Measurement!T11</f>
        <v>77.186999999999998</v>
      </c>
      <c r="R36" s="808"/>
    </row>
    <row r="37" spans="3:18" ht="12.75" customHeight="1">
      <c r="C37" s="77"/>
      <c r="I37" s="502">
        <f>Measurement!L12</f>
        <v>3</v>
      </c>
      <c r="J37" s="139" t="str">
        <f>lang!B19</f>
        <v>카리스마</v>
      </c>
      <c r="K37" s="90" t="s">
        <v>229</v>
      </c>
      <c r="L37" s="504" t="str">
        <f>Measurement!Y12</f>
        <v>보통</v>
      </c>
      <c r="M37" s="792">
        <f>Measurement!R12</f>
        <v>64.132999999999996</v>
      </c>
      <c r="N37" s="793"/>
      <c r="O37" s="806">
        <f>Measurement!N12</f>
        <v>71.355999999999995</v>
      </c>
      <c r="P37" s="807"/>
      <c r="Q37" s="792">
        <f>Measurement!T12</f>
        <v>88.729500000000002</v>
      </c>
      <c r="R37" s="808"/>
    </row>
    <row r="38" spans="3:18" ht="12.75" customHeight="1">
      <c r="C38" s="77"/>
      <c r="I38" s="502">
        <f>Measurement!L13</f>
        <v>3</v>
      </c>
      <c r="J38" s="139" t="str">
        <f>lang!B20</f>
        <v>에너지</v>
      </c>
      <c r="K38" s="90" t="s">
        <v>2170</v>
      </c>
      <c r="L38" s="504" t="str">
        <f>Measurement!Y13</f>
        <v>보통</v>
      </c>
      <c r="M38" s="792">
        <f>Measurement!R13</f>
        <v>20.206299999999999</v>
      </c>
      <c r="N38" s="793"/>
      <c r="O38" s="806">
        <f>Measurement!N13</f>
        <v>23.684999999999999</v>
      </c>
      <c r="P38" s="807"/>
      <c r="Q38" s="792">
        <f>Measurement!T13</f>
        <v>36.389000000000003</v>
      </c>
      <c r="R38" s="808"/>
    </row>
    <row r="39" spans="3:18" ht="12.75" customHeight="1">
      <c r="C39" s="77"/>
      <c r="I39" s="502">
        <f>Measurement!L14</f>
        <v>3</v>
      </c>
      <c r="J39" s="139" t="str">
        <f>lang!B21</f>
        <v>자기조절</v>
      </c>
      <c r="K39" s="90" t="s">
        <v>230</v>
      </c>
      <c r="L39" s="504" t="str">
        <f>Measurement!Y14</f>
        <v>보통</v>
      </c>
      <c r="M39" s="792">
        <f>Measurement!R14</f>
        <v>64.611099999999993</v>
      </c>
      <c r="N39" s="793"/>
      <c r="O39" s="806">
        <f>Measurement!N14</f>
        <v>71.343100000000007</v>
      </c>
      <c r="P39" s="807"/>
      <c r="Q39" s="792">
        <f>Measurement!T14</f>
        <v>82.323899999999995</v>
      </c>
      <c r="R39" s="808"/>
    </row>
    <row r="40" spans="3:18" ht="12.75" customHeight="1">
      <c r="C40" s="77"/>
      <c r="I40" s="502">
        <f>Measurement!L15</f>
        <v>4</v>
      </c>
      <c r="J40" s="139" t="str">
        <f>lang!B22</f>
        <v>억제</v>
      </c>
      <c r="K40" s="91" t="s">
        <v>248</v>
      </c>
      <c r="L40" s="504" t="str">
        <f>Measurement!Y15</f>
        <v>높음</v>
      </c>
      <c r="M40" s="792">
        <f>Measurement!R15</f>
        <v>14.0036</v>
      </c>
      <c r="N40" s="793"/>
      <c r="O40" s="806">
        <f>Measurement!N15</f>
        <v>27.146899999999999</v>
      </c>
      <c r="P40" s="807"/>
      <c r="Q40" s="792">
        <f>Measurement!T15</f>
        <v>39.863799999999998</v>
      </c>
      <c r="R40" s="808"/>
    </row>
    <row r="41" spans="3:18" ht="12.75" customHeight="1" thickBot="1">
      <c r="C41" s="77"/>
      <c r="I41" s="502">
        <f>Measurement!L16</f>
        <v>5</v>
      </c>
      <c r="J41" s="140" t="str">
        <f>lang!B23</f>
        <v>신경성</v>
      </c>
      <c r="K41" s="92" t="s">
        <v>231</v>
      </c>
      <c r="L41" s="504" t="str">
        <f>Measurement!Y16</f>
        <v>매우 높음</v>
      </c>
      <c r="M41" s="794">
        <f>Measurement!R16</f>
        <v>0.24649499999999999</v>
      </c>
      <c r="N41" s="795"/>
      <c r="O41" s="796">
        <f>Measurement!N16</f>
        <v>52.503</v>
      </c>
      <c r="P41" s="797"/>
      <c r="Q41" s="794">
        <f>Measurement!T16</f>
        <v>69.540599999999998</v>
      </c>
      <c r="R41" s="798"/>
    </row>
    <row r="42" spans="3:18" ht="29.25" customHeight="1" thickBot="1">
      <c r="C42" s="77"/>
      <c r="I42" s="84"/>
      <c r="J42" s="780" t="str">
        <f>lang!B215</f>
        <v>감정변이도</v>
      </c>
      <c r="K42" s="781"/>
      <c r="L42" s="319" t="str">
        <f>info!V43</f>
        <v>보통</v>
      </c>
      <c r="M42" s="782">
        <f>info!W43</f>
        <v>22.2822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1.87862</v>
      </c>
      <c r="E44" s="249" t="s">
        <v>1072</v>
      </c>
      <c r="G44" s="289"/>
      <c r="H44" s="289"/>
      <c r="I44" s="290"/>
      <c r="J44" s="802">
        <f>info!$W$36</f>
        <v>28.401699999999998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45854.571585648147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geUC</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-1.4416199431071599</v>
      </c>
      <c r="I20" s="862"/>
      <c r="J20" s="311" t="str">
        <f>lang!B174</f>
        <v>정보량</v>
      </c>
      <c r="K20" s="236">
        <f ca="1">info!N9</f>
        <v>32.617249494949498</v>
      </c>
      <c r="L20" s="312" t="str">
        <f>lang!B175</f>
        <v>에너지</v>
      </c>
      <c r="M20" s="863">
        <f ca="1">info!M9</f>
        <v>3.8769475757575758</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37.249299999999998</v>
      </c>
      <c r="N32" s="816"/>
      <c r="O32" s="817">
        <f>Measurement!N7</f>
        <v>46.3476</v>
      </c>
      <c r="P32" s="818"/>
      <c r="Q32" s="819">
        <f>Measurement!T7</f>
        <v>57.249099999999999</v>
      </c>
      <c r="R32" s="820"/>
    </row>
    <row r="33" spans="3:18" ht="12.75" customHeight="1">
      <c r="C33" s="77"/>
      <c r="I33" s="502">
        <f>Measurement!L8</f>
        <v>3</v>
      </c>
      <c r="J33" s="139" t="str">
        <f>lang!B15</f>
        <v>스트레스</v>
      </c>
      <c r="K33" s="90" t="s">
        <v>226</v>
      </c>
      <c r="L33" s="504" t="str">
        <f>Measurement!Y8</f>
        <v>보통</v>
      </c>
      <c r="M33" s="792">
        <f>Measurement!R8</f>
        <v>15.601699999999999</v>
      </c>
      <c r="N33" s="793"/>
      <c r="O33" s="806">
        <f>Measurement!N8</f>
        <v>30.4603</v>
      </c>
      <c r="P33" s="807"/>
      <c r="Q33" s="792">
        <f>Measurement!T8</f>
        <v>34.869700000000002</v>
      </c>
      <c r="R33" s="808"/>
    </row>
    <row r="34" spans="3:18" ht="12.75" customHeight="1">
      <c r="C34" s="77"/>
      <c r="I34" s="502">
        <f>Measurement!L9</f>
        <v>3</v>
      </c>
      <c r="J34" s="139" t="str">
        <f>lang!B16</f>
        <v>불안</v>
      </c>
      <c r="K34" s="90" t="s">
        <v>227</v>
      </c>
      <c r="L34" s="504" t="str">
        <f>Measurement!Y9</f>
        <v>보통</v>
      </c>
      <c r="M34" s="792">
        <f>Measurement!R9</f>
        <v>4.5808600000000004</v>
      </c>
      <c r="N34" s="793"/>
      <c r="O34" s="806">
        <f>Measurement!N9</f>
        <v>20.383199999999999</v>
      </c>
      <c r="P34" s="807"/>
      <c r="Q34" s="792">
        <f>Measurement!T9</f>
        <v>57.772199999999998</v>
      </c>
      <c r="R34" s="808"/>
    </row>
    <row r="35" spans="3:18" ht="12.75" customHeight="1">
      <c r="C35" s="77"/>
      <c r="I35" s="502">
        <f>Measurement!L10</f>
        <v>3</v>
      </c>
      <c r="J35" s="139" t="str">
        <f>lang!B17</f>
        <v>의심</v>
      </c>
      <c r="K35" s="90" t="s">
        <v>225</v>
      </c>
      <c r="L35" s="504" t="str">
        <f>Measurement!Y10</f>
        <v>보통</v>
      </c>
      <c r="M35" s="792">
        <f>Measurement!R10</f>
        <v>24.6401</v>
      </c>
      <c r="N35" s="793"/>
      <c r="O35" s="806">
        <f>Measurement!N10</f>
        <v>32.747900000000001</v>
      </c>
      <c r="P35" s="807"/>
      <c r="Q35" s="792">
        <f>Measurement!T10</f>
        <v>42.049900000000001</v>
      </c>
      <c r="R35" s="808"/>
    </row>
    <row r="36" spans="3:18" ht="12.75" customHeight="1">
      <c r="C36" s="77"/>
      <c r="I36" s="502">
        <f>Measurement!L11</f>
        <v>4</v>
      </c>
      <c r="J36" s="139" t="str">
        <f>lang!B18</f>
        <v>밸런스</v>
      </c>
      <c r="K36" s="90" t="s">
        <v>2171</v>
      </c>
      <c r="L36" s="504" t="str">
        <f>Measurement!Y11</f>
        <v>높음</v>
      </c>
      <c r="M36" s="792">
        <f>Measurement!R11</f>
        <v>64.222700000000003</v>
      </c>
      <c r="N36" s="793"/>
      <c r="O36" s="806">
        <f>Measurement!N11</f>
        <v>70.2714</v>
      </c>
      <c r="P36" s="807"/>
      <c r="Q36" s="792">
        <f>Measurement!T11</f>
        <v>77.186999999999998</v>
      </c>
      <c r="R36" s="808"/>
    </row>
    <row r="37" spans="3:18" ht="12.75" customHeight="1">
      <c r="C37" s="77"/>
      <c r="I37" s="502">
        <f>Measurement!L12</f>
        <v>3</v>
      </c>
      <c r="J37" s="139" t="str">
        <f>lang!B19</f>
        <v>카리스마</v>
      </c>
      <c r="K37" s="90" t="s">
        <v>229</v>
      </c>
      <c r="L37" s="504" t="str">
        <f>Measurement!Y12</f>
        <v>보통</v>
      </c>
      <c r="M37" s="792">
        <f>Measurement!R12</f>
        <v>64.132999999999996</v>
      </c>
      <c r="N37" s="793"/>
      <c r="O37" s="806">
        <f>Measurement!N12</f>
        <v>71.355999999999995</v>
      </c>
      <c r="P37" s="807"/>
      <c r="Q37" s="792">
        <f>Measurement!T12</f>
        <v>88.729500000000002</v>
      </c>
      <c r="R37" s="808"/>
    </row>
    <row r="38" spans="3:18" ht="12.75" customHeight="1">
      <c r="C38" s="77"/>
      <c r="I38" s="502">
        <f>Measurement!L13</f>
        <v>3</v>
      </c>
      <c r="J38" s="139" t="str">
        <f>lang!B20</f>
        <v>에너지</v>
      </c>
      <c r="K38" s="90" t="s">
        <v>2170</v>
      </c>
      <c r="L38" s="504" t="str">
        <f>Measurement!Y13</f>
        <v>보통</v>
      </c>
      <c r="M38" s="792">
        <f>Measurement!R13</f>
        <v>20.206299999999999</v>
      </c>
      <c r="N38" s="793"/>
      <c r="O38" s="806">
        <f>Measurement!N13</f>
        <v>23.684999999999999</v>
      </c>
      <c r="P38" s="807"/>
      <c r="Q38" s="792">
        <f>Measurement!T13</f>
        <v>36.389000000000003</v>
      </c>
      <c r="R38" s="808"/>
    </row>
    <row r="39" spans="3:18" ht="12.75" customHeight="1">
      <c r="C39" s="77"/>
      <c r="I39" s="502">
        <f>Measurement!L14</f>
        <v>3</v>
      </c>
      <c r="J39" s="139" t="str">
        <f>lang!B21</f>
        <v>자기조절</v>
      </c>
      <c r="K39" s="90" t="s">
        <v>230</v>
      </c>
      <c r="L39" s="504" t="str">
        <f>Measurement!Y14</f>
        <v>보통</v>
      </c>
      <c r="M39" s="792">
        <f>Measurement!R14</f>
        <v>64.611099999999993</v>
      </c>
      <c r="N39" s="793"/>
      <c r="O39" s="806">
        <f>Measurement!N14</f>
        <v>71.343100000000007</v>
      </c>
      <c r="P39" s="807"/>
      <c r="Q39" s="792">
        <f>Measurement!T14</f>
        <v>82.323899999999995</v>
      </c>
      <c r="R39" s="808"/>
    </row>
    <row r="40" spans="3:18" ht="12.75" customHeight="1">
      <c r="C40" s="77"/>
      <c r="I40" s="502">
        <f>Measurement!L15</f>
        <v>4</v>
      </c>
      <c r="J40" s="139" t="str">
        <f>lang!B22</f>
        <v>억제</v>
      </c>
      <c r="K40" s="91" t="s">
        <v>248</v>
      </c>
      <c r="L40" s="504" t="str">
        <f>Measurement!Y15</f>
        <v>높음</v>
      </c>
      <c r="M40" s="792">
        <f>Measurement!R15</f>
        <v>14.0036</v>
      </c>
      <c r="N40" s="793"/>
      <c r="O40" s="806">
        <f>Measurement!N15</f>
        <v>27.146899999999999</v>
      </c>
      <c r="P40" s="807"/>
      <c r="Q40" s="792">
        <f>Measurement!T15</f>
        <v>39.863799999999998</v>
      </c>
      <c r="R40" s="808"/>
    </row>
    <row r="41" spans="3:18" ht="12.75" customHeight="1" thickBot="1">
      <c r="C41" s="77"/>
      <c r="I41" s="502">
        <f>Measurement!L16</f>
        <v>5</v>
      </c>
      <c r="J41" s="140" t="str">
        <f>lang!B23</f>
        <v>신경성</v>
      </c>
      <c r="K41" s="92" t="s">
        <v>231</v>
      </c>
      <c r="L41" s="504" t="str">
        <f>Measurement!Y16</f>
        <v>매우 높음</v>
      </c>
      <c r="M41" s="794">
        <f>Measurement!R16</f>
        <v>0.24649499999999999</v>
      </c>
      <c r="N41" s="795"/>
      <c r="O41" s="796">
        <f>Measurement!N16</f>
        <v>52.503</v>
      </c>
      <c r="P41" s="797"/>
      <c r="Q41" s="794">
        <f>Measurement!T16</f>
        <v>69.540599999999998</v>
      </c>
      <c r="R41" s="798"/>
    </row>
    <row r="42" spans="3:18" ht="29.25" customHeight="1" thickBot="1">
      <c r="C42" s="77"/>
      <c r="I42" s="84"/>
      <c r="J42" s="780" t="str">
        <f>lang!B215</f>
        <v>감정변이도</v>
      </c>
      <c r="K42" s="781"/>
      <c r="L42" s="319" t="str">
        <f>info!V43</f>
        <v>보통</v>
      </c>
      <c r="M42" s="782">
        <f>info!W43</f>
        <v>22.2822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1.87862</v>
      </c>
      <c r="E44" s="249" t="s">
        <v>1195</v>
      </c>
      <c r="G44" s="289"/>
      <c r="H44" s="289"/>
      <c r="I44" s="290"/>
      <c r="J44" s="802">
        <f>info!$W$36</f>
        <v>28.401699999999998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45854.571585648147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geUC</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(0.02,0.06)</v>
      </c>
      <c r="S18" s="966"/>
      <c r="T18" s="967"/>
    </row>
    <row r="19" spans="2:22" ht="16.5" customHeight="1">
      <c r="C19" s="136" t="str">
        <f>lang!B328</f>
        <v>최소값</v>
      </c>
      <c r="D19" s="105">
        <f ca="1">info!M7</f>
        <v>26.268000000000001</v>
      </c>
      <c r="E19" s="94" t="str">
        <f>lang!B330</f>
        <v>평균값</v>
      </c>
      <c r="F19" s="971">
        <f ca="1">info!N9</f>
        <v>32.617249494949498</v>
      </c>
      <c r="G19" s="972"/>
      <c r="H19" s="912" t="str">
        <f>lang!B329</f>
        <v>최대값</v>
      </c>
      <c r="I19" s="913"/>
      <c r="J19" s="105">
        <f ca="1">info!M8</f>
        <v>39.467799999999997</v>
      </c>
      <c r="K19" s="137" t="str">
        <f>lang!B328</f>
        <v>최소값</v>
      </c>
      <c r="L19" s="105">
        <f ca="1">info!M5</f>
        <v>3.5477999999999996</v>
      </c>
      <c r="M19" s="94" t="str">
        <f>lang!B330</f>
        <v>평균값</v>
      </c>
      <c r="N19" s="971">
        <f ca="1">info!M9</f>
        <v>3.8769475757575758</v>
      </c>
      <c r="O19" s="972">
        <f>info!T9</f>
        <v>1</v>
      </c>
      <c r="P19" s="94" t="str">
        <f>lang!B329</f>
        <v>최대값</v>
      </c>
      <c r="Q19" s="105">
        <f ca="1">info!M6</f>
        <v>4.6520400000000004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8.4243872111781819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1.878622</v>
      </c>
      <c r="N47" s="986"/>
      <c r="O47" s="451"/>
      <c r="P47" s="491" t="s">
        <v>1101</v>
      </c>
      <c r="Q47" s="987">
        <f>hist!M3</f>
        <v>0.68055399999999999</v>
      </c>
      <c r="R47" s="986"/>
      <c r="S47" s="451"/>
      <c r="T47" s="452"/>
    </row>
    <row r="48" spans="3:20" ht="18" customHeight="1">
      <c r="C48" s="931"/>
      <c r="D48" s="910"/>
      <c r="E48" s="910"/>
      <c r="F48" s="355"/>
      <c r="G48" s="355"/>
      <c r="H48" s="356"/>
      <c r="I48" s="356"/>
      <c r="J48" s="951"/>
      <c r="K48" s="951"/>
      <c r="L48" s="936"/>
      <c r="M48" s="988">
        <f>hist!N2</f>
        <v>0.71598300000000004</v>
      </c>
      <c r="N48" s="989"/>
      <c r="O48" s="451"/>
      <c r="P48" s="491" t="s">
        <v>1102</v>
      </c>
      <c r="Q48" s="986">
        <f>hist!N3</f>
        <v>0.585538</v>
      </c>
      <c r="R48" s="989"/>
      <c r="S48" s="451"/>
      <c r="T48" s="452"/>
    </row>
    <row r="49" spans="3:20" ht="22.5" customHeight="1" thickBot="1">
      <c r="C49" s="932"/>
      <c r="D49" s="934" t="str">
        <f>lang!B353</f>
        <v>저활력도 (0%)</v>
      </c>
      <c r="E49" s="934"/>
      <c r="F49" s="934"/>
      <c r="G49" s="934"/>
      <c r="H49" s="934"/>
      <c r="I49" s="934"/>
      <c r="J49" s="934"/>
      <c r="K49" s="934"/>
      <c r="L49" s="937"/>
      <c r="M49" s="990">
        <f>hist!O2</f>
        <v>0.51263199999999998</v>
      </c>
      <c r="N49" s="991"/>
      <c r="O49" s="453"/>
      <c r="P49" s="454" t="s">
        <v>1588</v>
      </c>
      <c r="Q49" s="992">
        <f>hist!O3</f>
        <v>0.34285500000000002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vision^geUC^1^6^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4</v>
      </c>
      <c r="CH4" s="305">
        <f>IF(SUM($AY$7:$AY$13)&gt;0,HLOOKUP(2,$BV$6:$CE$8,3,FALSE),"")</f>
        <v>2</v>
      </c>
      <c r="CI4" t="s">
        <v>1570</v>
      </c>
      <c r="CJ4" s="426">
        <f>DK17*100</f>
        <v>64.599734651068019</v>
      </c>
      <c r="CK4" s="422">
        <f>info!W21</f>
        <v>48.803760594727144</v>
      </c>
      <c r="CL4">
        <f>100-M!B19*100</f>
        <v>48.461799999999997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45854.571585648147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22.2822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2</v>
      </c>
      <c r="BX6" s="220">
        <f t="shared" si="0"/>
        <v>8</v>
      </c>
      <c r="BY6" s="220">
        <f t="shared" si="0"/>
        <v>1</v>
      </c>
      <c r="BZ6" s="220">
        <f t="shared" si="0"/>
        <v>3</v>
      </c>
      <c r="CA6" s="220">
        <f t="shared" si="0"/>
        <v>10</v>
      </c>
      <c r="CB6" s="220">
        <f t="shared" si="0"/>
        <v>7</v>
      </c>
      <c r="CC6" s="220">
        <f t="shared" si="0"/>
        <v>6</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46.3476</v>
      </c>
      <c r="O7" s="48">
        <f>M!C5*1</f>
        <v>4.5325699999999998</v>
      </c>
      <c r="P7" s="48">
        <f>M!D5*1</f>
        <v>9.7795299999999994</v>
      </c>
      <c r="Q7" s="48">
        <f>M!E5*1</f>
        <v>20</v>
      </c>
      <c r="R7" s="48">
        <f>IF(M!B5="","",M!F5*1)</f>
        <v>37.249299999999998</v>
      </c>
      <c r="S7" s="48">
        <f>M!G5*1</f>
        <v>50</v>
      </c>
      <c r="T7" s="48">
        <f>IF(M!B5="","",M!H5*1)</f>
        <v>57.249099999999999</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1.2103742644263606</v>
      </c>
      <c r="AI7" s="98">
        <v>2.5024862326905418E-2</v>
      </c>
      <c r="AJ7" s="98">
        <v>-7.7313821231156016E-2</v>
      </c>
      <c r="AK7" s="98">
        <v>0.50012525104428274</v>
      </c>
      <c r="AL7" s="98">
        <v>-8.545985269705475E-2</v>
      </c>
      <c r="AM7" s="98">
        <f>$AH7*AI7+$AH8*AI8+$AH9*AI9+$AH10*AI10+$AH11*AI11+$AH12*AI12+$AH13*AI13+$AH14*AI14+$AH15*AI15+$AH16*AI16</f>
        <v>-1.1269065681700401</v>
      </c>
      <c r="AN7" s="98">
        <f t="shared" ref="AN7:AP7" si="2">$AH7*AJ7+$AH8*AJ8+$AH9*AJ9+$AH10*AJ10+$AH11*AJ11+$AH12*AJ12+$AH13*AJ13+$AH14*AJ14+$AH15*AJ15+$AH16*AJ16</f>
        <v>-2.6533003932191095</v>
      </c>
      <c r="AO7" s="98">
        <f t="shared" si="2"/>
        <v>1.1076208774026182</v>
      </c>
      <c r="AP7" s="98">
        <f t="shared" si="2"/>
        <v>0.26286775063392542</v>
      </c>
      <c r="AQ7" s="335">
        <f>IF(SUM(N7:N16)&gt;0, 0.8608*AM7+0.333*AN7+0.104*AO7+1.129*AP7,"")</f>
        <v>-1.4416199431071599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46.3476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321.07537974700006</v>
      </c>
      <c r="BL7" s="56">
        <f t="shared" ref="BL7:BT7" si="3">BB7*$AY7+BB8*$AY8+BB9*$AY9+BB10*$AY10+BB11*$AY11+BB12*$AY12+BB13*$AY13+BB14</f>
        <v>321.71612156099985</v>
      </c>
      <c r="BM7" s="56">
        <f t="shared" si="3"/>
        <v>311.76000644300007</v>
      </c>
      <c r="BN7" s="56">
        <f t="shared" si="3"/>
        <v>325.83062733799994</v>
      </c>
      <c r="BO7" s="56">
        <f t="shared" si="3"/>
        <v>321.23284899499993</v>
      </c>
      <c r="BP7" s="56">
        <f t="shared" si="3"/>
        <v>295.65860757199994</v>
      </c>
      <c r="BQ7" s="56">
        <f t="shared" si="3"/>
        <v>314.393208856</v>
      </c>
      <c r="BR7" s="56">
        <f t="shared" si="3"/>
        <v>317.28512745199987</v>
      </c>
      <c r="BS7" s="56">
        <f t="shared" si="3"/>
        <v>320.78924597700001</v>
      </c>
      <c r="BT7" s="56">
        <f t="shared" si="3"/>
        <v>296.890988435</v>
      </c>
      <c r="BU7" s="56">
        <f>EXP(BK7)+EXP(BL7)+EXP(BM7)+EXP(BN7)+EXP(BO7)+EXP(BP7)+EXP(BQ7)+EXP(BR7)+EXP(BS7)+EXP(BT7)</f>
        <v>3.3433363311529117E+141</v>
      </c>
      <c r="BV7" s="56">
        <f>IF(SUM($AY$7:$AY$13)&gt;0,EXP(BK7)/$BU$7,"")</f>
        <v>8.2620083849918972E-3</v>
      </c>
      <c r="BW7" s="56">
        <f t="shared" ref="BW7:CE7" si="4">IF(SUM($AY$7:$AY$13)&gt;0,EXP(BL7)/$BU$7,"")</f>
        <v>1.5680368530399343E-2</v>
      </c>
      <c r="BX7" s="56">
        <f t="shared" si="4"/>
        <v>7.4382437943663299E-7</v>
      </c>
      <c r="BY7" s="56">
        <f t="shared" si="4"/>
        <v>0.95998273013791668</v>
      </c>
      <c r="BZ7" s="56">
        <f t="shared" si="4"/>
        <v>9.6710506290317941E-3</v>
      </c>
      <c r="CA7" s="56">
        <f t="shared" si="4"/>
        <v>7.5634811349510757E-14</v>
      </c>
      <c r="CB7" s="56">
        <f t="shared" si="4"/>
        <v>1.0352749036575695E-5</v>
      </c>
      <c r="CC7" s="56">
        <f t="shared" si="4"/>
        <v>1.8663795819369916E-4</v>
      </c>
      <c r="CD7" s="56">
        <f t="shared" si="4"/>
        <v>6.2061077857155176E-3</v>
      </c>
      <c r="CE7" s="56">
        <f t="shared" si="4"/>
        <v>2.5938086629988608E-13</v>
      </c>
      <c r="CF7" s="418" t="s">
        <v>1870</v>
      </c>
      <c r="CG7" s="221">
        <f>IF(SUM($AY$7:$AY$13)&gt;0,HLOOKUP(1,$BV$6:$CE$7,2,FALSE),"")</f>
        <v>0.95998273013791668</v>
      </c>
      <c r="CH7" s="221">
        <f>IF(SUM($AY$7:$AY$13)&gt;0,HLOOKUP(2,$BV$6:$CE$7,2,FALSE),"")</f>
        <v>1.5680368530399343E-2</v>
      </c>
      <c r="CI7" s="425" t="str">
        <f>"( "&amp;IF(CG7&lt;&gt;"",ROUND(CG7*100,0),"")&amp;" , "&amp;IF(CH7&lt;&gt;"",ROUND(CH7*100,0),"")&amp;" )"</f>
        <v>( 96 , 2 )</v>
      </c>
      <c r="CJ7" s="420">
        <f>CG7</f>
        <v>0.95998273013791668</v>
      </c>
      <c r="CK7" s="420">
        <f>CH7</f>
        <v>1.5680368530399343E-2</v>
      </c>
      <c r="CL7" s="425" t="str">
        <f>CI7</f>
        <v>( 96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46.3476</v>
      </c>
      <c r="DJ7" s="265">
        <f>(DI7-$DB7)/$DC7</f>
        <v>1.4647996210567888</v>
      </c>
      <c r="DK7" s="266">
        <f>IF(DH7=1,(DJ7-DF7)^2,0)</f>
        <v>0.10139500897625672</v>
      </c>
      <c r="DL7" s="267">
        <f>IF(DH7=1,(DJ7-DG7)^2,0)</f>
        <v>0.3220943599697107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30.4603</v>
      </c>
      <c r="O8" s="48">
        <f>M!C6*1</f>
        <v>6.3416699999999997</v>
      </c>
      <c r="P8" s="48">
        <f>M!D6*1</f>
        <v>20.819500000000001</v>
      </c>
      <c r="Q8" s="48">
        <f>M!E6*1</f>
        <v>20</v>
      </c>
      <c r="R8" s="48">
        <f>IF(M!B6="","",M!F6*1)</f>
        <v>15.601699999999999</v>
      </c>
      <c r="S8" s="48">
        <f>M!G6*1</f>
        <v>40</v>
      </c>
      <c r="T8" s="48">
        <f>IF(M!B6="","",M!H6*1)</f>
        <v>34.869700000000002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1.3839968208700533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30.4603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30.4603</v>
      </c>
      <c r="DJ8" s="265">
        <f t="shared" ref="DJ8:DJ14" si="8">(DI8-$DB8)/$DC8</f>
        <v>-0.2335203531227486</v>
      </c>
      <c r="DK8" s="273">
        <f t="shared" ref="DK8:DK14" si="9">IF(DH8=1,(DJ8-DF8)^2,0)</f>
        <v>1.5602988727990026</v>
      </c>
      <c r="DL8" s="274">
        <f t="shared" ref="DL8:DL14" si="10">IF(DH8=1,(DJ8-DG8)^2,0)</f>
        <v>0.25504675744338623</v>
      </c>
    </row>
    <row r="9" spans="2:119" s="5" customFormat="1" ht="24.75" customHeight="1" thickBot="1">
      <c r="B9" s="62" t="str">
        <f>CONCATENATE(M7,"
(20 ~ 50)")</f>
        <v>적극/공격성
(20 ~ 50)</v>
      </c>
      <c r="C9" s="63">
        <f>R7</f>
        <v>37.249299999999998</v>
      </c>
      <c r="D9" s="64">
        <f>N7</f>
        <v>46.3476</v>
      </c>
      <c r="E9" s="65">
        <f>T7</f>
        <v>57.249099999999999</v>
      </c>
      <c r="F9" s="65">
        <f>P7</f>
        <v>9.7795299999999994</v>
      </c>
      <c r="G9" s="66" t="str">
        <f>CONCATENATE(M8,"
(20 ~ 40)")</f>
        <v>스트레스
(20 ~ 40)</v>
      </c>
      <c r="H9" s="63">
        <f>R8</f>
        <v>15.601699999999999</v>
      </c>
      <c r="I9" s="67">
        <f>N8</f>
        <v>30.4603</v>
      </c>
      <c r="J9" s="63">
        <f>T8</f>
        <v>34.869700000000002</v>
      </c>
      <c r="K9" s="68">
        <f>P8</f>
        <v>20.819500000000001</v>
      </c>
      <c r="L9" s="1">
        <f>IF(M!B7="","",IF(N9&lt;U9,1,IF(N9&lt;V9,2,IF(N9&lt;W9,3,IF(N9&lt;X9,4,5)))))</f>
        <v>3</v>
      </c>
      <c r="M9" s="162" t="str">
        <f>lang!B16</f>
        <v>불안</v>
      </c>
      <c r="N9" s="48">
        <f>IF(M!B7="","",M!B7*1)</f>
        <v>20.383199999999999</v>
      </c>
      <c r="O9" s="48">
        <f>M!C7*1</f>
        <v>16.357299999999999</v>
      </c>
      <c r="P9" s="48">
        <f>M!D7*1</f>
        <v>80.248599999999996</v>
      </c>
      <c r="Q9" s="48">
        <f>M!E7*1</f>
        <v>15</v>
      </c>
      <c r="R9" s="48">
        <f>IF(M!B7="","",M!F7*1)</f>
        <v>4.5808600000000004</v>
      </c>
      <c r="S9" s="48">
        <f>M!G7*1</f>
        <v>40</v>
      </c>
      <c r="T9" s="48">
        <f>IF(M!B7="","",M!H7*1)</f>
        <v>57.772199999999998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-0.34798893248597157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20.383199999999999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20.383199999999999</v>
      </c>
      <c r="DJ9" s="265">
        <f t="shared" si="8"/>
        <v>-1.1084595883929502</v>
      </c>
      <c r="DK9" s="273">
        <f t="shared" si="9"/>
        <v>1.2039784850634653E-2</v>
      </c>
      <c r="DL9" s="274">
        <f t="shared" si="10"/>
        <v>1.604640963774852</v>
      </c>
      <c r="DM9"/>
      <c r="DN9"/>
    </row>
    <row r="10" spans="2:119" s="4" customFormat="1" ht="30.3" thickBot="1">
      <c r="B10" s="57" t="str">
        <f>CONCATENATE(M9,"
(15 ~ 40)")</f>
        <v>불안
(15 ~ 40)</v>
      </c>
      <c r="C10" s="17">
        <f>R9</f>
        <v>4.5808600000000004</v>
      </c>
      <c r="D10" s="41">
        <f>N9</f>
        <v>20.383199999999999</v>
      </c>
      <c r="E10" s="43">
        <f>T9</f>
        <v>57.772199999999998</v>
      </c>
      <c r="F10" s="43">
        <f>P9</f>
        <v>80.248599999999996</v>
      </c>
      <c r="G10" s="59" t="str">
        <f>CONCATENATE(M10,"
(20 ~ 50)")</f>
        <v>의심
(20 ~ 50)</v>
      </c>
      <c r="H10" s="17">
        <f>R10</f>
        <v>24.6401</v>
      </c>
      <c r="I10" s="42">
        <f>N10</f>
        <v>32.747900000000001</v>
      </c>
      <c r="J10" s="17">
        <f>T10</f>
        <v>42.049900000000001</v>
      </c>
      <c r="K10" s="18">
        <f>P10</f>
        <v>11.4133</v>
      </c>
      <c r="L10" s="1">
        <f>IF(M!B8="","",IF(N10&lt;U10,1,IF(N10&lt;V10,2,IF(N10&lt;W10,3,IF(N10&lt;X10,4,5)))))</f>
        <v>3</v>
      </c>
      <c r="M10" s="162" t="str">
        <f>lang!B17</f>
        <v>의심</v>
      </c>
      <c r="N10" s="48">
        <f>IF(M!B8="","",M!B8*1)</f>
        <v>32.747900000000001</v>
      </c>
      <c r="O10" s="48">
        <f>M!C8*1</f>
        <v>3.7376299999999998</v>
      </c>
      <c r="P10" s="48">
        <f>M!D8*1</f>
        <v>11.4133</v>
      </c>
      <c r="Q10" s="48">
        <f>M!E8*1</f>
        <v>20</v>
      </c>
      <c r="R10" s="48">
        <f>IF(M!B8="","",M!F8*1)</f>
        <v>24.6401</v>
      </c>
      <c r="S10" s="48">
        <f>M!G8*1</f>
        <v>50</v>
      </c>
      <c r="T10" s="48">
        <f>IF(M!B8="","",M!H8*1)</f>
        <v>42.049900000000001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0.85424451027164583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70.2714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70.2714</v>
      </c>
      <c r="DJ10" s="265">
        <f t="shared" si="8"/>
        <v>0.47408416289236793</v>
      </c>
      <c r="DK10" s="273">
        <f t="shared" si="9"/>
        <v>0.53517685886496658</v>
      </c>
      <c r="DL10" s="274">
        <f t="shared" si="10"/>
        <v>4.154735589976724</v>
      </c>
      <c r="DM10"/>
      <c r="DN10"/>
    </row>
    <row r="11" spans="2:119" s="4" customFormat="1" ht="24.75" customHeight="1" thickBot="1">
      <c r="B11" s="57" t="str">
        <f>CONCATENATE(M11,"
(50 ~ 100)")</f>
        <v>밸런스
(50 ~ 100)</v>
      </c>
      <c r="C11" s="17">
        <f>R11</f>
        <v>64.222700000000003</v>
      </c>
      <c r="D11" s="42">
        <f>N11</f>
        <v>70.2714</v>
      </c>
      <c r="E11" s="17">
        <f>T11</f>
        <v>77.186999999999998</v>
      </c>
      <c r="F11" s="17">
        <f>P11</f>
        <v>4.65618</v>
      </c>
      <c r="G11" s="59" t="str">
        <f>CONCATENATE(M12,"
(40 ~ 100)")</f>
        <v>카리스마
(40 ~ 100)</v>
      </c>
      <c r="H11" s="17">
        <f>R12</f>
        <v>64.132999999999996</v>
      </c>
      <c r="I11" s="42">
        <f>N12</f>
        <v>71.355999999999995</v>
      </c>
      <c r="J11" s="17">
        <f>T12</f>
        <v>88.729500000000002</v>
      </c>
      <c r="K11" s="18">
        <f>P12</f>
        <v>11.926500000000001</v>
      </c>
      <c r="L11" s="1">
        <f>IF(M!B9="","",IF(N11&lt;U11,1,IF(N11&lt;V11,2,IF(N11&lt;W11,3,IF(N11&lt;X11,4,5)))))</f>
        <v>4</v>
      </c>
      <c r="M11" s="162" t="str">
        <f>lang!B18</f>
        <v>밸런스</v>
      </c>
      <c r="N11" s="48">
        <f>IF(M!B9="","",M!B9*1)</f>
        <v>70.2714</v>
      </c>
      <c r="O11" s="48">
        <f>M!C9*1</f>
        <v>3.27196</v>
      </c>
      <c r="P11" s="48">
        <f>M!D9*1</f>
        <v>4.65618</v>
      </c>
      <c r="Q11" s="48">
        <f>M!E9*1</f>
        <v>50</v>
      </c>
      <c r="R11" s="48">
        <f>IF(M!B9="","",M!F9*1)</f>
        <v>64.222700000000003</v>
      </c>
      <c r="S11" s="48">
        <f>M!G9*1</f>
        <v>100</v>
      </c>
      <c r="T11" s="48">
        <f>IF(M!B9="","",M!H9*1)</f>
        <v>77.186999999999998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-8.9944136422968904E-2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71.355999999999995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71.355999999999995</v>
      </c>
      <c r="DJ11" s="265">
        <f t="shared" si="8"/>
        <v>0.36431020349935567</v>
      </c>
      <c r="DK11" s="273">
        <f t="shared" si="9"/>
        <v>0.41745934395788448</v>
      </c>
      <c r="DL11" s="274">
        <f t="shared" si="10"/>
        <v>0.548609475028909</v>
      </c>
      <c r="DM11"/>
      <c r="DN11"/>
    </row>
    <row r="12" spans="2:119" s="4" customFormat="1" ht="24.75" customHeight="1" thickBot="1">
      <c r="B12" s="57" t="str">
        <f>CONCATENATE(M13,"
(10 ~ 50)")</f>
        <v>에너지
(10 ~ 50)</v>
      </c>
      <c r="C12" s="17">
        <f>R13</f>
        <v>20.206299999999999</v>
      </c>
      <c r="D12" s="41">
        <f>N13</f>
        <v>23.684999999999999</v>
      </c>
      <c r="E12" s="43">
        <f>T13</f>
        <v>36.389000000000003</v>
      </c>
      <c r="F12" s="43">
        <f>P13</f>
        <v>20.572600000000001</v>
      </c>
      <c r="G12" s="59" t="str">
        <f>CONCATENATE(M14,"
(50 ~ 100)")</f>
        <v>자기조절
(50 ~ 100)</v>
      </c>
      <c r="H12" s="17">
        <f>R14</f>
        <v>64.611099999999993</v>
      </c>
      <c r="I12" s="42">
        <f>N14</f>
        <v>71.343100000000007</v>
      </c>
      <c r="J12" s="17">
        <f>T14</f>
        <v>82.323899999999995</v>
      </c>
      <c r="K12" s="18">
        <f>P14</f>
        <v>6.2325400000000002</v>
      </c>
      <c r="L12" s="1">
        <f>IF(M!B10="","",IF(N12&lt;U12,1,IF(N12&lt;V12,2,IF(N12&lt;W12,3,IF(N12&lt;X12,4,5)))))</f>
        <v>3</v>
      </c>
      <c r="M12" s="162" t="str">
        <f>lang!B19</f>
        <v>카리스마</v>
      </c>
      <c r="N12" s="48">
        <f>IF(M!B10="","",M!B10*1)</f>
        <v>71.355999999999995</v>
      </c>
      <c r="O12" s="48">
        <f>M!C10*1</f>
        <v>8.5103000000000009</v>
      </c>
      <c r="P12" s="48">
        <f>M!D10*1</f>
        <v>11.926500000000001</v>
      </c>
      <c r="Q12" s="48">
        <f>M!E10*1</f>
        <v>40</v>
      </c>
      <c r="R12" s="48">
        <f>IF(M!B10="","",M!F10*1)</f>
        <v>64.132999999999996</v>
      </c>
      <c r="S12" s="48">
        <f>M!G10*1</f>
        <v>100</v>
      </c>
      <c r="T12" s="48">
        <f>IF(M!B10="","",M!H10*1)</f>
        <v>88.729500000000002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-0.1592582796207879</v>
      </c>
      <c r="AI12" s="98">
        <v>0.31913434649697919</v>
      </c>
      <c r="AJ12" s="98">
        <v>3.8587997439955973E-2</v>
      </c>
      <c r="AK12" s="98">
        <v>1.0272327081707585E-2</v>
      </c>
      <c r="AL12" s="98">
        <v>1.9404033844491575E-2</v>
      </c>
      <c r="AM12" s="101"/>
      <c r="AN12" s="101"/>
      <c r="AO12" s="101"/>
      <c r="AP12" s="101"/>
      <c r="AX12" s="171"/>
      <c r="AY12" s="219">
        <f>N13</f>
        <v>23.684999999999999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23.684999999999999</v>
      </c>
      <c r="DJ12" s="265">
        <f t="shared" si="8"/>
        <v>0.89575210586575515</v>
      </c>
      <c r="DK12" s="273">
        <f t="shared" si="9"/>
        <v>0.98415339809967139</v>
      </c>
      <c r="DL12" s="274">
        <f t="shared" si="10"/>
        <v>0.30732728460711733</v>
      </c>
      <c r="DM12"/>
      <c r="DN12"/>
    </row>
    <row r="13" spans="2:119" ht="24.75" customHeight="1" thickBot="1">
      <c r="B13" s="58" t="str">
        <f>CONCATENATE(M15,"
(10 ~ 25)")</f>
        <v>억제
(10 ~ 25)</v>
      </c>
      <c r="C13" s="44">
        <f>R15</f>
        <v>14.0036</v>
      </c>
      <c r="D13" s="45">
        <f>N15</f>
        <v>27.146899999999999</v>
      </c>
      <c r="E13" s="46">
        <f>T15</f>
        <v>39.863799999999998</v>
      </c>
      <c r="F13" s="46">
        <f>P15</f>
        <v>19.340299999999999</v>
      </c>
      <c r="G13" s="60" t="str">
        <f>CONCATENATE(M16,"
(10 ~ 50)")</f>
        <v>신경성
(10 ~ 50)</v>
      </c>
      <c r="H13" s="44">
        <f>R16</f>
        <v>0.24649499999999999</v>
      </c>
      <c r="I13" s="45">
        <f>N16</f>
        <v>52.503</v>
      </c>
      <c r="J13" s="46">
        <f>T16</f>
        <v>69.540599999999998</v>
      </c>
      <c r="K13" s="47">
        <f>P16</f>
        <v>37.833100000000002</v>
      </c>
      <c r="L13" s="1">
        <f>IF(M!B11="","",IF(N13&lt;U13,1,IF(N13&lt;V13,2,IF(N13&lt;W13,3,IF(N13&lt;X13,4,5)))))</f>
        <v>3</v>
      </c>
      <c r="M13" s="162" t="str">
        <f>lang!B20</f>
        <v>에너지</v>
      </c>
      <c r="N13" s="48">
        <f>IF(M!B11="","",M!B11*1)</f>
        <v>23.684999999999999</v>
      </c>
      <c r="O13" s="48">
        <f>M!C11*1</f>
        <v>4.8726200000000004</v>
      </c>
      <c r="P13" s="48">
        <f>M!D11*1</f>
        <v>20.572600000000001</v>
      </c>
      <c r="Q13" s="48">
        <f>M!E11*1</f>
        <v>10</v>
      </c>
      <c r="R13" s="48">
        <f>IF(M!B11="","",M!F11*1)</f>
        <v>20.206299999999999</v>
      </c>
      <c r="S13" s="48">
        <f>M!G11*1</f>
        <v>50</v>
      </c>
      <c r="T13" s="48">
        <f>IF(M!B11="","",M!H11*1)</f>
        <v>36.389000000000003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-0.21676857892903059</v>
      </c>
      <c r="AI13" s="98">
        <v>0.16093442074971984</v>
      </c>
      <c r="AJ13" s="98">
        <v>-1.0988594420247608E-2</v>
      </c>
      <c r="AK13" s="98">
        <v>0.37151940745754808</v>
      </c>
      <c r="AL13" s="98">
        <v>8.9062029657998948E-2</v>
      </c>
      <c r="AM13" s="96"/>
      <c r="AN13" s="96"/>
      <c r="AO13" s="96"/>
      <c r="AP13" s="96"/>
      <c r="AX13" s="171"/>
      <c r="AY13" s="219">
        <f>info!W36</f>
        <v>28.401699999999998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52.503</v>
      </c>
      <c r="DJ13" s="265">
        <f t="shared" si="8"/>
        <v>1.968859437615599</v>
      </c>
      <c r="DK13" s="273">
        <f>IF(DH13=1,(DJ13-DF13)^2,0)</f>
        <v>2.3379183773735055</v>
      </c>
      <c r="DL13" s="274">
        <f t="shared" si="10"/>
        <v>5.4605344552308468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71.343100000000007</v>
      </c>
      <c r="O14" s="48">
        <f>M!C12*1</f>
        <v>4.4464800000000002</v>
      </c>
      <c r="P14" s="48">
        <f>M!D12*1</f>
        <v>6.2325400000000002</v>
      </c>
      <c r="Q14" s="48">
        <f>M!E12*1</f>
        <v>50</v>
      </c>
      <c r="R14" s="48">
        <f>IF(M!B12="","",M!F12*1)</f>
        <v>64.611099999999993</v>
      </c>
      <c r="S14" s="48">
        <f>M!G12*1</f>
        <v>100</v>
      </c>
      <c r="T14" s="48">
        <f>IF(M!B12="","",M!H12*1)</f>
        <v>82.323899999999995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5.3802171341438519E-2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40.771599999999999</v>
      </c>
      <c r="DJ14" s="265">
        <f t="shared" si="8"/>
        <v>-1.2577128345003006</v>
      </c>
      <c r="DK14" s="279">
        <f t="shared" si="9"/>
        <v>1.4114729691218444</v>
      </c>
      <c r="DL14" s="280">
        <f t="shared" si="10"/>
        <v>0.77765990813318953</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27.146899999999999</v>
      </c>
      <c r="O15" s="48">
        <f>M!C13*1</f>
        <v>5.2503000000000002</v>
      </c>
      <c r="P15" s="48">
        <f>M!D13*1</f>
        <v>19.340299999999999</v>
      </c>
      <c r="Q15" s="48">
        <f>M!E13*1</f>
        <v>10</v>
      </c>
      <c r="R15" s="48">
        <f>IF(M!B13="","",M!F13*1)</f>
        <v>14.0036</v>
      </c>
      <c r="S15" s="48">
        <f>M!G13*1</f>
        <v>25</v>
      </c>
      <c r="T15" s="48">
        <f>IF(M!B13="","",M!H13*1)</f>
        <v>39.863799999999998</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2.2689459759858486</v>
      </c>
      <c r="AI15" s="98">
        <v>-8.3250321124619289E-2</v>
      </c>
      <c r="AJ15" s="98">
        <v>-0.44690513063775733</v>
      </c>
      <c r="AK15" s="98">
        <v>0.12052818186953573</v>
      </c>
      <c r="AL15" s="98">
        <v>-2.4174505446491225E-2</v>
      </c>
      <c r="AM15" s="96"/>
      <c r="AN15" s="96"/>
      <c r="AO15" s="96"/>
      <c r="AP15" s="96"/>
      <c r="AX15" s="171"/>
      <c r="AY15" s="50">
        <f>SUM(AY7:AY14)</f>
        <v>290.90519999999998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7.3599146140437668</v>
      </c>
      <c r="DL15" s="281">
        <f>IF(SUM($DI$7:$DI$14)&gt;0,SUM(DL7:DL14),0)</f>
        <v>13.430648794164737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52.503</v>
      </c>
      <c r="O16" s="48">
        <f>M!C14*1</f>
        <v>19.863499999999998</v>
      </c>
      <c r="P16" s="48">
        <f>M!D14*1</f>
        <v>37.833100000000002</v>
      </c>
      <c r="Q16" s="48">
        <f>M!E14*1</f>
        <v>10</v>
      </c>
      <c r="R16" s="48">
        <f>IF(M!B14="","",M!F14*1)</f>
        <v>0.24649499999999999</v>
      </c>
      <c r="S16" s="48">
        <f>M!G14*1</f>
        <v>50</v>
      </c>
      <c r="T16" s="48">
        <f>IF(M!B14="","",M!H14*1)</f>
        <v>69.540599999999998</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3.5845601889679553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0.13587114150643234</v>
      </c>
      <c r="DL16" s="281">
        <f>IF(DL15&gt;0,1/DL15,0)</f>
        <v>7.4456566866261412E-2</v>
      </c>
      <c r="DM16" t="s">
        <v>1207</v>
      </c>
    </row>
    <row r="17" spans="2:117" ht="21" customHeight="1" thickBot="1">
      <c r="B17" s="20"/>
      <c r="C17"/>
      <c r="D17"/>
      <c r="E17"/>
      <c r="F17"/>
      <c r="G17" s="1071"/>
      <c r="H17" s="827"/>
      <c r="I17" s="827"/>
      <c r="J17" s="827"/>
      <c r="K17" s="828"/>
      <c r="M17" s="163" t="str">
        <f>lang!B7</f>
        <v>긍정감정</v>
      </c>
      <c r="N17" s="54">
        <f>SUM(N11:N14)/4</f>
        <v>59.163875000000004</v>
      </c>
      <c r="O17" s="16">
        <f>N17/(N17+N18+N19)</f>
        <v>0.45000582816737128</v>
      </c>
      <c r="P17" s="54">
        <f>SUM(P11:P14)/4</f>
        <v>10.846955000000001</v>
      </c>
      <c r="Q17" s="16">
        <f>P17/(P17+P18+P19)</f>
        <v>0.15495896274065787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0.64599734651068019</v>
      </c>
      <c r="DL17" s="283"/>
      <c r="DM17" s="284" t="s">
        <v>1208</v>
      </c>
    </row>
    <row r="18" spans="2:117" ht="21" customHeight="1">
      <c r="B18" s="20"/>
      <c r="C18"/>
      <c r="D18"/>
      <c r="E18"/>
      <c r="F18"/>
      <c r="G18" s="1071"/>
      <c r="H18" s="827"/>
      <c r="I18" s="827"/>
      <c r="J18" s="827"/>
      <c r="K18" s="828"/>
      <c r="M18" s="163" t="str">
        <f>lang!B8</f>
        <v>부정감정</v>
      </c>
      <c r="N18" s="14">
        <f>SUM(N7:N10)/4</f>
        <v>32.484750000000005</v>
      </c>
      <c r="O18" s="16">
        <f>N18/(N17+N18+N19)</f>
        <v>0.24708197065455931</v>
      </c>
      <c r="P18" s="14">
        <f>SUM(P7:P10)/4</f>
        <v>30.5652325</v>
      </c>
      <c r="Q18" s="16">
        <f>P18/(P17+P18+P19)</f>
        <v>0.43665311823705771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39.824950000000001</v>
      </c>
      <c r="O19" s="16">
        <f>N19/(N17+N18+N19)</f>
        <v>0.30291220117806944</v>
      </c>
      <c r="P19" s="14">
        <f>(P15+P16)/2</f>
        <v>28.5867</v>
      </c>
      <c r="Q19" s="16">
        <f>P19/(P17+P18+P19)</f>
        <v>0.4083879190222845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1.87862</v>
      </c>
      <c r="D24" s="34" t="str">
        <f>lang!B11</f>
        <v>편차</v>
      </c>
      <c r="E24" s="1077">
        <f>FH_info!G2*1</f>
        <v>0.71598300000000004</v>
      </c>
      <c r="F24" s="1078"/>
      <c r="G24" s="1075" t="str">
        <f>lang!B12</f>
        <v>정보(I)변화량</v>
      </c>
      <c r="H24" s="1076"/>
      <c r="I24" s="51" t="str">
        <f ca="1">CONCATENATE(info!N7,"-",info!N8)</f>
        <v>26.3-39.5</v>
      </c>
      <c r="J24" s="32" t="str">
        <f>lang!B13</f>
        <v>Kcal/분</v>
      </c>
      <c r="K24" s="31" t="str">
        <f ca="1">CONCATENATE(info!N5,"-",info!N6)</f>
        <v>3.5-4.7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40.771599999999999</v>
      </c>
      <c r="F27" s="1043"/>
      <c r="G27" s="1055" t="str">
        <f>lang!B33</f>
        <v>정서안정성</v>
      </c>
      <c r="H27" s="1056"/>
      <c r="I27" s="1057"/>
      <c r="J27" s="993">
        <f>M!B19*100</f>
        <v>51.538200000000003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4.6520400000000004</v>
      </c>
      <c r="H2" s="50">
        <f>IF(FT!B2&lt;&gt;"",FT!B2*100,"")</f>
        <v>32.631900000000002</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4.3167600000000004</v>
      </c>
      <c r="W2" s="50">
        <f>FT!H2*100</f>
        <v>31.790299999999998</v>
      </c>
      <c r="Y2">
        <f>IF(I2=1,H2/G2,"")</f>
        <v>7.0145355585936491</v>
      </c>
      <c r="Z2">
        <f>AVERAGE(Y2:Y2000)</f>
        <v>8.4243872111781819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4.6217500000000005</v>
      </c>
      <c r="H3" s="50">
        <f>IF(FT!B3&lt;&gt;"",FT!B3*100,"")</f>
        <v>32.601999999999997</v>
      </c>
      <c r="I3" s="50">
        <f t="shared" ref="I3:I66" si="2">(IF(G3&lt;&gt;"",1,""))</f>
        <v>1</v>
      </c>
      <c r="J3" t="str">
        <f>IF(FT!B3&lt;&gt;"",FT!E3,"")</f>
        <v>0 [0.388010]</v>
      </c>
      <c r="K3">
        <f>IF(FT!B3&lt;&gt;"",IF(FT!C3&lt;&gt;"",FT!C3,F3/$M$3*$M$4),"")</f>
        <v>0.38801000000000002</v>
      </c>
      <c r="L3" t="s">
        <v>53</v>
      </c>
      <c r="M3">
        <f>SUM(I2:I2005)</f>
        <v>99</v>
      </c>
      <c r="O3" s="104">
        <f>MATCH(O2,C2:C1000,0)-1</f>
        <v>98</v>
      </c>
      <c r="P3">
        <v>0</v>
      </c>
      <c r="Q3">
        <v>0</v>
      </c>
      <c r="R3">
        <f>IF(S4=0,M3,0)</f>
        <v>99</v>
      </c>
      <c r="S3">
        <f t="array" ref="S3">MAX(IF(ft_nq=0,row_n))</f>
        <v>1998</v>
      </c>
      <c r="T3">
        <f>R3-Q3</f>
        <v>99</v>
      </c>
      <c r="V3" s="50">
        <f>FT!G3*10</f>
        <v>4.0530600000000003</v>
      </c>
      <c r="W3" s="50">
        <f>FT!H3*100</f>
        <v>39.2879</v>
      </c>
      <c r="Y3" s="75">
        <f t="shared" ref="Y3:Y66" si="3">IF(I3=1,H3/G3,"")</f>
        <v>7.0540379726294136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4.5903400000000003</v>
      </c>
      <c r="H4" s="50">
        <f>IF(FT!B4&lt;&gt;"",FT!B4*100,"")</f>
        <v>32.561499999999995</v>
      </c>
      <c r="I4" s="50">
        <f t="shared" si="2"/>
        <v>1</v>
      </c>
      <c r="J4" t="str">
        <f>IF(FT!B4&lt;&gt;"",FT!E4,"")</f>
        <v>0 [0.783377]</v>
      </c>
      <c r="K4">
        <f>IF(FT!B4&lt;&gt;"",IF(FT!C4&lt;&gt;"",FT!C4,F4/$M$3*$M$4),"")</f>
        <v>0.78337699999999999</v>
      </c>
      <c r="L4" t="s">
        <v>246</v>
      </c>
      <c r="M4">
        <f>IF(M2&lt;&gt;0,M3/M2*2,0)</f>
        <v>40.216029134278884</v>
      </c>
      <c r="P4">
        <f>P3+1</f>
        <v>1</v>
      </c>
      <c r="Q4">
        <v>0</v>
      </c>
      <c r="R4">
        <f>IF(S4=1998,0,S4)</f>
        <v>0</v>
      </c>
      <c r="S4">
        <f t="array" ref="S4">MAX(IF(ft_nq=P4,row_n))</f>
        <v>0</v>
      </c>
      <c r="T4">
        <f>R4-Q4+1</f>
        <v>1</v>
      </c>
      <c r="V4" t="s">
        <v>209</v>
      </c>
      <c r="W4" s="23">
        <f>IF(ISERROR(V3-V2)=FALSE,(V3-V2)*10,0)</f>
        <v>-2.6370000000000005</v>
      </c>
      <c r="Y4" s="75">
        <f t="shared" si="3"/>
        <v>7.0934832713916602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0.88367347932237328</v>
      </c>
      <c r="E5" s="50">
        <f t="shared" si="1"/>
        <v>2.2686280082898476E-5</v>
      </c>
      <c r="F5">
        <f t="shared" si="6"/>
        <v>3</v>
      </c>
      <c r="G5" s="50">
        <f>IF(FT!A5&lt;&gt;"",FT!A5*10,"")</f>
        <v>4.5567799999999998</v>
      </c>
      <c r="H5" s="50">
        <f>IF(FT!B5&lt;&gt;"",FT!B5*100,"")</f>
        <v>32.5105</v>
      </c>
      <c r="I5" s="50">
        <f t="shared" si="2"/>
        <v>1</v>
      </c>
      <c r="J5" t="str">
        <f>IF(FT!B5&lt;&gt;"",FT!E5,"")</f>
        <v>0 [1.188288]</v>
      </c>
      <c r="K5">
        <f>IF(FT!B5&lt;&gt;"",IF(FT!C5&lt;&gt;"",FT!C5,F5/$M$3*$M$4),"")</f>
        <v>1.1882900000000001</v>
      </c>
      <c r="L5" t="s">
        <v>54</v>
      </c>
      <c r="M5" s="52">
        <f ca="1">IF(M3&gt;0,MIN(FT_E),0)</f>
        <v>3.5477999999999996</v>
      </c>
      <c r="N5" s="52">
        <f ca="1">IF(M3&gt;0,ROUND(M5,1),0)</f>
        <v>3.5</v>
      </c>
      <c r="P5">
        <f t="shared" ref="P5:P27" si="10">P4+1</f>
        <v>2</v>
      </c>
      <c r="Q5">
        <f>IF(S5=1998,0,R4)</f>
        <v>0</v>
      </c>
      <c r="R5">
        <f>IF(S5=1998,0,S5)</f>
        <v>0</v>
      </c>
      <c r="S5">
        <f t="array" ref="S5">MAX(IF(ft_nq=P5,row_n))</f>
        <v>0</v>
      </c>
      <c r="T5">
        <f t="shared" ref="T5:T27" si="11">R5-Q5+1</f>
        <v>1</v>
      </c>
      <c r="V5" t="s">
        <v>210</v>
      </c>
      <c r="W5" s="23">
        <f>IF(ISERROR(W3-W2)=FALSE,W3-W2,0)</f>
        <v>7.497600000000002</v>
      </c>
      <c r="Y5" s="75">
        <f t="shared" si="3"/>
        <v>7.1345335960919778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4.5132200000000005</v>
      </c>
      <c r="H6" s="50">
        <f>IF(FT!B6&lt;&gt;"",FT!B6*100,"")</f>
        <v>32.359400000000001</v>
      </c>
      <c r="I6" s="50">
        <f t="shared" si="2"/>
        <v>1</v>
      </c>
      <c r="J6" t="str">
        <f>IF(FT!B6&lt;&gt;"",FT!E6,"")</f>
        <v>0 [1.595332]</v>
      </c>
      <c r="K6">
        <f>IF(FT!B6&lt;&gt;"",IF(FT!C6&lt;&gt;"",FT!C6,F6/$M$3*$M$4),"")</f>
        <v>1.5953299999999999</v>
      </c>
      <c r="L6" t="s">
        <v>55</v>
      </c>
      <c r="M6" s="52">
        <f ca="1">IF(M3&gt;0,MAX(FT_E),0)</f>
        <v>4.6520400000000004</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-2.8432309442548354</v>
      </c>
      <c r="Y6" s="75">
        <f t="shared" si="3"/>
        <v>7.1699141632803185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4.4646699999999999</v>
      </c>
      <c r="H7" s="50">
        <f>IF(FT!B7&lt;&gt;"",FT!B7*100,"")</f>
        <v>32.305</v>
      </c>
      <c r="I7" s="50">
        <f t="shared" si="2"/>
        <v>1</v>
      </c>
      <c r="J7" t="str">
        <f>IF(FT!B7&lt;&gt;"",FT!E7,"")</f>
        <v>0 [1.996448]</v>
      </c>
      <c r="K7">
        <f>IF(FT!B7&lt;&gt;"",IF(FT!C7&lt;&gt;"",FT!C7,F7/$M$3*$M$4),"")</f>
        <v>1.9964500000000001</v>
      </c>
      <c r="L7" t="s">
        <v>56</v>
      </c>
      <c r="M7" s="366">
        <f ca="1">IF(M3&gt;0,MIN(FT_PH),0)</f>
        <v>26.268000000000001</v>
      </c>
      <c r="N7" s="52">
        <f ca="1">IF(M3&gt;0,ROUND(M7,1),0)</f>
        <v>26.3</v>
      </c>
      <c r="P7">
        <f t="shared" si="10"/>
        <v>4</v>
      </c>
      <c r="Q7">
        <f t="shared" si="12"/>
        <v>0</v>
      </c>
      <c r="R7">
        <f t="shared" si="13"/>
        <v>0</v>
      </c>
      <c r="S7">
        <f t="array" ref="S7">MAX(IF(ft_nq=P7,row_n))</f>
        <v>0</v>
      </c>
      <c r="T7">
        <f t="shared" si="11"/>
        <v>1</v>
      </c>
      <c r="V7" t="s">
        <v>212</v>
      </c>
      <c r="W7" s="23">
        <f>DEGREES(ATAN(W6))</f>
        <v>-70.622586893996981</v>
      </c>
      <c r="X7" s="106">
        <v>0.05</v>
      </c>
      <c r="Y7" s="75">
        <f t="shared" si="3"/>
        <v>7.2356971511892256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1.0206166427378739E-2</v>
      </c>
      <c r="D8" s="50">
        <f>IF(hist!$D$2&gt;0,hist!B8/hist!$D$2,0)</f>
        <v>1</v>
      </c>
      <c r="E8" s="50">
        <f t="shared" si="1"/>
        <v>4.239235128206329E-5</v>
      </c>
      <c r="F8">
        <f t="shared" si="6"/>
        <v>6</v>
      </c>
      <c r="G8" s="50">
        <f>IF(FT!A8&lt;&gt;"",FT!A8*10,"")</f>
        <v>4.4174799999999994</v>
      </c>
      <c r="H8" s="50">
        <f>IF(FT!B8&lt;&gt;"",FT!B8*100,"")</f>
        <v>32.120699999999999</v>
      </c>
      <c r="I8" s="50">
        <f t="shared" si="2"/>
        <v>1</v>
      </c>
      <c r="J8" t="str">
        <f>IF(FT!B8&lt;&gt;"",FT!E8,"")</f>
        <v>0 [2.402408]</v>
      </c>
      <c r="K8">
        <f>IF(FT!B8&lt;&gt;"",IF(FT!C8&lt;&gt;"",FT!C8,F8/$M$3*$M$4),"")</f>
        <v>2.4024100000000002</v>
      </c>
      <c r="L8" t="s">
        <v>57</v>
      </c>
      <c r="M8" s="52">
        <f ca="1">IF(M3&gt;0,MAX(FT_PH),0)</f>
        <v>39.467799999999997</v>
      </c>
      <c r="N8" s="52">
        <f ca="1">IF(M3&gt;0,ROUND(M8,1),0)</f>
        <v>39.5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7.2712723090993059</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4.3677700000000002</v>
      </c>
      <c r="H9" s="50">
        <f>IF(FT!B9&lt;&gt;"",FT!B9*100,"")</f>
        <v>31.916899999999998</v>
      </c>
      <c r="I9" s="50">
        <f t="shared" si="2"/>
        <v>1</v>
      </c>
      <c r="J9" t="str">
        <f>IF(FT!B9&lt;&gt;"",FT!E9,"")</f>
        <v>0 [2.813464]</v>
      </c>
      <c r="K9">
        <f>IF(FT!B9&lt;&gt;"",IF(FT!C9&lt;&gt;"",FT!C9,F9/$M$3*$M$4),"")</f>
        <v>2.8134600000000001</v>
      </c>
      <c r="L9" t="s">
        <v>222</v>
      </c>
      <c r="M9" s="74">
        <f ca="1">IF(M3&gt;0,IF(COUNT(FT_E)&gt;0,AVERAGE(FT_E),0),0)</f>
        <v>3.8769475757575758</v>
      </c>
      <c r="N9" s="365">
        <f ca="1">IF(M3&gt;0,IF(COUNT(FT_PH)&gt;0,AVERAGE(FT_PH),0),0)</f>
        <v>32.617249494949498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7.3073673751136159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2.0207752928839223E-2</v>
      </c>
      <c r="D10" s="50">
        <f>IF(hist!$D$2&gt;0,hist!B10/hist!$D$2,0)</f>
        <v>0.69596318454457284</v>
      </c>
      <c r="E10" s="50">
        <f t="shared" si="1"/>
        <v>6.3640932711193118E-5</v>
      </c>
      <c r="F10">
        <f t="shared" si="6"/>
        <v>8</v>
      </c>
      <c r="G10" s="50">
        <f>IF(FT!A10&lt;&gt;"",FT!A10*10,"")</f>
        <v>4.3167600000000004</v>
      </c>
      <c r="H10" s="50">
        <f>IF(FT!B10&lt;&gt;"",FT!B10*100,"")</f>
        <v>31.790299999999998</v>
      </c>
      <c r="I10" s="50">
        <f t="shared" si="2"/>
        <v>1</v>
      </c>
      <c r="J10" t="str">
        <f>IF(FT!B10&lt;&gt;"",FT!E10,"")</f>
        <v>0 [3.216145]</v>
      </c>
      <c r="K10">
        <f>IF(FT!B10&lt;&gt;"",IF(FT!C10&lt;&gt;"",FT!C10,F10/$M$3*$M$4),"")</f>
        <v>3.2161499999999998</v>
      </c>
      <c r="M10">
        <v>2</v>
      </c>
      <c r="P10">
        <f t="shared" si="10"/>
        <v>7</v>
      </c>
      <c r="Q10">
        <f t="shared" si="12"/>
        <v>0</v>
      </c>
      <c r="R10">
        <f t="shared" si="13"/>
        <v>0</v>
      </c>
      <c r="S10">
        <f t="array" ref="S10">MAX(IF(ft_nq=P10,row_n))</f>
        <v>0</v>
      </c>
      <c r="T10">
        <f t="shared" si="11"/>
        <v>1</v>
      </c>
      <c r="V10" t="s">
        <v>215</v>
      </c>
      <c r="X10" s="71" t="s">
        <v>270</v>
      </c>
      <c r="Y10" s="75">
        <f t="shared" si="3"/>
        <v>7.3643890325151258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4.2672400000000001</v>
      </c>
      <c r="H11" s="50">
        <f>IF(FT!B11&lt;&gt;"",FT!B11*100,"")</f>
        <v>31.640699999999999</v>
      </c>
      <c r="I11" s="50">
        <f t="shared" si="2"/>
        <v>1</v>
      </c>
      <c r="J11" t="str">
        <f>IF(FT!B11&lt;&gt;"",FT!E11,"")</f>
        <v>0 [3.624658]</v>
      </c>
      <c r="K11">
        <f>IF(FT!B11&lt;&gt;"",IF(FT!C11&lt;&gt;"",FT!C11,F11/$M$3*$M$4),"")</f>
        <v>3.62466</v>
      </c>
      <c r="M11" s="49">
        <f>MAX(IF(ft_nq=1,row_n))</f>
        <v>0</v>
      </c>
      <c r="P11">
        <f t="shared" si="10"/>
        <v>8</v>
      </c>
      <c r="Q11">
        <f t="shared" si="12"/>
        <v>0</v>
      </c>
      <c r="R11">
        <f t="shared" si="13"/>
        <v>0</v>
      </c>
      <c r="S11">
        <f t="array" ref="S11">MAX(IF(ft_nq=P11,row_n))</f>
        <v>0</v>
      </c>
      <c r="T11">
        <f t="shared" si="11"/>
        <v>1</v>
      </c>
      <c r="V11" s="71" t="s">
        <v>216</v>
      </c>
      <c r="W11" s="23">
        <f>FT!H11*100</f>
        <v>26.268000000000001</v>
      </c>
      <c r="Y11" s="75">
        <f t="shared" si="3"/>
        <v>7.414792699730973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4.2183900000000003</v>
      </c>
      <c r="H12" s="50">
        <f>IF(FT!B12&lt;&gt;"",FT!B12*100,"")</f>
        <v>31.357099999999999</v>
      </c>
      <c r="I12" s="50">
        <f t="shared" si="2"/>
        <v>1</v>
      </c>
      <c r="J12" t="str">
        <f>IF(FT!B12&lt;&gt;"",FT!E12,"")</f>
        <v>0 [4.037437]</v>
      </c>
      <c r="K12">
        <f>IF(FT!B12&lt;&gt;"",IF(FT!C12&lt;&gt;"",FT!C12,F12/$M$3*$M$4),"")</f>
        <v>4.0374400000000001</v>
      </c>
      <c r="M12">
        <f>M11+1</f>
        <v>1</v>
      </c>
      <c r="P12">
        <f t="shared" si="10"/>
        <v>9</v>
      </c>
      <c r="Q12">
        <f t="shared" si="12"/>
        <v>0</v>
      </c>
      <c r="R12">
        <f t="shared" si="13"/>
        <v>0</v>
      </c>
      <c r="S12">
        <f t="array" ref="S12">MAX(IF(ft_nq=P12,row_n))</f>
        <v>0</v>
      </c>
      <c r="T12">
        <f t="shared" si="11"/>
        <v>1</v>
      </c>
      <c r="V12" s="71" t="s">
        <v>217</v>
      </c>
      <c r="W12" s="23">
        <f>FT!H12*100</f>
        <v>39.467799999999997</v>
      </c>
      <c r="Y12" s="75">
        <f t="shared" si="3"/>
        <v>7.4334283932969676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6.3146358697853608E-2</v>
      </c>
      <c r="D13" s="50">
        <f>IF(hist!$D$2&gt;0,hist!B13/hist!$D$2,0)</f>
        <v>0.5765737611245525</v>
      </c>
      <c r="E13" s="50">
        <f t="shared" si="1"/>
        <v>1.1522836836240688E-4</v>
      </c>
      <c r="F13">
        <f t="shared" si="6"/>
        <v>11</v>
      </c>
      <c r="G13" s="50">
        <f>IF(FT!A13&lt;&gt;"",FT!A13*10,"")</f>
        <v>4.1726400000000003</v>
      </c>
      <c r="H13" s="50">
        <f>IF(FT!B13&lt;&gt;"",FT!B13*100,"")</f>
        <v>30.915500000000002</v>
      </c>
      <c r="I13" s="50">
        <f t="shared" si="2"/>
        <v>1</v>
      </c>
      <c r="J13" t="str">
        <f>IF(FT!B13&lt;&gt;"",FT!E13,"")</f>
        <v>0 [4.435781]</v>
      </c>
      <c r="K13">
        <f>IF(FT!B13&lt;&gt;"",IF(FT!C13&lt;&gt;"",FT!C13,F13/$M$3*$M$4),"")</f>
        <v>4.4357800000000003</v>
      </c>
      <c r="M13" s="49">
        <f t="array" ref="M13">MAX(IF(ft_nq=2,row_n))</f>
        <v>0</v>
      </c>
      <c r="P13">
        <f t="shared" si="10"/>
        <v>10</v>
      </c>
      <c r="Q13">
        <f t="shared" si="12"/>
        <v>0</v>
      </c>
      <c r="R13">
        <f t="shared" si="13"/>
        <v>0</v>
      </c>
      <c r="S13">
        <f t="array" ref="S13">MAX(IF(ft_nq=P13,row_n))</f>
        <v>0</v>
      </c>
      <c r="T13">
        <f t="shared" si="11"/>
        <v>1</v>
      </c>
      <c r="V13" s="71" t="s">
        <v>219</v>
      </c>
      <c r="W13">
        <f>FT!H13</f>
        <v>27</v>
      </c>
      <c r="Y13" s="75">
        <f t="shared" si="3"/>
        <v>7.409098316653246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4.1293299999999995</v>
      </c>
      <c r="H14" s="50">
        <f>IF(FT!B14&lt;&gt;"",FT!B14*100,"")</f>
        <v>30.349700000000002</v>
      </c>
      <c r="I14" s="50">
        <f t="shared" si="2"/>
        <v>1</v>
      </c>
      <c r="J14" t="str">
        <f>IF(FT!B14&lt;&gt;"",FT!E14,"")</f>
        <v>0 [4.840037]</v>
      </c>
      <c r="K14">
        <f>IF(FT!B14&lt;&gt;"",IF(FT!C14&lt;&gt;"",FT!C14,F14/$M$3*$M$4),"")</f>
        <v>4.8400400000000001</v>
      </c>
      <c r="M14">
        <f>M13+1</f>
        <v>1</v>
      </c>
      <c r="P14">
        <f t="shared" si="10"/>
        <v>11</v>
      </c>
      <c r="Q14">
        <f t="shared" si="12"/>
        <v>0</v>
      </c>
      <c r="R14">
        <f t="shared" si="13"/>
        <v>0</v>
      </c>
      <c r="S14">
        <f t="array" ref="S14">MAX(IF(ft_nq=P14,row_n))</f>
        <v>0</v>
      </c>
      <c r="T14">
        <f t="shared" si="11"/>
        <v>1</v>
      </c>
      <c r="V14" s="71" t="s">
        <v>221</v>
      </c>
      <c r="W14">
        <f>FT!H14</f>
        <v>92</v>
      </c>
      <c r="Y14" s="75">
        <f t="shared" si="3"/>
        <v>7.3497879801323718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6.3044079986677881E-2</v>
      </c>
      <c r="D15" s="50">
        <f>IF(hist!$D$2&gt;0,hist!B15/hist!$D$2,0)</f>
        <v>0.47673907128382281</v>
      </c>
      <c r="E15" s="50">
        <f t="shared" si="1"/>
        <v>1.6938471460455832E-4</v>
      </c>
      <c r="F15">
        <f t="shared" si="6"/>
        <v>13</v>
      </c>
      <c r="G15" s="50">
        <f>IF(FT!A15&lt;&gt;"",FT!A15*10,"")</f>
        <v>4.0875699999999995</v>
      </c>
      <c r="H15" s="50">
        <f>IF(FT!B15&lt;&gt;"",FT!B15*100,"")</f>
        <v>29.792000000000002</v>
      </c>
      <c r="I15" s="50">
        <f t="shared" si="2"/>
        <v>1</v>
      </c>
      <c r="J15" t="str">
        <f>IF(FT!B15&lt;&gt;"",FT!E15,"")</f>
        <v>0 [5.255667]</v>
      </c>
      <c r="K15">
        <f>IF(FT!B15&lt;&gt;"",IF(FT!C15&lt;&gt;"",FT!C15,F15/$M$3*$M$4),"")</f>
        <v>5.2556700000000003</v>
      </c>
      <c r="M15">
        <f t="array" ref="M15">MAX(IF(ft_nq=3,row_n))</f>
        <v>0</v>
      </c>
      <c r="P15">
        <f t="shared" si="10"/>
        <v>12</v>
      </c>
      <c r="Q15">
        <f t="shared" si="12"/>
        <v>0</v>
      </c>
      <c r="R15">
        <f t="shared" si="13"/>
        <v>0</v>
      </c>
      <c r="S15">
        <f t="array" ref="S15">MAX(IF(ft_nq=P15,row_n))</f>
        <v>0</v>
      </c>
      <c r="T15">
        <f t="shared" si="11"/>
        <v>1</v>
      </c>
      <c r="V15" s="23">
        <f>FT!G15*10</f>
        <v>3.71767</v>
      </c>
      <c r="W15" s="23">
        <f>FT!H15*100</f>
        <v>26.268000000000001</v>
      </c>
      <c r="Y15" s="75">
        <f t="shared" si="3"/>
        <v>7.2884378738468101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4.0483099999999999</v>
      </c>
      <c r="H16" s="50">
        <f>IF(FT!B16&lt;&gt;"",FT!B16*100,"")</f>
        <v>29.252899999999997</v>
      </c>
      <c r="I16" s="50">
        <f t="shared" si="2"/>
        <v>1</v>
      </c>
      <c r="J16" t="str">
        <f>IF(FT!B16&lt;&gt;"",FT!E16,"")</f>
        <v>0 [5.665911]</v>
      </c>
      <c r="K16">
        <f>IF(FT!B16&lt;&gt;"",IF(FT!C16&lt;&gt;"",FT!C16,F16/$M$3*$M$4),"")</f>
        <v>5.6659100000000002</v>
      </c>
      <c r="M16">
        <f>M15+1</f>
        <v>1</v>
      </c>
      <c r="P16">
        <f t="shared" si="10"/>
        <v>13</v>
      </c>
      <c r="Q16">
        <f t="shared" si="12"/>
        <v>0</v>
      </c>
      <c r="R16">
        <f t="shared" si="13"/>
        <v>0</v>
      </c>
      <c r="S16">
        <f t="array" ref="S16">MAX(IF(ft_nq=P16,row_n))</f>
        <v>0</v>
      </c>
      <c r="T16">
        <f t="shared" si="11"/>
        <v>1</v>
      </c>
      <c r="V16" s="23">
        <f>FT!G16*10</f>
        <v>4.0866600000000002</v>
      </c>
      <c r="W16" s="23">
        <f>FT!H16*100</f>
        <v>39.467799999999997</v>
      </c>
      <c r="Y16" s="75">
        <f t="shared" si="3"/>
        <v>7.2259535460476094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4.0074300000000003</v>
      </c>
      <c r="H17" s="50">
        <f>IF(FT!B17&lt;&gt;"",FT!B17*100,"")</f>
        <v>28.815400000000004</v>
      </c>
      <c r="I17" s="50">
        <f t="shared" si="2"/>
        <v>1</v>
      </c>
      <c r="J17" t="str">
        <f>IF(FT!B17&lt;&gt;"",FT!E17,"")</f>
        <v>0 [6.068333]</v>
      </c>
      <c r="K17">
        <f>IF(FT!B17&lt;&gt;"",IF(FT!C17&lt;&gt;"",FT!C17,F17/$M$3*$M$4),"")</f>
        <v>6.0683299999999996</v>
      </c>
      <c r="M17">
        <f>M3+1</f>
        <v>100</v>
      </c>
      <c r="P17">
        <f t="shared" si="10"/>
        <v>14</v>
      </c>
      <c r="Q17">
        <f t="shared" si="12"/>
        <v>0</v>
      </c>
      <c r="R17">
        <f t="shared" si="13"/>
        <v>0</v>
      </c>
      <c r="S17">
        <f t="array" ref="S17">MAX(IF(ft_nq=P17,row_n))</f>
        <v>0</v>
      </c>
      <c r="T17">
        <f t="shared" si="11"/>
        <v>1</v>
      </c>
      <c r="V17" t="s">
        <v>1522</v>
      </c>
      <c r="Y17" s="75">
        <f t="shared" si="3"/>
        <v>7.190493658030209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3.6096621314478342E-2</v>
      </c>
      <c r="D18" s="50">
        <f>IF(hist!$D$2&gt;0,hist!B18/hist!$D$2,0)</f>
        <v>0.43949483855406651</v>
      </c>
      <c r="E18" s="50">
        <f t="shared" si="1"/>
        <v>2.9716369761879154E-4</v>
      </c>
      <c r="F18">
        <f t="shared" si="6"/>
        <v>16</v>
      </c>
      <c r="G18" s="50">
        <f>IF(FT!A18&lt;&gt;"",FT!A18*10,"")</f>
        <v>3.9651399999999999</v>
      </c>
      <c r="H18" s="50">
        <f>IF(FT!B18&lt;&gt;"",FT!B18*100,"")</f>
        <v>28.416400000000003</v>
      </c>
      <c r="I18" s="50">
        <f t="shared" si="2"/>
        <v>1</v>
      </c>
      <c r="J18" t="str">
        <f>IF(FT!B18&lt;&gt;"",FT!E18,"")</f>
        <v>0 [6.480400]</v>
      </c>
      <c r="K18">
        <f>IF(FT!B18&lt;&gt;"",IF(FT!C18&lt;&gt;"",FT!C18,F18/$M$3*$M$4),"")</f>
        <v>6.4804000000000004</v>
      </c>
      <c r="P18">
        <f t="shared" si="10"/>
        <v>15</v>
      </c>
      <c r="Q18">
        <f t="shared" si="12"/>
        <v>0</v>
      </c>
      <c r="R18">
        <f t="shared" si="13"/>
        <v>0</v>
      </c>
      <c r="S18">
        <f t="array" ref="S18">MAX(IF(ft_nq=P18,row_n))</f>
        <v>0</v>
      </c>
      <c r="T18">
        <f t="shared" si="11"/>
        <v>1</v>
      </c>
      <c r="V18" s="288">
        <f>M!B18*100</f>
        <v>40.771599999999999</v>
      </c>
      <c r="W18" s="287">
        <f>100-M!B19*100</f>
        <v>48.461799999999997</v>
      </c>
      <c r="X18" t="str">
        <f>"(" &amp; ROUND(V18,1) &amp; " , " &amp; ROUND(100-W18,1) &amp; ")"</f>
        <v>(40.8 , 51.5)</v>
      </c>
      <c r="Y18" s="75">
        <f t="shared" si="3"/>
        <v>7.1665565402482647</v>
      </c>
      <c r="Z18">
        <f>M!B18*100</f>
        <v>40.771599999999999</v>
      </c>
      <c r="AA18">
        <f>100-M!B19*100</f>
        <v>48.461799999999997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3.9248499999999997</v>
      </c>
      <c r="H19" s="50">
        <f>IF(FT!B19&lt;&gt;"",FT!B19*100,"")</f>
        <v>28.049700000000001</v>
      </c>
      <c r="I19" s="50">
        <f t="shared" si="2"/>
        <v>1</v>
      </c>
      <c r="J19" t="str">
        <f>IF(FT!B19&lt;&gt;"",FT!E19,"")</f>
        <v>0 [6.885708]</v>
      </c>
      <c r="K19">
        <f>IF(FT!B19&lt;&gt;"",IF(FT!C19&lt;&gt;"",FT!C19,F19/$M$3*$M$4),"")</f>
        <v>6.8857100000000004</v>
      </c>
      <c r="P19">
        <f t="shared" si="10"/>
        <v>16</v>
      </c>
      <c r="Q19">
        <f t="shared" si="12"/>
        <v>0</v>
      </c>
      <c r="R19">
        <f t="shared" si="13"/>
        <v>0</v>
      </c>
      <c r="S19">
        <f t="array" ref="S19">MAX(IF(ft_nq=P19,row_n))</f>
        <v>0</v>
      </c>
      <c r="T19">
        <f t="shared" si="11"/>
        <v>1</v>
      </c>
      <c r="V19" t="s">
        <v>1521</v>
      </c>
      <c r="Y19" s="75">
        <f t="shared" si="3"/>
        <v>7.1466935042103525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3.8888499999999997</v>
      </c>
      <c r="H20" s="50">
        <f>IF(FT!B20&lt;&gt;"",FT!B20*100,"")</f>
        <v>27.730900000000002</v>
      </c>
      <c r="I20" s="50">
        <f t="shared" si="2"/>
        <v>1</v>
      </c>
      <c r="J20" t="str">
        <f>IF(FT!B20&lt;&gt;"",FT!E20,"")</f>
        <v>0 [7.285026]</v>
      </c>
      <c r="K20">
        <f>IF(FT!B20&lt;&gt;"",IF(FT!C20&lt;&gt;"",FT!C20,F20/$M$3*$M$4),"")</f>
        <v>7.2850299999999999</v>
      </c>
      <c r="P20">
        <f t="shared" si="10"/>
        <v>17</v>
      </c>
      <c r="Q20">
        <f t="shared" si="12"/>
        <v>0</v>
      </c>
      <c r="R20">
        <f t="shared" si="13"/>
        <v>0</v>
      </c>
      <c r="S20">
        <f t="array" ref="S20">MAX(IF(ft_nq=P20,row_n))</f>
        <v>0</v>
      </c>
      <c r="T20">
        <f t="shared" si="11"/>
        <v>1</v>
      </c>
      <c r="V20" s="56">
        <v>50</v>
      </c>
      <c r="W20">
        <v>50</v>
      </c>
      <c r="Y20" s="75">
        <f t="shared" si="3"/>
        <v>7.1308741658845172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4.2336297803201806E-2</v>
      </c>
      <c r="D21" s="50">
        <f>IF(hist!$D$2&gt;0,hist!B21/hist!$D$2,0)</f>
        <v>0.40615701677115534</v>
      </c>
      <c r="E21" s="50">
        <f t="shared" si="1"/>
        <v>5.1155989191839816E-4</v>
      </c>
      <c r="F21">
        <f t="shared" si="6"/>
        <v>19</v>
      </c>
      <c r="G21" s="50">
        <f>IF(FT!A21&lt;&gt;"",FT!A21*10,"")</f>
        <v>3.8552599999999999</v>
      </c>
      <c r="H21" s="50">
        <f>IF(FT!B21&lt;&gt;"",FT!B21*100,"")</f>
        <v>27.5213</v>
      </c>
      <c r="I21" s="50">
        <f t="shared" si="2"/>
        <v>1</v>
      </c>
      <c r="J21" t="str">
        <f>IF(FT!B21&lt;&gt;"",FT!E21,"")</f>
        <v>0 [7.691011]</v>
      </c>
      <c r="K21">
        <f>IF(FT!B21&lt;&gt;"",IF(FT!C21&lt;&gt;"",FT!C21,F21/$M$3*$M$4),"")</f>
        <v>7.6910100000000003</v>
      </c>
      <c r="P21">
        <f t="shared" si="10"/>
        <v>18</v>
      </c>
      <c r="Q21">
        <f t="shared" si="12"/>
        <v>0</v>
      </c>
      <c r="R21">
        <f t="shared" si="13"/>
        <v>0</v>
      </c>
      <c r="S21">
        <f t="array" ref="S21">MAX(IF(ft_nq=P21,row_n))</f>
        <v>0</v>
      </c>
      <c r="T21">
        <f t="shared" si="11"/>
        <v>1</v>
      </c>
      <c r="V21" s="288">
        <f>Measurement!DK17*100</f>
        <v>64.599734651068019</v>
      </c>
      <c r="W21" s="287">
        <f>'R3'!I3</f>
        <v>48.803760594727144</v>
      </c>
      <c r="X21" t="str">
        <f>"(" &amp; ROUND(V21,1) &amp; " , " &amp; ROUND(W21,1) &amp; ")" &amp; CHAR(10) &amp; AR26</f>
        <v>(64.6 , 48.8)
태평한</v>
      </c>
      <c r="Y21" s="75">
        <f t="shared" si="3"/>
        <v>7.1386365640709055</v>
      </c>
      <c r="AA21">
        <f>100-M!B19*100</f>
        <v>48.461799999999997</v>
      </c>
      <c r="AC21">
        <f>'R3'!I3</f>
        <v>48.803760594727144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3.8280199999999995</v>
      </c>
      <c r="H22" s="50">
        <f>IF(FT!B22&lt;&gt;"",FT!B22*100,"")</f>
        <v>27.3706</v>
      </c>
      <c r="I22" s="50">
        <f t="shared" si="2"/>
        <v>1</v>
      </c>
      <c r="J22" t="str">
        <f>IF(FT!B22&lt;&gt;"",FT!E22,"")</f>
        <v>0 [8.102124]</v>
      </c>
      <c r="K22">
        <f>IF(FT!B22&lt;&gt;"",IF(FT!C22&lt;&gt;"",FT!C22,F22/$M$3*$M$4),"")</f>
        <v>8.1021199999999993</v>
      </c>
      <c r="P22">
        <f t="shared" si="10"/>
        <v>19</v>
      </c>
      <c r="Q22">
        <f t="shared" si="12"/>
        <v>0</v>
      </c>
      <c r="R22">
        <f t="shared" si="13"/>
        <v>0</v>
      </c>
      <c r="S22">
        <f t="array" ref="S22">MAX(IF(ft_nq=P22,row_n))</f>
        <v>0</v>
      </c>
      <c r="T22">
        <f t="shared" si="11"/>
        <v>1</v>
      </c>
      <c r="V22" s="300">
        <f>X23</f>
        <v>90</v>
      </c>
      <c r="W22" s="300">
        <f>X23</f>
        <v>90</v>
      </c>
      <c r="X22" t="s">
        <v>1188</v>
      </c>
      <c r="Y22" s="75">
        <f t="shared" si="3"/>
        <v>7.1500671365353377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5.5531489241044708E-2</v>
      </c>
      <c r="D23" s="50">
        <f>IF(hist!$D$2&gt;0,hist!B23/hist!$D$2,0)</f>
        <v>0.37531956926677629</v>
      </c>
      <c r="E23" s="50">
        <f t="shared" si="1"/>
        <v>7.2710399246906645E-4</v>
      </c>
      <c r="F23">
        <f t="shared" si="6"/>
        <v>21</v>
      </c>
      <c r="G23" s="50">
        <f>IF(FT!A23&lt;&gt;"",FT!A23*10,"")</f>
        <v>3.8041299999999998</v>
      </c>
      <c r="H23" s="50">
        <f>IF(FT!B23&lt;&gt;"",FT!B23*100,"")</f>
        <v>27.1965</v>
      </c>
      <c r="I23" s="50">
        <f t="shared" si="2"/>
        <v>1</v>
      </c>
      <c r="J23" t="str">
        <f>IF(FT!B23&lt;&gt;"",FT!E23,"")</f>
        <v>0 [8.503640]</v>
      </c>
      <c r="K23">
        <f>IF(FT!B23&lt;&gt;"",IF(FT!C23&lt;&gt;"",FT!C23,F23/$M$3*$M$4),"")</f>
        <v>8.5036400000000008</v>
      </c>
      <c r="P23">
        <f t="shared" si="10"/>
        <v>20</v>
      </c>
      <c r="Q23">
        <f t="shared" si="12"/>
        <v>0</v>
      </c>
      <c r="R23">
        <f t="shared" si="13"/>
        <v>0</v>
      </c>
      <c r="S23">
        <f t="array" ref="S23">MAX(IF(ft_nq=P23,row_n))</f>
        <v>0</v>
      </c>
      <c r="T23">
        <f t="shared" si="11"/>
        <v>1</v>
      </c>
      <c r="V23" s="300">
        <f>100-X23</f>
        <v>10</v>
      </c>
      <c r="W23" s="300">
        <f>X23</f>
        <v>90</v>
      </c>
      <c r="X23">
        <v>90</v>
      </c>
      <c r="Y23" s="75">
        <f t="shared" si="3"/>
        <v>7.1492036286877685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3.78477</v>
      </c>
      <c r="H24" s="50">
        <f>IF(FT!B24&lt;&gt;"",FT!B24*100,"")</f>
        <v>26.974500000000003</v>
      </c>
      <c r="I24" s="50">
        <f t="shared" si="2"/>
        <v>1</v>
      </c>
      <c r="J24" t="str">
        <f>IF(FT!B24&lt;&gt;"",FT!E24,"")</f>
        <v>0 [8.910229]</v>
      </c>
      <c r="K24">
        <f>IF(FT!B24&lt;&gt;"",IF(FT!C24&lt;&gt;"",FT!C24,F24/$M$3*$M$4),"")</f>
        <v>8.9102300000000003</v>
      </c>
      <c r="P24">
        <f t="shared" si="10"/>
        <v>21</v>
      </c>
      <c r="Q24">
        <f t="shared" si="12"/>
        <v>0</v>
      </c>
      <c r="R24">
        <f t="shared" si="13"/>
        <v>0</v>
      </c>
      <c r="S24">
        <f t="array" ref="S24">MAX(IF(ft_nq=P24,row_n))</f>
        <v>0</v>
      </c>
      <c r="T24">
        <f t="shared" si="11"/>
        <v>1</v>
      </c>
      <c r="V24" s="300">
        <f>100-X23</f>
        <v>10</v>
      </c>
      <c r="W24" s="300">
        <f>100-X23</f>
        <v>10</v>
      </c>
      <c r="Y24" s="75">
        <f t="shared" si="3"/>
        <v>7.1271173677660737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3.7688300000000003</v>
      </c>
      <c r="H25" s="50">
        <f>IF(FT!B25&lt;&gt;"",FT!B25*100,"")</f>
        <v>26.679799999999997</v>
      </c>
      <c r="I25" s="50">
        <f t="shared" si="2"/>
        <v>1</v>
      </c>
      <c r="J25" t="str">
        <f>IF(FT!B25&lt;&gt;"",FT!E25,"")</f>
        <v>0 [9.309426]</v>
      </c>
      <c r="K25">
        <f>IF(FT!B25&lt;&gt;"",IF(FT!C25&lt;&gt;"",FT!C25,F25/$M$3*$M$4),"")</f>
        <v>9.3094300000000008</v>
      </c>
      <c r="P25">
        <f t="shared" si="10"/>
        <v>22</v>
      </c>
      <c r="Q25">
        <f t="shared" si="12"/>
        <v>0</v>
      </c>
      <c r="R25">
        <f t="shared" si="13"/>
        <v>0</v>
      </c>
      <c r="S25">
        <f t="array" ref="S25">MAX(IF(ft_nq=P25,row_n))</f>
        <v>0</v>
      </c>
      <c r="T25">
        <f t="shared" si="11"/>
        <v>1</v>
      </c>
      <c r="V25" s="300">
        <f>X23</f>
        <v>90</v>
      </c>
      <c r="W25" s="300">
        <f>100-X23</f>
        <v>10</v>
      </c>
      <c r="Y25" s="75">
        <f t="shared" si="3"/>
        <v>7.0790669783460638</v>
      </c>
    </row>
    <row r="26" spans="1:120">
      <c r="A26" s="50">
        <f t="shared" si="5"/>
        <v>24</v>
      </c>
      <c r="B26" s="50">
        <f t="shared" si="0"/>
        <v>0.46337976470588232</v>
      </c>
      <c r="C26" s="50">
        <f>IF(FH!$C$2&gt;0,FH!A26/FH!$C$2,0)</f>
        <v>7.986493359197433E-2</v>
      </c>
      <c r="D26" s="50">
        <f>IF(hist!$D$2&gt;0,hist!B26/hist!$D$2,0)</f>
        <v>0.34514565327318403</v>
      </c>
      <c r="E26" s="50">
        <f t="shared" si="1"/>
        <v>1.2128188079122912E-3</v>
      </c>
      <c r="F26">
        <f t="shared" si="6"/>
        <v>24</v>
      </c>
      <c r="G26" s="50">
        <f>IF(FT!A26&lt;&gt;"",FT!A26*10,"")</f>
        <v>3.7530000000000001</v>
      </c>
      <c r="H26" s="50">
        <f>IF(FT!B26&lt;&gt;"",FT!B26*100,"")</f>
        <v>26.438299999999998</v>
      </c>
      <c r="I26" s="50">
        <f t="shared" si="2"/>
        <v>1</v>
      </c>
      <c r="J26" t="str">
        <f>IF(FT!B26&lt;&gt;"",FT!E26,"")</f>
        <v>0 [9.716823]</v>
      </c>
      <c r="K26">
        <f>IF(FT!B26&lt;&gt;"",IF(FT!C26&lt;&gt;"",FT!C26,F26/$M$3*$M$4),"")</f>
        <v>9.7168200000000002</v>
      </c>
      <c r="P26">
        <f t="shared" si="10"/>
        <v>23</v>
      </c>
      <c r="Q26">
        <f t="shared" si="12"/>
        <v>0</v>
      </c>
      <c r="R26">
        <f t="shared" si="13"/>
        <v>0</v>
      </c>
      <c r="S26">
        <f t="array" ref="S26">MAX(IF(ft_nq=P26,row_n))</f>
        <v>0</v>
      </c>
      <c r="T26">
        <f t="shared" si="11"/>
        <v>1</v>
      </c>
      <c r="V26" s="300">
        <f>X23</f>
        <v>90</v>
      </c>
      <c r="W26" s="300">
        <f>X23</f>
        <v>90</v>
      </c>
      <c r="Y26" s="75">
        <f t="shared" si="3"/>
        <v>7.0445776711963752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3.7348399999999997</v>
      </c>
      <c r="H27" s="50">
        <f>IF(FT!B27&lt;&gt;"",FT!B27*100,"")</f>
        <v>26.3324</v>
      </c>
      <c r="I27" s="50">
        <f t="shared" si="2"/>
        <v>1</v>
      </c>
      <c r="J27" t="str">
        <f>IF(FT!B27&lt;&gt;"",FT!E27,"")</f>
        <v>0 [10.123506]</v>
      </c>
      <c r="K27">
        <f>IF(FT!B27&lt;&gt;"",IF(FT!C27&lt;&gt;"",FT!C27,F27/$M$3*$M$4),"")</f>
        <v>10.1235</v>
      </c>
      <c r="P27">
        <f t="shared" si="10"/>
        <v>24</v>
      </c>
      <c r="Q27">
        <f t="shared" si="12"/>
        <v>0</v>
      </c>
      <c r="R27">
        <f t="shared" si="13"/>
        <v>0</v>
      </c>
      <c r="S27">
        <f t="array" ref="S27">MAX(IF(ft_nq=P27,row_n))</f>
        <v>0</v>
      </c>
      <c r="T27">
        <f t="shared" si="11"/>
        <v>1</v>
      </c>
      <c r="V27" s="288">
        <v>60</v>
      </c>
      <c r="W27" s="288">
        <v>60</v>
      </c>
      <c r="X27" t="s">
        <v>1189</v>
      </c>
      <c r="Y27" s="75">
        <f t="shared" si="3"/>
        <v>7.0504760578766428</v>
      </c>
      <c r="AS27" t="s">
        <v>2144</v>
      </c>
    </row>
    <row r="28" spans="1:120">
      <c r="A28" s="50">
        <f t="shared" si="5"/>
        <v>26</v>
      </c>
      <c r="B28" s="50">
        <f t="shared" si="0"/>
        <v>0.50199474509803921</v>
      </c>
      <c r="C28" s="50">
        <f>IF(FH!$C$2&gt;0,FH!A28/FH!$C$2,0)</f>
        <v>9.8242808985224153E-2</v>
      </c>
      <c r="D28" s="50">
        <f>IF(hist!$D$2&gt;0,hist!B28/hist!$D$2,0)</f>
        <v>0.33009240031614517</v>
      </c>
      <c r="E28" s="50">
        <f t="shared" si="1"/>
        <v>1.6879584006191061E-3</v>
      </c>
      <c r="F28">
        <f t="shared" si="6"/>
        <v>26</v>
      </c>
      <c r="G28" s="50">
        <f>IF(FT!A28&lt;&gt;"",FT!A28*10,"")</f>
        <v>3.71767</v>
      </c>
      <c r="H28" s="50">
        <f>IF(FT!B28&lt;&gt;"",FT!B28*100,"")</f>
        <v>26.268000000000001</v>
      </c>
      <c r="I28" s="50">
        <f t="shared" si="2"/>
        <v>1</v>
      </c>
      <c r="J28" t="str">
        <f>IF(FT!B28&lt;&gt;"",FT!E28,"")</f>
        <v>0 [10.535084]</v>
      </c>
      <c r="K28">
        <f>IF(FT!B28&lt;&gt;"",IF(FT!C28&lt;&gt;"",FT!C28,F28/$M$3*$M$4),"")</f>
        <v>10.5351</v>
      </c>
      <c r="V28" s="288">
        <v>40</v>
      </c>
      <c r="W28" s="288">
        <v>60</v>
      </c>
      <c r="Y28" s="75">
        <f t="shared" si="3"/>
        <v>7.0657158919430723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3.7001900000000001</v>
      </c>
      <c r="H29" s="50">
        <f>IF(FT!B29&lt;&gt;"",FT!B29*100,"")</f>
        <v>26.3401</v>
      </c>
      <c r="I29" s="50">
        <f t="shared" si="2"/>
        <v>1</v>
      </c>
      <c r="J29" t="str">
        <f>IF(FT!B29&lt;&gt;"",FT!E29,"")</f>
        <v>0 [10.939133]</v>
      </c>
      <c r="K29">
        <f>IF(FT!B29&lt;&gt;"",IF(FT!C29&lt;&gt;"",FT!C29,F29/$M$3*$M$4),"")</f>
        <v>10.9391</v>
      </c>
      <c r="V29" s="288">
        <v>40</v>
      </c>
      <c r="W29" s="288">
        <v>40</v>
      </c>
      <c r="Y29" s="75">
        <f t="shared" si="3"/>
        <v>7.1185803972228454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3.6833200000000001</v>
      </c>
      <c r="H30" s="50">
        <f>IF(FT!B30&lt;&gt;"",FT!B30*100,"")</f>
        <v>26.468499999999999</v>
      </c>
      <c r="I30" s="50">
        <f t="shared" si="2"/>
        <v>1</v>
      </c>
      <c r="J30" t="str">
        <f>IF(FT!B30&lt;&gt;"",FT!E30,"")</f>
        <v>0 [11.336483]</v>
      </c>
      <c r="K30">
        <f>IF(FT!B30&lt;&gt;"",IF(FT!C30&lt;&gt;"",FT!C30,F30/$M$3*$M$4),"")</f>
        <v>11.336499999999999</v>
      </c>
      <c r="V30" s="288">
        <v>60</v>
      </c>
      <c r="W30" s="288">
        <v>40</v>
      </c>
      <c r="Y30" s="75">
        <f t="shared" si="3"/>
        <v>7.1860441123768766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9.8867958071354303E-2</v>
      </c>
      <c r="D31" s="50">
        <f>IF(hist!$D$2&gt;0,hist!B31/hist!$D$2,0)</f>
        <v>0.31560514719205524</v>
      </c>
      <c r="E31" s="50">
        <f t="shared" si="1"/>
        <v>2.728096910809098E-3</v>
      </c>
      <c r="F31">
        <f t="shared" si="6"/>
        <v>29</v>
      </c>
      <c r="G31" s="50">
        <f>IF(FT!A31&lt;&gt;"",FT!A31*10,"")</f>
        <v>3.6739100000000002</v>
      </c>
      <c r="H31" s="50">
        <f>IF(FT!B31&lt;&gt;"",FT!B31*100,"")</f>
        <v>26.498200000000001</v>
      </c>
      <c r="I31" s="50">
        <f t="shared" si="2"/>
        <v>1</v>
      </c>
      <c r="J31" t="str">
        <f>IF(FT!B31&lt;&gt;"",FT!E31,"")</f>
        <v>0 [11.757444]</v>
      </c>
      <c r="K31">
        <f>IF(FT!B31&lt;&gt;"",IF(FT!C31&lt;&gt;"",FT!C31,F31/$M$3*$M$4),"")</f>
        <v>11.757400000000001</v>
      </c>
      <c r="V31" s="288">
        <v>60</v>
      </c>
      <c r="W31" s="288">
        <v>60</v>
      </c>
      <c r="Y31" s="75">
        <f t="shared" si="3"/>
        <v>7.2125337855309466</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3.6649900000000004</v>
      </c>
      <c r="H32" s="50">
        <f>IF(FT!B32&lt;&gt;"",FT!B32*100,"")</f>
        <v>26.527699999999999</v>
      </c>
      <c r="I32" s="50">
        <f t="shared" si="2"/>
        <v>1</v>
      </c>
      <c r="J32" t="str">
        <f>IF(FT!B32&lt;&gt;"",FT!E32,"")</f>
        <v>0 [12.155572]</v>
      </c>
      <c r="K32">
        <f>IF(FT!B32&lt;&gt;"",IF(FT!C32&lt;&gt;"",FT!C32,F32/$M$3*$M$4),"")</f>
        <v>12.1556</v>
      </c>
      <c r="Y32" s="75">
        <f t="shared" si="3"/>
        <v>7.2381370754081171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0.12363347090513846</v>
      </c>
      <c r="D33" s="50">
        <f>IF(hist!$D$2&gt;0,hist!B33/hist!$D$2,0)</f>
        <v>0.30230971737762363</v>
      </c>
      <c r="E33" s="50">
        <f t="shared" si="1"/>
        <v>3.7178458896922669E-3</v>
      </c>
      <c r="F33">
        <f t="shared" si="6"/>
        <v>31</v>
      </c>
      <c r="G33" s="50">
        <f>IF(FT!A33&lt;&gt;"",FT!A33*10,"")</f>
        <v>3.6556300000000004</v>
      </c>
      <c r="H33" s="50">
        <f>IF(FT!B33&lt;&gt;"",FT!B33*100,"")</f>
        <v>26.612200000000001</v>
      </c>
      <c r="I33" s="50">
        <f t="shared" si="2"/>
        <v>1</v>
      </c>
      <c r="J33" t="str">
        <f>IF(FT!B33&lt;&gt;"",FT!E33,"")</f>
        <v>0 [12.558918]</v>
      </c>
      <c r="K33">
        <f>IF(FT!B33&lt;&gt;"",IF(FT!C33&lt;&gt;"",FT!C33,F33/$M$3*$M$4),"")</f>
        <v>12.5589</v>
      </c>
      <c r="W33" s="23">
        <f>FH_info!G2</f>
        <v>0.71598300000000004</v>
      </c>
      <c r="Y33" s="75">
        <f t="shared" si="3"/>
        <v>7.2797848797608067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3.6460900000000001</v>
      </c>
      <c r="H34" s="50">
        <f>IF(FT!B34&lt;&gt;"",FT!B34*100,"")</f>
        <v>26.723999999999997</v>
      </c>
      <c r="I34" s="50">
        <f t="shared" si="2"/>
        <v>1</v>
      </c>
      <c r="J34" t="str">
        <f>IF(FT!B34&lt;&gt;"",FT!E34,"")</f>
        <v>0 [12.965642]</v>
      </c>
      <c r="K34">
        <f>IF(FT!B34&lt;&gt;"",IF(FT!C34&lt;&gt;"",FT!C34,F34/$M$3*$M$4),"")</f>
        <v>12.9656</v>
      </c>
      <c r="V34" t="s">
        <v>1253</v>
      </c>
      <c r="W34" s="23">
        <f>IF(FH_info!G2&lt;&gt;0,(1-FH_info!G2)*100,0)</f>
        <v>28.401699999999998</v>
      </c>
      <c r="X34" t="s">
        <v>1054</v>
      </c>
      <c r="Y34" s="75">
        <f t="shared" si="3"/>
        <v>7.3294954320930081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3.6364099999999997</v>
      </c>
      <c r="H35" s="50">
        <f>IF(FT!B35&lt;&gt;"",FT!B35*100,"")</f>
        <v>26.856999999999999</v>
      </c>
      <c r="I35" s="50">
        <f t="shared" si="2"/>
        <v>1</v>
      </c>
      <c r="J35" t="str">
        <f>IF(FT!B35&lt;&gt;"",FT!E35,"")</f>
        <v>0 [13.376740]</v>
      </c>
      <c r="K35">
        <f>IF(FT!B35&lt;&gt;"",IF(FT!C35&lt;&gt;"",FT!C35,F35/$M$3*$M$4),"")</f>
        <v>13.3767</v>
      </c>
      <c r="V35" s="52">
        <f>IF(V36&gt;3,100,V36/3*100)</f>
        <v>62.620666666666672</v>
      </c>
      <c r="W35" s="23">
        <f>IF(FH_info!G2*1&lt;&gt;0,(1-NORMSDIST((FH_info!G2*1-0.5308)/0.1538))*100,0)</f>
        <v>11.428498862087233</v>
      </c>
      <c r="X35" t="s">
        <v>1053</v>
      </c>
      <c r="Y35" s="75">
        <f t="shared" si="3"/>
        <v>7.3855808338443687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0.1985309671582946</v>
      </c>
      <c r="D36" s="50">
        <f>IF(hist!$D$2&gt;0,hist!B36/hist!$D$2,0)</f>
        <v>0.29010452734864395</v>
      </c>
      <c r="E36" s="50">
        <f t="shared" si="1"/>
        <v>5.8222131217928776E-3</v>
      </c>
      <c r="F36">
        <f t="shared" si="6"/>
        <v>34</v>
      </c>
      <c r="G36" s="50">
        <f>IF(FT!A36&lt;&gt;"",FT!A36*10,"")</f>
        <v>3.6280000000000001</v>
      </c>
      <c r="H36" s="50">
        <f>IF(FT!B36&lt;&gt;"",FT!B36*100,"")</f>
        <v>26.978899999999999</v>
      </c>
      <c r="I36" s="50">
        <f t="shared" si="2"/>
        <v>1</v>
      </c>
      <c r="J36" t="str">
        <f>IF(FT!B36&lt;&gt;"",FT!E36,"")</f>
        <v>0 [13.784910]</v>
      </c>
      <c r="K36">
        <f>IF(FT!B36&lt;&gt;"",IF(FT!C36&lt;&gt;"",FT!C36,F36/$M$3*$M$4),"")</f>
        <v>13.7849</v>
      </c>
      <c r="R36" s="71" t="s">
        <v>2215</v>
      </c>
      <c r="S36" t="s">
        <v>1251</v>
      </c>
      <c r="U36" t="s">
        <v>386</v>
      </c>
      <c r="V36" s="495">
        <f>FH_info!F2*1</f>
        <v>1.87862</v>
      </c>
      <c r="W36" s="495">
        <f>IF(W34&gt;=60,30/40*(W34-60)+70,IF(W34&gt;=35,35/25*(W34-35)+35,IF(W34&gt;=0,W34,0)))</f>
        <v>28.401699999999998</v>
      </c>
      <c r="X36" s="23" t="s">
        <v>388</v>
      </c>
      <c r="Y36" s="75">
        <f t="shared" si="3"/>
        <v>7.4363009922822485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3.6226500000000001</v>
      </c>
      <c r="H37" s="50">
        <f>IF(FT!B37&lt;&gt;"",FT!B37*100,"")</f>
        <v>27.114599999999999</v>
      </c>
      <c r="I37" s="50">
        <f t="shared" si="2"/>
        <v>1</v>
      </c>
      <c r="J37" t="str">
        <f>IF(FT!B37&lt;&gt;"",FT!E37,"")</f>
        <v>0 [14.187515]</v>
      </c>
      <c r="K37">
        <f>IF(FT!B37&lt;&gt;"",IF(FT!C37&lt;&gt;"",FT!C37,F37/$M$3*$M$4),"")</f>
        <v>14.1875</v>
      </c>
      <c r="R37" s="71" t="s">
        <v>2222</v>
      </c>
      <c r="S37" t="s">
        <v>2216</v>
      </c>
      <c r="U37" t="s">
        <v>458</v>
      </c>
      <c r="V37" s="130" t="str">
        <f>IF(V36&gt;=2.5,"v","")</f>
        <v/>
      </c>
      <c r="W37" s="130" t="str">
        <f>IF(W36&gt;=60,"v","")</f>
        <v/>
      </c>
      <c r="Y37" s="75">
        <f t="shared" si="3"/>
        <v>7.4847418326363293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3.6206100000000001</v>
      </c>
      <c r="H38" s="50">
        <f>IF(FT!B38&lt;&gt;"",FT!B38*100,"")</f>
        <v>27.2561</v>
      </c>
      <c r="I38" s="50">
        <f t="shared" si="2"/>
        <v>1</v>
      </c>
      <c r="J38" t="str">
        <f>IF(FT!B38&lt;&gt;"",FT!E38,"")</f>
        <v>0 [14.587353]</v>
      </c>
      <c r="K38">
        <f>IF(FT!B38&lt;&gt;"",IF(FT!C38&lt;&gt;"",FT!C38,F38/$M$3*$M$4),"")</f>
        <v>14.587400000000001</v>
      </c>
      <c r="U38" t="s">
        <v>460</v>
      </c>
      <c r="V38" s="130" t="str">
        <f>IF(V36&gt;=1,IF(V36&lt;2.5,"v",""),"")</f>
        <v>v</v>
      </c>
      <c r="W38" s="130" t="str">
        <f>IF(W36*1&gt;35,IF(W36&lt;60,"v",""),"")</f>
        <v/>
      </c>
      <c r="Y38" s="75">
        <f t="shared" si="3"/>
        <v>7.5280408549940478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0.38012800028804566</v>
      </c>
      <c r="D39" s="50">
        <f>IF(hist!$D$2&gt;0,hist!B39/hist!$D$2,0)</f>
        <v>0.28040030357007723</v>
      </c>
      <c r="E39" s="50">
        <f t="shared" si="1"/>
        <v>8.946723387532881E-3</v>
      </c>
      <c r="F39">
        <f t="shared" si="6"/>
        <v>37</v>
      </c>
      <c r="G39" s="50">
        <f>IF(FT!A39&lt;&gt;"",FT!A39*10,"")</f>
        <v>3.6223999999999998</v>
      </c>
      <c r="H39" s="50">
        <f>IF(FT!B39&lt;&gt;"",FT!B39*100,"")</f>
        <v>27.404199999999999</v>
      </c>
      <c r="I39" s="50">
        <f t="shared" si="2"/>
        <v>1</v>
      </c>
      <c r="J39" t="str">
        <f>IF(FT!B39&lt;&gt;"",FT!E39,"")</f>
        <v>0 [15.002322]</v>
      </c>
      <c r="K39">
        <f>IF(FT!B39&lt;&gt;"",IF(FT!C39&lt;&gt;"",FT!C39,F39/$M$3*$M$4),"")</f>
        <v>15.0023</v>
      </c>
      <c r="U39" t="s">
        <v>462</v>
      </c>
      <c r="V39" s="131" t="str">
        <f>IF(V36&lt;1,"v","")</f>
        <v/>
      </c>
      <c r="W39" s="130" t="str">
        <f>IF(W36&lt;=35,"v","")</f>
        <v>v</v>
      </c>
      <c r="Y39" s="75">
        <f t="shared" si="3"/>
        <v>7.5652053886925801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3.6252599999999999</v>
      </c>
      <c r="H40" s="50">
        <f>IF(FT!B40&lt;&gt;"",FT!B40*100,"")</f>
        <v>27.569900000000004</v>
      </c>
      <c r="I40" s="50">
        <f t="shared" si="2"/>
        <v>1</v>
      </c>
      <c r="J40" t="str">
        <f>IF(FT!B40&lt;&gt;"",FT!E40,"")</f>
        <v>0 [15.401973]</v>
      </c>
      <c r="K40">
        <f>IF(FT!B40&lt;&gt;"",IF(FT!C40&lt;&gt;"",FT!C40,F40/$M$3*$M$4),"")</f>
        <v>15.401999999999999</v>
      </c>
      <c r="V40" s="287" t="str">
        <f>IF(V36&lt;1,lang!B231,IF(V36&lt;2.5,lang!B230,lang!B229))</f>
        <v>보 통</v>
      </c>
      <c r="W40" s="287" t="str">
        <f>IF(W36&lt;=35,lang!B242,IF(W36&lt;60,lang!B241,lang!B240))</f>
        <v>낮 음</v>
      </c>
      <c r="X40" t="s">
        <v>1055</v>
      </c>
      <c r="Y40" s="75">
        <f t="shared" si="3"/>
        <v>7.6049441971058638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0.46863115303775649</v>
      </c>
      <c r="D41" s="50">
        <f>IF(hist!$D$2&gt;0,hist!B41/hist!$D$2,0)</f>
        <v>0.2681556583278768</v>
      </c>
      <c r="E41" s="50">
        <f t="shared" si="1"/>
        <v>1.1789105059485654E-2</v>
      </c>
      <c r="F41">
        <f t="shared" si="6"/>
        <v>39</v>
      </c>
      <c r="G41" s="50">
        <f>IF(FT!A41&lt;&gt;"",FT!A41*10,"")</f>
        <v>3.6280200000000002</v>
      </c>
      <c r="H41" s="50">
        <f>IF(FT!B41&lt;&gt;"",FT!B41*100,"")</f>
        <v>27.751999999999999</v>
      </c>
      <c r="I41" s="50">
        <f t="shared" si="2"/>
        <v>1</v>
      </c>
      <c r="J41" t="str">
        <f>IF(FT!B41&lt;&gt;"",FT!E41,"")</f>
        <v>0 [15.817894]</v>
      </c>
      <c r="K41">
        <f>IF(FT!B41&lt;&gt;"",IF(FT!C41&lt;&gt;"",FT!C41,F41/$M$3*$M$4),"")</f>
        <v>15.8179</v>
      </c>
      <c r="V41" t="s">
        <v>2216</v>
      </c>
      <c r="W41" s="287" t="s">
        <v>2154</v>
      </c>
      <c r="X41" t="s">
        <v>1056</v>
      </c>
      <c r="Y41" s="75">
        <f t="shared" si="3"/>
        <v>7.6493514368719016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3.6279499999999998</v>
      </c>
      <c r="H42" s="50">
        <f>IF(FT!B42&lt;&gt;"",FT!B42*100,"")</f>
        <v>27.960899999999999</v>
      </c>
      <c r="I42" s="50">
        <f t="shared" si="2"/>
        <v>1</v>
      </c>
      <c r="J42" t="str">
        <f>IF(FT!B42&lt;&gt;"",FT!E42,"")</f>
        <v>0 [16.212804]</v>
      </c>
      <c r="K42">
        <f>IF(FT!B42&lt;&gt;"",IF(FT!C42&lt;&gt;"",FT!C42,F42/$M$3*$M$4),"")</f>
        <v>16.212800000000001</v>
      </c>
      <c r="U42" t="s">
        <v>464</v>
      </c>
      <c r="V42" t="s">
        <v>273</v>
      </c>
      <c r="Y42" s="75">
        <f t="shared" si="3"/>
        <v>7.7070797557849477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3.6270799999999999</v>
      </c>
      <c r="H43" s="50">
        <f>IF(FT!B43&lt;&gt;"",FT!B43*100,"")</f>
        <v>28.189399999999999</v>
      </c>
      <c r="I43" s="50">
        <f t="shared" si="2"/>
        <v>1</v>
      </c>
      <c r="J43" t="str">
        <f>IF(FT!B43&lt;&gt;"",FT!E43,"")</f>
        <v>0 [16.627759]</v>
      </c>
      <c r="K43">
        <f>IF(FT!B43&lt;&gt;"",IF(FT!C43&lt;&gt;"",FT!C43,F43/$M$3*$M$4),"")</f>
        <v>16.627800000000001</v>
      </c>
      <c r="V43" s="287" t="str">
        <f>IF(M!B17="","",IF(W43&lt;5,CJ4,IF(W43&lt;10,CK4,IF(W43&lt;30,CL4,IF(W43&lt;40,CM4,CN4)))))</f>
        <v>보통</v>
      </c>
      <c r="W43" s="287">
        <f>IF(M!B17="","",M!B17*1)</f>
        <v>22.2822</v>
      </c>
      <c r="Y43" s="75">
        <f t="shared" si="3"/>
        <v>7.7719267289389808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0.47998532767443641</v>
      </c>
      <c r="D44" s="50">
        <f>IF(hist!$D$2&gt;0,hist!B44/hist!$D$2,0)</f>
        <v>0.25475457015367087</v>
      </c>
      <c r="E44" s="50">
        <f t="shared" si="1"/>
        <v>1.7553163979956189E-2</v>
      </c>
      <c r="F44">
        <f t="shared" si="6"/>
        <v>42</v>
      </c>
      <c r="G44" s="50">
        <f>IF(FT!A44&lt;&gt;"",FT!A44*10,"")</f>
        <v>3.6262600000000003</v>
      </c>
      <c r="H44" s="50">
        <f>IF(FT!B44&lt;&gt;"",FT!B44*100,"")</f>
        <v>28.439999999999998</v>
      </c>
      <c r="I44" s="50">
        <f t="shared" si="2"/>
        <v>1</v>
      </c>
      <c r="J44" t="str">
        <f>IF(FT!B44&lt;&gt;"",FT!E44,"")</f>
        <v>0 [17.038442]</v>
      </c>
      <c r="K44">
        <f>IF(FT!B44&lt;&gt;"",IF(FT!C44&lt;&gt;"",FT!C44,F44/$M$3*$M$4),"")</f>
        <v>17.038399999999999</v>
      </c>
      <c r="V44" s="287" t="str">
        <f>IF(M!B17="","",IF(W43&lt;5,CJ5,IF(W43&lt;10,CK5,IF(W43&lt;30,CL5,IF(W43&lt;40,CM5,CN5)))))</f>
        <v>감정변화가 안정된 정상적인 상태</v>
      </c>
      <c r="Y44" s="75">
        <f t="shared" si="3"/>
        <v>7.8427911953362406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3.6223800000000002</v>
      </c>
      <c r="H45" s="50">
        <f>IF(FT!B45&lt;&gt;"",FT!B45*100,"")</f>
        <v>28.719799999999999</v>
      </c>
      <c r="I45" s="50">
        <f t="shared" si="2"/>
        <v>1</v>
      </c>
      <c r="J45" t="str">
        <f>IF(FT!B45&lt;&gt;"",FT!E45,"")</f>
        <v>0 [17.451017]</v>
      </c>
      <c r="K45">
        <f>IF(FT!B45&lt;&gt;"",IF(FT!C45&lt;&gt;"",FT!C45,F45/$M$3*$M$4),"")</f>
        <v>17.451000000000001</v>
      </c>
      <c r="V45" s="287">
        <f>IF(M!B17="","",IF(W43&lt;5,CJ3,IF(W43&lt;10,CK3,IF(W43&lt;30,CL3,IF(W43&lt;40,CM3,CN3)))))</f>
        <v>3</v>
      </c>
      <c r="Y45" s="75">
        <f t="shared" si="3"/>
        <v>7.9284337921477031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0.53403889516488368</v>
      </c>
      <c r="D46" s="50">
        <f>IF(hist!$D$2&gt;0,hist!B46/hist!$D$2,0)</f>
        <v>0.24333194970921851</v>
      </c>
      <c r="E46" s="50">
        <f t="shared" si="1"/>
        <v>2.2648425287834031E-2</v>
      </c>
      <c r="F46">
        <f t="shared" si="6"/>
        <v>44</v>
      </c>
      <c r="G46" s="50">
        <f>IF(FT!A46&lt;&gt;"",FT!A46*10,"")</f>
        <v>3.6143999999999998</v>
      </c>
      <c r="H46" s="50">
        <f>IF(FT!B46&lt;&gt;"",FT!B46*100,"")</f>
        <v>29.052</v>
      </c>
      <c r="I46" s="50">
        <f t="shared" si="2"/>
        <v>1</v>
      </c>
      <c r="J46" t="str">
        <f>IF(FT!B46&lt;&gt;"",FT!E46,"")</f>
        <v>0 [17.855882]</v>
      </c>
      <c r="K46">
        <f>IF(FT!B46&lt;&gt;"",IF(FT!C46&lt;&gt;"",FT!C46,F46/$M$3*$M$4),"")</f>
        <v>17.855899999999998</v>
      </c>
      <c r="Y46" s="75">
        <f t="shared" si="3"/>
        <v>8.0378486055776897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3.60093</v>
      </c>
      <c r="H47" s="50">
        <f>IF(FT!B47&lt;&gt;"",FT!B47*100,"")</f>
        <v>29.433399999999999</v>
      </c>
      <c r="I47" s="50">
        <f t="shared" si="2"/>
        <v>1</v>
      </c>
      <c r="J47" t="str">
        <f>IF(FT!B47&lt;&gt;"",FT!E47,"")</f>
        <v>0 [18.249961]</v>
      </c>
      <c r="K47">
        <f>IF(FT!B47&lt;&gt;"",IF(FT!C47&lt;&gt;"",FT!C47,F47/$M$3*$M$4),"")</f>
        <v>18.25</v>
      </c>
      <c r="Y47" s="75">
        <f t="shared" si="3"/>
        <v>8.173832870952781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3.5870099999999998</v>
      </c>
      <c r="H48" s="50">
        <f>IF(FT!B48&lt;&gt;"",FT!B48*100,"")</f>
        <v>29.854900000000001</v>
      </c>
      <c r="I48" s="50">
        <f t="shared" si="2"/>
        <v>1</v>
      </c>
      <c r="J48" t="str">
        <f>IF(FT!B48&lt;&gt;"",FT!E48,"")</f>
        <v>0 [18.659535]</v>
      </c>
      <c r="K48">
        <f>IF(FT!B48&lt;&gt;"",IF(FT!C48&lt;&gt;"",FT!C48,F48/$M$3*$M$4),"")</f>
        <v>18.659500000000001</v>
      </c>
      <c r="Y48" s="75">
        <f t="shared" si="3"/>
        <v>8.3230601531637785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0.66092300629649803</v>
      </c>
      <c r="D49" s="50">
        <f>IF(hist!$D$2&gt;0,hist!B49/hist!$D$2,0)</f>
        <v>0.22913613066407965</v>
      </c>
      <c r="E49" s="50">
        <f t="shared" si="1"/>
        <v>3.267467256268837E-2</v>
      </c>
      <c r="F49">
        <f t="shared" si="6"/>
        <v>47</v>
      </c>
      <c r="G49" s="50">
        <f>IF(FT!A49&lt;&gt;"",FT!A49*10,"")</f>
        <v>3.57246</v>
      </c>
      <c r="H49" s="50">
        <f>IF(FT!B49&lt;&gt;"",FT!B49*100,"")</f>
        <v>30.360300000000002</v>
      </c>
      <c r="I49" s="50">
        <f t="shared" si="2"/>
        <v>1</v>
      </c>
      <c r="J49" t="str">
        <f>IF(FT!B49&lt;&gt;"",FT!E49,"")</f>
        <v>0 [19.063829]</v>
      </c>
      <c r="K49">
        <f>IF(FT!B49&lt;&gt;"",IF(FT!C49&lt;&gt;"",FT!C49,F49/$M$3*$M$4),"")</f>
        <v>19.063800000000001</v>
      </c>
      <c r="Y49" s="75">
        <f t="shared" si="3"/>
        <v>8.4984296535160659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3.5638100000000001</v>
      </c>
      <c r="H50" s="50">
        <f>IF(FT!B50&lt;&gt;"",FT!B50*100,"")</f>
        <v>30.916</v>
      </c>
      <c r="I50" s="50">
        <f t="shared" si="2"/>
        <v>1</v>
      </c>
      <c r="J50" t="str">
        <f>IF(FT!B50&lt;&gt;"",FT!E50,"")</f>
        <v>0 [19.471812]</v>
      </c>
      <c r="K50">
        <f>IF(FT!B50&lt;&gt;"",IF(FT!C50&lt;&gt;"",FT!C50,F50/$M$3*$M$4),"")</f>
        <v>19.471800000000002</v>
      </c>
      <c r="V50" t="s">
        <v>1427</v>
      </c>
      <c r="Y50" s="75">
        <f t="shared" si="3"/>
        <v>8.674985479023853</v>
      </c>
    </row>
    <row r="51" spans="1:25">
      <c r="A51" s="50">
        <f t="shared" si="5"/>
        <v>49</v>
      </c>
      <c r="B51" s="50">
        <f t="shared" si="0"/>
        <v>0.94606701960784312</v>
      </c>
      <c r="C51" s="50">
        <f>IF(FH!$C$2&gt;0,FH!A51/FH!$C$2,0)</f>
        <v>0.75143685274115946</v>
      </c>
      <c r="D51" s="50">
        <f>IF(hist!$D$2&gt;0,hist!B51/hist!$D$2,0)</f>
        <v>0.2172775487922621</v>
      </c>
      <c r="E51" s="50">
        <f t="shared" si="1"/>
        <v>4.1281894481002994E-2</v>
      </c>
      <c r="F51">
        <f t="shared" si="6"/>
        <v>49</v>
      </c>
      <c r="G51" s="50">
        <f>IF(FT!A51&lt;&gt;"",FT!A51*10,"")</f>
        <v>3.5585</v>
      </c>
      <c r="H51" s="50">
        <f>IF(FT!B51&lt;&gt;"",FT!B51*100,"")</f>
        <v>31.446300000000001</v>
      </c>
      <c r="I51" s="50">
        <f t="shared" si="2"/>
        <v>1</v>
      </c>
      <c r="J51" t="str">
        <f>IF(FT!B51&lt;&gt;"",FT!E51,"")</f>
        <v>0 [19.869459]</v>
      </c>
      <c r="K51">
        <f>IF(FT!B51&lt;&gt;"",IF(FT!C51&lt;&gt;"",FT!C51,F51/$M$3*$M$4),"")</f>
        <v>19.869499999999999</v>
      </c>
      <c r="V51" s="56">
        <v>50</v>
      </c>
      <c r="W51">
        <v>50</v>
      </c>
      <c r="Y51" s="75">
        <f t="shared" si="3"/>
        <v>8.8369537726570186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3.55416</v>
      </c>
      <c r="H52" s="50">
        <f>IF(FT!B52&lt;&gt;"",FT!B52*100,"")</f>
        <v>31.882400000000001</v>
      </c>
      <c r="I52" s="50">
        <f t="shared" si="2"/>
        <v>1</v>
      </c>
      <c r="J52" t="str">
        <f>IF(FT!B52&lt;&gt;"",FT!E52,"")</f>
        <v>0 [20.277610]</v>
      </c>
      <c r="K52">
        <f>IF(FT!B52&lt;&gt;"",IF(FT!C52&lt;&gt;"",FT!C52,F52/$M$3*$M$4),"")</f>
        <v>20.2776</v>
      </c>
      <c r="V52" s="288">
        <f>Measurement!DK17*100</f>
        <v>64.599734651068019</v>
      </c>
      <c r="W52" s="303">
        <f ca="1">100-N9</f>
        <v>67.382750505050495</v>
      </c>
      <c r="X52" t="str">
        <f ca="1">"(" &amp; ROUND(V52,1) &amp; " , " &amp; ROUND(100-W52,1) &amp; ")"</f>
        <v>(64.6 , 32.6)</v>
      </c>
      <c r="Y52" s="75">
        <f t="shared" si="3"/>
        <v>8.9704459000157559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3.5502099999999999</v>
      </c>
      <c r="H53" s="50">
        <f>IF(FT!B53&lt;&gt;"",FT!B53*100,"")</f>
        <v>32.244</v>
      </c>
      <c r="I53" s="50">
        <f t="shared" si="2"/>
        <v>1</v>
      </c>
      <c r="J53" t="str">
        <f>IF(FT!B53&lt;&gt;"",FT!E53,"")</f>
        <v>0 [20.680849]</v>
      </c>
      <c r="K53">
        <f>IF(FT!B53&lt;&gt;"",IF(FT!C53&lt;&gt;"",FT!C53,F53/$M$3*$M$4),"")</f>
        <v>20.680800000000001</v>
      </c>
      <c r="Y53" s="75">
        <f t="shared" si="3"/>
        <v>9.0822796397959564</v>
      </c>
    </row>
    <row r="54" spans="1:25">
      <c r="A54" s="50">
        <f t="shared" si="5"/>
        <v>52</v>
      </c>
      <c r="B54" s="50">
        <f t="shared" si="0"/>
        <v>1.0039894901960784</v>
      </c>
      <c r="C54" s="50">
        <f>IF(FH!$C$2&gt;0,FH!A54/FH!$C$2,0)</f>
        <v>0.87238789848190934</v>
      </c>
      <c r="D54" s="50">
        <f>IF(hist!$D$2&gt;0,hist!B54/hist!$D$2,0)</f>
        <v>0.20554318331131724</v>
      </c>
      <c r="E54" s="50">
        <f t="shared" si="1"/>
        <v>5.7707400661275575E-2</v>
      </c>
      <c r="F54">
        <f t="shared" si="6"/>
        <v>52</v>
      </c>
      <c r="G54" s="50">
        <f>IF(FT!A54&lt;&gt;"",FT!A54*10,"")</f>
        <v>3.5477999999999996</v>
      </c>
      <c r="H54" s="50">
        <f>IF(FT!B54&lt;&gt;"",FT!B54*100,"")</f>
        <v>32.460599999999999</v>
      </c>
      <c r="I54" s="50">
        <f t="shared" si="2"/>
        <v>1</v>
      </c>
      <c r="J54" t="str">
        <f>IF(FT!B54&lt;&gt;"",FT!E54,"")</f>
        <v>0 [21.092264]</v>
      </c>
      <c r="K54">
        <f>IF(FT!B54&lt;&gt;"",IF(FT!C54&lt;&gt;"",FT!C54,F54/$M$3*$M$4),"")</f>
        <v>21.092300000000002</v>
      </c>
      <c r="Y54" s="75">
        <f t="shared" si="3"/>
        <v>9.1495010992727899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3.5504899999999999</v>
      </c>
      <c r="H55" s="50">
        <f>IF(FT!B55&lt;&gt;"",FT!B55*100,"")</f>
        <v>32.511000000000003</v>
      </c>
      <c r="I55" s="50">
        <f t="shared" si="2"/>
        <v>1</v>
      </c>
      <c r="J55" t="str">
        <f>IF(FT!B55&lt;&gt;"",FT!E55,"")</f>
        <v>0 [21.497625]</v>
      </c>
      <c r="K55">
        <f>IF(FT!B55&lt;&gt;"",IF(FT!C55&lt;&gt;"",FT!C55,F55/$M$3*$M$4),"")</f>
        <v>21.497599999999998</v>
      </c>
      <c r="Y55" s="75">
        <f t="shared" si="3"/>
        <v>9.1567642776067544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3.5530400000000002</v>
      </c>
      <c r="H56" s="50">
        <f>IF(FT!B56&lt;&gt;"",FT!B56*100,"")</f>
        <v>32.610399999999998</v>
      </c>
      <c r="I56" s="50">
        <f t="shared" si="2"/>
        <v>1</v>
      </c>
      <c r="J56" t="str">
        <f>IF(FT!B56&lt;&gt;"",FT!E56,"")</f>
        <v>0 [21.906317]</v>
      </c>
      <c r="K56">
        <f>IF(FT!B56&lt;&gt;"",IF(FT!C56&lt;&gt;"",FT!C56,F56/$M$3*$M$4),"")</f>
        <v>21.906300000000002</v>
      </c>
      <c r="Y56" s="75">
        <f t="shared" si="3"/>
        <v>9.1781685542521316</v>
      </c>
    </row>
    <row r="57" spans="1:25">
      <c r="A57" s="50">
        <f t="shared" si="5"/>
        <v>55</v>
      </c>
      <c r="B57" s="50">
        <f t="shared" si="0"/>
        <v>1.0619119607843137</v>
      </c>
      <c r="C57" s="50">
        <f>IF(FH!$C$2&gt;0,FH!A57/FH!$C$2,0)</f>
        <v>0.72787674346383902</v>
      </c>
      <c r="D57" s="50">
        <f>IF(hist!$D$2&gt;0,hist!B57/hist!$D$2,0)</f>
        <v>0.19296182676223375</v>
      </c>
      <c r="E57" s="50">
        <f t="shared" si="1"/>
        <v>7.9155774427132328E-2</v>
      </c>
      <c r="F57">
        <f t="shared" si="6"/>
        <v>55</v>
      </c>
      <c r="G57" s="50">
        <f>IF(FT!A57&lt;&gt;"",FT!A57*10,"")</f>
        <v>3.5559400000000001</v>
      </c>
      <c r="H57" s="50">
        <f>IF(FT!B57&lt;&gt;"",FT!B57*100,"")</f>
        <v>32.724699999999999</v>
      </c>
      <c r="I57" s="50">
        <f t="shared" si="2"/>
        <v>1</v>
      </c>
      <c r="J57" t="str">
        <f>IF(FT!B57&lt;&gt;"",FT!E57,"")</f>
        <v>0 [22.316144]</v>
      </c>
      <c r="K57">
        <f>IF(FT!B57&lt;&gt;"",IF(FT!C57&lt;&gt;"",FT!C57,F57/$M$3*$M$4),"")</f>
        <v>22.316099999999999</v>
      </c>
      <c r="Y57" s="75">
        <f t="shared" si="3"/>
        <v>9.2028268193501575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3.5620400000000001</v>
      </c>
      <c r="H58" s="50">
        <f>IF(FT!B58&lt;&gt;"",FT!B58*100,"")</f>
        <v>32.808500000000002</v>
      </c>
      <c r="I58" s="50">
        <f t="shared" si="2"/>
        <v>1</v>
      </c>
      <c r="J58" t="str">
        <f>IF(FT!B58&lt;&gt;"",FT!E58,"")</f>
        <v>0 [22.722556]</v>
      </c>
      <c r="K58">
        <f>IF(FT!B58&lt;&gt;"",IF(FT!C58&lt;&gt;"",FT!C58,F58/$M$3*$M$4),"")</f>
        <v>22.7226</v>
      </c>
      <c r="Y58" s="75">
        <f t="shared" si="3"/>
        <v>9.2105928063693838</v>
      </c>
    </row>
    <row r="59" spans="1:25" ht="16.5" customHeight="1">
      <c r="A59" s="50">
        <f t="shared" si="5"/>
        <v>57</v>
      </c>
      <c r="B59" s="50">
        <f t="shared" si="0"/>
        <v>1.1005269411764707</v>
      </c>
      <c r="C59" s="50">
        <f>IF(FH!$C$2&gt;0,FH!A59/FH!$C$2,0)</f>
        <v>0.71731806991408131</v>
      </c>
      <c r="D59" s="50">
        <f>IF(hist!$D$2&gt;0,hist!B59/hist!$D$2,0)</f>
        <v>0.18296152508646654</v>
      </c>
      <c r="E59" s="50">
        <f t="shared" si="1"/>
        <v>9.6697715841044085E-2</v>
      </c>
      <c r="F59">
        <f t="shared" si="6"/>
        <v>57</v>
      </c>
      <c r="G59" s="50">
        <f>IF(FT!A59&lt;&gt;"",FT!A59*10,"")</f>
        <v>3.5720499999999999</v>
      </c>
      <c r="H59" s="50">
        <f>IF(FT!B59&lt;&gt;"",FT!B59*100,"")</f>
        <v>32.967200000000005</v>
      </c>
      <c r="I59" s="50">
        <f t="shared" si="2"/>
        <v>1</v>
      </c>
      <c r="J59" t="str">
        <f>IF(FT!B59&lt;&gt;"",FT!E59,"")</f>
        <v>0 [23.125058]</v>
      </c>
      <c r="K59">
        <f>IF(FT!B59&lt;&gt;"",IF(FT!C59&lt;&gt;"",FT!C59,F59/$M$3*$M$4),"")</f>
        <v>23.1251</v>
      </c>
      <c r="Y59" s="75">
        <f t="shared" si="3"/>
        <v>9.2292101174395675</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3.58561</v>
      </c>
      <c r="H60" s="50">
        <f>IF(FT!B60&lt;&gt;"",FT!B60*100,"")</f>
        <v>33.072499999999998</v>
      </c>
      <c r="I60" s="50">
        <f t="shared" si="2"/>
        <v>1</v>
      </c>
      <c r="J60" t="str">
        <f>IF(FT!B60&lt;&gt;"",FT!E60,"")</f>
        <v>0 [23.532111]</v>
      </c>
      <c r="K60">
        <f>IF(FT!B60&lt;&gt;"",IF(FT!C60&lt;&gt;"",FT!C60,F60/$M$3*$M$4),"")</f>
        <v>23.5321</v>
      </c>
      <c r="Y60" s="75">
        <f t="shared" si="3"/>
        <v>9.2236746327682031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3.59904</v>
      </c>
      <c r="H61" s="50">
        <f>IF(FT!B61&lt;&gt;"",FT!B61*100,"")</f>
        <v>33.299299999999995</v>
      </c>
      <c r="I61" s="50">
        <f t="shared" si="2"/>
        <v>1</v>
      </c>
      <c r="J61" t="str">
        <f>IF(FT!B61&lt;&gt;"",FT!E61,"")</f>
        <v>0 [23.947666]</v>
      </c>
      <c r="K61">
        <f>IF(FT!B61&lt;&gt;"",IF(FT!C61&lt;&gt;"",FT!C61,F61/$M$3*$M$4),"")</f>
        <v>23.947700000000001</v>
      </c>
      <c r="Y61" s="75">
        <f t="shared" si="3"/>
        <v>9.2522728283097706</v>
      </c>
    </row>
    <row r="62" spans="1:25">
      <c r="A62" s="50">
        <f t="shared" si="5"/>
        <v>60</v>
      </c>
      <c r="B62" s="50">
        <f t="shared" si="0"/>
        <v>1.1584494117647057</v>
      </c>
      <c r="C62" s="50">
        <f>IF(FH!$C$2&gt;0,FH!A62/FH!$C$2,0)</f>
        <v>0.56197594818778784</v>
      </c>
      <c r="D62" s="50">
        <f>IF(hist!$D$2&gt;0,hist!B62/hist!$D$2,0)</f>
        <v>0.17429934423711435</v>
      </c>
      <c r="E62" s="50">
        <f t="shared" si="1"/>
        <v>0.12851859397574797</v>
      </c>
      <c r="F62">
        <f t="shared" si="6"/>
        <v>60</v>
      </c>
      <c r="G62" s="50">
        <f>IF(FT!A62&lt;&gt;"",FT!A62*10,"")</f>
        <v>3.6120000000000001</v>
      </c>
      <c r="H62" s="50">
        <f>IF(FT!B62&lt;&gt;"",FT!B62*100,"")</f>
        <v>33.486800000000002</v>
      </c>
      <c r="I62" s="50">
        <f t="shared" si="2"/>
        <v>1</v>
      </c>
      <c r="J62" t="str">
        <f>IF(FT!B62&lt;&gt;"",FT!E62,"")</f>
        <v>0 [24.361651]</v>
      </c>
      <c r="K62">
        <f>IF(FT!B62&lt;&gt;"",IF(FT!C62&lt;&gt;"",FT!C62,F62/$M$3*$M$4),"")</f>
        <v>24.361699999999999</v>
      </c>
      <c r="Y62" s="75">
        <f t="shared" si="3"/>
        <v>9.2709856035437443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3.6240299999999999</v>
      </c>
      <c r="H63" s="50">
        <f>IF(FT!B63&lt;&gt;"",FT!B63*100,"")</f>
        <v>33.7744</v>
      </c>
      <c r="I63" s="50">
        <f t="shared" si="2"/>
        <v>1</v>
      </c>
      <c r="J63" t="str">
        <f>IF(FT!B63&lt;&gt;"",FT!E63,"")</f>
        <v>0 [24.748224]</v>
      </c>
      <c r="K63">
        <f>IF(FT!B63&lt;&gt;"",IF(FT!C63&lt;&gt;"",FT!C63,F63/$M$3*$M$4),"")</f>
        <v>24.748200000000001</v>
      </c>
      <c r="Y63" s="75">
        <f t="shared" si="3"/>
        <v>9.3195696503616148</v>
      </c>
    </row>
    <row r="64" spans="1:25">
      <c r="A64" s="50">
        <f t="shared" si="5"/>
        <v>62</v>
      </c>
      <c r="B64" s="50">
        <f t="shared" si="0"/>
        <v>1.1970643921568627</v>
      </c>
      <c r="C64" s="50">
        <f>IF(FH!$C$2&gt;0,FH!A64/FH!$C$2,0)</f>
        <v>0.58575209170653553</v>
      </c>
      <c r="D64" s="50">
        <f>IF(hist!$D$2&gt;0,hist!B64/hist!$D$2,0)</f>
        <v>0.16424563865147862</v>
      </c>
      <c r="E64" s="50">
        <f t="shared" si="1"/>
        <v>0.15373238065593908</v>
      </c>
      <c r="F64">
        <f t="shared" si="6"/>
        <v>62</v>
      </c>
      <c r="G64" s="50">
        <f>IF(FT!A64&lt;&gt;"",FT!A64*10,"")</f>
        <v>3.6368099999999997</v>
      </c>
      <c r="H64" s="50">
        <f>IF(FT!B64&lt;&gt;"",FT!B64*100,"")</f>
        <v>34.098700000000001</v>
      </c>
      <c r="I64" s="50">
        <f t="shared" si="2"/>
        <v>1</v>
      </c>
      <c r="J64" t="str">
        <f>IF(FT!B64&lt;&gt;"",FT!E64,"")</f>
        <v>0 [25.149055]</v>
      </c>
      <c r="K64">
        <f>IF(FT!B64&lt;&gt;"",IF(FT!C64&lt;&gt;"",FT!C64,F64/$M$3*$M$4),"")</f>
        <v>25.149100000000001</v>
      </c>
      <c r="Y64" s="75">
        <f t="shared" si="3"/>
        <v>9.3759915970314651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3.6524800000000002</v>
      </c>
      <c r="H65" s="50">
        <f>IF(FT!B65&lt;&gt;"",FT!B65*100,"")</f>
        <v>34.3294</v>
      </c>
      <c r="I65" s="50">
        <f t="shared" si="2"/>
        <v>1</v>
      </c>
      <c r="J65" t="str">
        <f>IF(FT!B65&lt;&gt;"",FT!E65,"")</f>
        <v>0 [25.560708]</v>
      </c>
      <c r="K65">
        <f>IF(FT!B65&lt;&gt;"",IF(FT!C65&lt;&gt;"",FT!C65,F65/$M$3*$M$4),"")</f>
        <v>25.560700000000001</v>
      </c>
      <c r="Y65" s="75">
        <f t="shared" si="3"/>
        <v>9.3989289469073061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3.6712400000000001</v>
      </c>
      <c r="H66" s="50">
        <f>IF(FT!B66&lt;&gt;"",FT!B66*100,"")</f>
        <v>34.540399999999998</v>
      </c>
      <c r="I66" s="50">
        <f t="shared" si="2"/>
        <v>1</v>
      </c>
      <c r="J66" t="str">
        <f>IF(FT!B66&lt;&gt;"",FT!E66,"")</f>
        <v>0 [25.962596]</v>
      </c>
      <c r="K66">
        <f>IF(FT!B66&lt;&gt;"",IF(FT!C66&lt;&gt;"",FT!C66,F66/$M$3*$M$4),"")</f>
        <v>25.962599999999998</v>
      </c>
      <c r="Y66" s="75">
        <f t="shared" si="3"/>
        <v>9.4083742822588547</v>
      </c>
    </row>
    <row r="67" spans="1:25">
      <c r="A67" s="50">
        <f t="shared" si="5"/>
        <v>65</v>
      </c>
      <c r="B67" s="50">
        <f t="shared" ref="B67:B130" si="16">A67/255*$M$2</f>
        <v>1.254986862745098</v>
      </c>
      <c r="C67" s="50">
        <f>IF(FH!$C$2&gt;0,FH!A67/FH!$C$2,0)</f>
        <v>0.54979139193562176</v>
      </c>
      <c r="D67" s="50">
        <f>IF(hist!$D$2&gt;0,hist!B67/hist!$D$2,0)</f>
        <v>0.15690360682202417</v>
      </c>
      <c r="E67" s="50">
        <f t="shared" ref="E67:E130" si="17">NORMDIST(B67,2,0.421,FALSE)</f>
        <v>0.19797655525187485</v>
      </c>
      <c r="F67">
        <f t="shared" si="6"/>
        <v>65</v>
      </c>
      <c r="G67" s="50">
        <f>IF(FT!A67&lt;&gt;"",FT!A67*10,"")</f>
        <v>3.6949700000000001</v>
      </c>
      <c r="H67" s="50">
        <f>IF(FT!B67&lt;&gt;"",FT!B67*100,"")</f>
        <v>34.767299999999999</v>
      </c>
      <c r="I67" s="50">
        <f t="shared" ref="I67:I130" si="18">(IF(G67&lt;&gt;"",1,""))</f>
        <v>1</v>
      </c>
      <c r="J67" t="str">
        <f>IF(FT!B67&lt;&gt;"",FT!E67,"")</f>
        <v>0 [26.371703]</v>
      </c>
      <c r="K67">
        <f>IF(FT!B67&lt;&gt;"",IF(FT!C67&lt;&gt;"",FT!C67,F67/$M$3*$M$4),"")</f>
        <v>26.371700000000001</v>
      </c>
      <c r="Y67" s="75">
        <f t="shared" ref="Y67:Y130" si="19">IF(I67=1,H67/G67,"")</f>
        <v>9.4093592099529904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3.7217899999999999</v>
      </c>
      <c r="H68" s="50">
        <f>IF(FT!B68&lt;&gt;"",FT!B68*100,"")</f>
        <v>35.026600000000002</v>
      </c>
      <c r="I68" s="50">
        <f t="shared" si="18"/>
        <v>1</v>
      </c>
      <c r="J68" t="str">
        <f>IF(FT!B68&lt;&gt;"",FT!E68,"")</f>
        <v>0 [26.782934]</v>
      </c>
      <c r="K68">
        <f>IF(FT!B68&lt;&gt;"",IF(FT!C68&lt;&gt;"",FT!C68,F68/$M$3*$M$4),"")</f>
        <v>26.782900000000001</v>
      </c>
      <c r="Y68" s="75">
        <f t="shared" si="19"/>
        <v>9.4112241690154477</v>
      </c>
    </row>
    <row r="69" spans="1:25" ht="16.5" customHeight="1">
      <c r="A69" s="50">
        <f t="shared" si="20"/>
        <v>67</v>
      </c>
      <c r="B69" s="50">
        <f t="shared" si="16"/>
        <v>1.2936018431372549</v>
      </c>
      <c r="C69" s="50">
        <f>IF(FH!$C$2&gt;0,FH!A69/FH!$C$2,0)</f>
        <v>0.58300103066336006</v>
      </c>
      <c r="D69" s="50">
        <f>IF(hist!$D$2&gt;0,hist!B69/hist!$D$2,0)</f>
        <v>0.14950701012813886</v>
      </c>
      <c r="E69" s="50">
        <f t="shared" si="17"/>
        <v>0.23188834663388441</v>
      </c>
      <c r="F69">
        <f t="shared" si="21"/>
        <v>67</v>
      </c>
      <c r="G69" s="50">
        <f>IF(FT!A69&lt;&gt;"",FT!A69*10,"")</f>
        <v>3.7478699999999998</v>
      </c>
      <c r="H69" s="50">
        <f>IF(FT!B69&lt;&gt;"",FT!B69*100,"")</f>
        <v>35.322600000000001</v>
      </c>
      <c r="I69" s="50">
        <f t="shared" si="18"/>
        <v>1</v>
      </c>
      <c r="J69" t="str">
        <f>IF(FT!B69&lt;&gt;"",FT!E69,"")</f>
        <v>0 [27.191306]</v>
      </c>
      <c r="K69">
        <f>IF(FT!B69&lt;&gt;"",IF(FT!C69&lt;&gt;"",FT!C69,F69/$M$3*$M$4),"")</f>
        <v>27.191299999999998</v>
      </c>
      <c r="Y69" s="75">
        <f t="shared" si="19"/>
        <v>9.4247132371186844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3.7735200000000004</v>
      </c>
      <c r="H70" s="50">
        <f>IF(FT!B70&lt;&gt;"",FT!B70*100,"")</f>
        <v>35.642400000000002</v>
      </c>
      <c r="I70" s="50">
        <f t="shared" si="18"/>
        <v>1</v>
      </c>
      <c r="J70" t="str">
        <f>IF(FT!B70&lt;&gt;"",FT!E70,"")</f>
        <v>0 [27.595557]</v>
      </c>
      <c r="K70">
        <f>IF(FT!B70&lt;&gt;"",IF(FT!C70&lt;&gt;"",FT!C70,F70/$M$3*$M$4),"")</f>
        <v>27.595600000000001</v>
      </c>
      <c r="Y70" s="75">
        <f t="shared" si="19"/>
        <v>9.4453984608535269</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3.8000299999999996</v>
      </c>
      <c r="H71" s="50">
        <f>IF(FT!B71&lt;&gt;"",FT!B71*100,"")</f>
        <v>35.927599999999998</v>
      </c>
      <c r="I71" s="50">
        <f t="shared" si="18"/>
        <v>1</v>
      </c>
      <c r="J71" t="str">
        <f>IF(FT!B71&lt;&gt;"",FT!E71,"")</f>
        <v>0 [28.003185]</v>
      </c>
      <c r="K71">
        <f>IF(FT!B71&lt;&gt;"",IF(FT!C71&lt;&gt;"",FT!C71,F71/$M$3*$M$4),"")</f>
        <v>28.0032</v>
      </c>
      <c r="Y71" s="75">
        <f t="shared" si="19"/>
        <v>9.4545569377083876</v>
      </c>
    </row>
    <row r="72" spans="1:25">
      <c r="A72" s="50">
        <f t="shared" si="20"/>
        <v>70</v>
      </c>
      <c r="B72" s="50">
        <f t="shared" si="16"/>
        <v>1.3515243137254902</v>
      </c>
      <c r="C72" s="50">
        <f>IF(FH!$C$2&gt;0,FH!A72/FH!$C$2,0)</f>
        <v>0.59719740578881753</v>
      </c>
      <c r="D72" s="50">
        <f>IF(hist!$D$2&gt;0,hist!B72/hist!$D$2,0)</f>
        <v>0.14003614971120593</v>
      </c>
      <c r="E72" s="50">
        <f t="shared" si="17"/>
        <v>0.28935167144361945</v>
      </c>
      <c r="F72">
        <f t="shared" si="21"/>
        <v>70</v>
      </c>
      <c r="G72" s="50">
        <f>IF(FT!A72&lt;&gt;"",FT!A72*10,"")</f>
        <v>3.8269900000000003</v>
      </c>
      <c r="H72" s="50">
        <f>IF(FT!B72&lt;&gt;"",FT!B72*100,"")</f>
        <v>36.206400000000002</v>
      </c>
      <c r="I72" s="50">
        <f t="shared" si="18"/>
        <v>1</v>
      </c>
      <c r="J72" t="str">
        <f>IF(FT!B72&lt;&gt;"",FT!E72,"")</f>
        <v>0 [28.419709]</v>
      </c>
      <c r="K72">
        <f>IF(FT!B72&lt;&gt;"",IF(FT!C72&lt;&gt;"",FT!C72,F72/$M$3*$M$4),"")</f>
        <v>28.419699999999999</v>
      </c>
      <c r="Y72" s="75">
        <f t="shared" si="19"/>
        <v>9.460803399015937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3.85284</v>
      </c>
      <c r="H73" s="50">
        <f>IF(FT!B73&lt;&gt;"",FT!B73*100,"")</f>
        <v>36.459899999999998</v>
      </c>
      <c r="I73" s="50">
        <f t="shared" si="18"/>
        <v>1</v>
      </c>
      <c r="J73" t="str">
        <f>IF(FT!B73&lt;&gt;"",FT!E73,"")</f>
        <v>0 [28.817135]</v>
      </c>
      <c r="K73">
        <f>IF(FT!B73&lt;&gt;"",IF(FT!C73&lt;&gt;"",FT!C73,F73/$M$3*$M$4),"")</f>
        <v>28.8171</v>
      </c>
      <c r="Y73" s="75">
        <f t="shared" si="19"/>
        <v>9.4631233064440767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3.8791099999999998</v>
      </c>
      <c r="H74" s="50">
        <f>IF(FT!B74&lt;&gt;"",FT!B74*100,"")</f>
        <v>36.675600000000003</v>
      </c>
      <c r="I74" s="50">
        <f t="shared" si="18"/>
        <v>1</v>
      </c>
      <c r="J74" t="str">
        <f>IF(FT!B74&lt;&gt;"",FT!E74,"")</f>
        <v>0 [29.225621]</v>
      </c>
      <c r="K74">
        <f>IF(FT!B74&lt;&gt;"",IF(FT!C74&lt;&gt;"",FT!C74,F74/$M$3*$M$4),"")</f>
        <v>29.2256</v>
      </c>
      <c r="Y74" s="75">
        <f t="shared" si="19"/>
        <v>9.4546429464490576</v>
      </c>
    </row>
    <row r="75" spans="1:25">
      <c r="A75" s="50">
        <f t="shared" si="20"/>
        <v>73</v>
      </c>
      <c r="B75" s="50">
        <f t="shared" si="16"/>
        <v>1.4094467843137253</v>
      </c>
      <c r="C75" s="50">
        <f>IF(FH!$C$2&gt;0,FH!A75/FH!$C$2,0)</f>
        <v>0.60973301768330279</v>
      </c>
      <c r="D75" s="50">
        <f>IF(hist!$D$2&gt;0,hist!B75/hist!$D$2,0)</f>
        <v>0.13180415425290615</v>
      </c>
      <c r="E75" s="50">
        <f t="shared" si="17"/>
        <v>0.35428459040885235</v>
      </c>
      <c r="F75">
        <f t="shared" si="21"/>
        <v>73</v>
      </c>
      <c r="G75" s="50">
        <f>IF(FT!A75&lt;&gt;"",FT!A75*10,"")</f>
        <v>3.9018599999999997</v>
      </c>
      <c r="H75" s="50">
        <f>IF(FT!B75&lt;&gt;"",FT!B75*100,"")</f>
        <v>36.773699999999998</v>
      </c>
      <c r="I75" s="50">
        <f t="shared" si="18"/>
        <v>1</v>
      </c>
      <c r="J75" t="str">
        <f>IF(FT!B75&lt;&gt;"",FT!E75,"")</f>
        <v>0 [29.626701]</v>
      </c>
      <c r="K75">
        <f>IF(FT!B75&lt;&gt;"",IF(FT!C75&lt;&gt;"",FT!C75,F75/$M$3*$M$4),"")</f>
        <v>29.6267</v>
      </c>
      <c r="Y75" s="75">
        <f t="shared" si="19"/>
        <v>9.4246590087804289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3.9157199999999999</v>
      </c>
      <c r="H76" s="50">
        <f>IF(FT!B76&lt;&gt;"",FT!B76*100,"")</f>
        <v>36.813200000000002</v>
      </c>
      <c r="I76" s="50">
        <f t="shared" si="18"/>
        <v>1</v>
      </c>
      <c r="J76" t="str">
        <f>IF(FT!B76&lt;&gt;"",FT!E76,"")</f>
        <v>0 [30.026599]</v>
      </c>
      <c r="K76">
        <f>IF(FT!B76&lt;&gt;"",IF(FT!C76&lt;&gt;"",FT!C76,F76/$M$3*$M$4),"")</f>
        <v>30.026599999999998</v>
      </c>
      <c r="Y76" s="75">
        <f t="shared" si="19"/>
        <v>9.4013872289132028</v>
      </c>
    </row>
    <row r="77" spans="1:25">
      <c r="A77" s="50">
        <f t="shared" si="20"/>
        <v>75</v>
      </c>
      <c r="B77" s="50">
        <f t="shared" si="16"/>
        <v>1.4480617647058822</v>
      </c>
      <c r="C77" s="50">
        <f>IF(FH!$C$2&gt;0,FH!A77/FH!$C$2,0)</f>
        <v>0.60741402512298204</v>
      </c>
      <c r="D77" s="50">
        <f>IF(hist!$D$2&gt;0,hist!B77/hist!$D$2,0)</f>
        <v>0.1235959756050342</v>
      </c>
      <c r="E77" s="50">
        <f t="shared" si="17"/>
        <v>0.40123855879074211</v>
      </c>
      <c r="F77">
        <f t="shared" si="21"/>
        <v>75</v>
      </c>
      <c r="G77" s="50">
        <f>IF(FT!A77&lt;&gt;"",FT!A77*10,"")</f>
        <v>3.9218599999999997</v>
      </c>
      <c r="H77" s="50">
        <f>IF(FT!B77&lt;&gt;"",FT!B77*100,"")</f>
        <v>36.932200000000002</v>
      </c>
      <c r="I77" s="50">
        <f t="shared" si="18"/>
        <v>1</v>
      </c>
      <c r="J77" t="str">
        <f>IF(FT!B77&lt;&gt;"",FT!E77,"")</f>
        <v>0 [30.444175]</v>
      </c>
      <c r="K77">
        <f>IF(FT!B77&lt;&gt;"",IF(FT!C77&lt;&gt;"",FT!C77,F77/$M$3*$M$4),"")</f>
        <v>30.444199999999999</v>
      </c>
      <c r="Y77" s="75">
        <f t="shared" si="19"/>
        <v>9.4170113160592184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3.92821</v>
      </c>
      <c r="H78" s="50">
        <f>IF(FT!B78&lt;&gt;"",FT!B78*100,"")</f>
        <v>37.106499999999997</v>
      </c>
      <c r="I78" s="50">
        <f t="shared" si="18"/>
        <v>1</v>
      </c>
      <c r="J78" t="str">
        <f>IF(FT!B78&lt;&gt;"",FT!E78,"")</f>
        <v>0 [30.841482]</v>
      </c>
      <c r="K78">
        <f>IF(FT!B78&lt;&gt;"",IF(FT!C78&lt;&gt;"",FT!C78,F78/$M$3*$M$4),"")</f>
        <v>30.8415</v>
      </c>
      <c r="Y78" s="75">
        <f t="shared" si="19"/>
        <v>9.4461599558068432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3.93588</v>
      </c>
      <c r="H79" s="50">
        <f>IF(FT!B79&lt;&gt;"",FT!B79*100,"")</f>
        <v>37.323099999999997</v>
      </c>
      <c r="I79" s="50">
        <f t="shared" si="18"/>
        <v>1</v>
      </c>
      <c r="J79" t="str">
        <f>IF(FT!B79&lt;&gt;"",FT!E79,"")</f>
        <v>0 [31.251875]</v>
      </c>
      <c r="K79">
        <f>IF(FT!B79&lt;&gt;"",IF(FT!C79&lt;&gt;"",FT!C79,F79/$M$3*$M$4),"")</f>
        <v>31.251899999999999</v>
      </c>
      <c r="Y79" s="75">
        <f t="shared" si="19"/>
        <v>9.4827840279683322</v>
      </c>
    </row>
    <row r="80" spans="1:25" ht="16.5" customHeight="1">
      <c r="A80" s="50">
        <f t="shared" si="20"/>
        <v>78</v>
      </c>
      <c r="B80" s="50">
        <f t="shared" si="16"/>
        <v>1.5059842352941177</v>
      </c>
      <c r="C80" s="50">
        <f>IF(FH!$C$2&gt;0,FH!A80/FH!$C$2,0)</f>
        <v>0.69174614176346949</v>
      </c>
      <c r="D80" s="50">
        <f>IF(hist!$D$2&gt;0,hist!B80/hist!$D$2,0)</f>
        <v>0.1155102719161913</v>
      </c>
      <c r="E80" s="50">
        <f t="shared" si="17"/>
        <v>0.47602261974213655</v>
      </c>
      <c r="F80">
        <f t="shared" si="21"/>
        <v>78</v>
      </c>
      <c r="G80" s="50">
        <f>IF(FT!A80&lt;&gt;"",FT!A80*10,"")</f>
        <v>3.94293</v>
      </c>
      <c r="H80" s="50">
        <f>IF(FT!B80&lt;&gt;"",FT!B80*100,"")</f>
        <v>37.577399999999997</v>
      </c>
      <c r="I80" s="50">
        <f t="shared" si="18"/>
        <v>1</v>
      </c>
      <c r="J80" t="str">
        <f>IF(FT!B80&lt;&gt;"",FT!E80,"")</f>
        <v>0 [31.659176]</v>
      </c>
      <c r="K80">
        <f>IF(FT!B80&lt;&gt;"",IF(FT!C80&lt;&gt;"",FT!C80,F80/$M$3*$M$4),"")</f>
        <v>31.659199999999998</v>
      </c>
      <c r="Y80" s="75">
        <f t="shared" si="19"/>
        <v>9.5303238961888734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3.9506599999999996</v>
      </c>
      <c r="H81" s="50">
        <f>IF(FT!B81&lt;&gt;"",FT!B81*100,"")</f>
        <v>37.816899999999997</v>
      </c>
      <c r="I81" s="50">
        <f t="shared" si="18"/>
        <v>1</v>
      </c>
      <c r="J81" t="str">
        <f>IF(FT!B81&lt;&gt;"",FT!E81,"")</f>
        <v>0 [32.061273]</v>
      </c>
      <c r="K81">
        <f>IF(FT!B81&lt;&gt;"",IF(FT!C81&lt;&gt;"",FT!C81,F81/$M$3*$M$4),"")</f>
        <v>32.061300000000003</v>
      </c>
      <c r="Y81" s="75">
        <f t="shared" si="19"/>
        <v>9.5722993120136888</v>
      </c>
    </row>
    <row r="82" spans="1:25" ht="16.5" customHeight="1">
      <c r="A82" s="50">
        <f t="shared" si="20"/>
        <v>80</v>
      </c>
      <c r="B82" s="50">
        <f t="shared" si="16"/>
        <v>1.5445992156862745</v>
      </c>
      <c r="C82" s="50">
        <f>IF(FH!$C$2&gt;0,FH!A82/FH!$C$2,0)</f>
        <v>0.77841862935275241</v>
      </c>
      <c r="D82" s="50">
        <f>IF(hist!$D$2&gt;0,hist!B82/hist!$D$2,0)</f>
        <v>0.10745709219699391</v>
      </c>
      <c r="E82" s="50">
        <f t="shared" si="17"/>
        <v>0.52789039798181625</v>
      </c>
      <c r="F82">
        <f t="shared" si="21"/>
        <v>80</v>
      </c>
      <c r="G82" s="50">
        <f>IF(FT!A82&lt;&gt;"",FT!A82*10,"")</f>
        <v>3.9594200000000002</v>
      </c>
      <c r="H82" s="50">
        <f>IF(FT!B82&lt;&gt;"",FT!B82*100,"")</f>
        <v>38.061499999999995</v>
      </c>
      <c r="I82" s="50">
        <f t="shared" si="18"/>
        <v>1</v>
      </c>
      <c r="J82" t="str">
        <f>IF(FT!B82&lt;&gt;"",FT!E82,"")</f>
        <v>0 [32.478338]</v>
      </c>
      <c r="K82">
        <f>IF(FT!B82&lt;&gt;"",IF(FT!C82&lt;&gt;"",FT!C82,F82/$M$3*$M$4),"")</f>
        <v>32.478299999999997</v>
      </c>
      <c r="Y82" s="75">
        <f t="shared" si="19"/>
        <v>9.6128978486748036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3.9683200000000003</v>
      </c>
      <c r="H83" s="50">
        <f>IF(FT!B83&lt;&gt;"",FT!B83*100,"")</f>
        <v>38.295200000000001</v>
      </c>
      <c r="I83" s="50">
        <f t="shared" si="18"/>
        <v>1</v>
      </c>
      <c r="J83" t="str">
        <f>IF(FT!B83&lt;&gt;"",FT!E83,"")</f>
        <v>0 [32.876838]</v>
      </c>
      <c r="K83">
        <f>IF(FT!B83&lt;&gt;"",IF(FT!C83&lt;&gt;"",FT!C83,F83/$M$3*$M$4),"")</f>
        <v>32.876800000000003</v>
      </c>
      <c r="Y83" s="75">
        <f t="shared" si="19"/>
        <v>9.6502298201757917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3.9775800000000001</v>
      </c>
      <c r="H84" s="50">
        <f>IF(FT!B84&lt;&gt;"",FT!B84*100,"")</f>
        <v>38.465700000000005</v>
      </c>
      <c r="I84" s="50">
        <f t="shared" si="18"/>
        <v>1</v>
      </c>
      <c r="J84" t="str">
        <f>IF(FT!B84&lt;&gt;"",FT!E84,"")</f>
        <v>0 [33.279534]</v>
      </c>
      <c r="K84">
        <f>IF(FT!B84&lt;&gt;"",IF(FT!C84&lt;&gt;"",FT!C84,F84/$M$3*$M$4),"")</f>
        <v>33.279499999999999</v>
      </c>
      <c r="Y84" s="75">
        <f t="shared" si="19"/>
        <v>9.6706288748434996</v>
      </c>
    </row>
    <row r="85" spans="1:25" ht="16.5" customHeight="1">
      <c r="A85" s="50">
        <f t="shared" si="20"/>
        <v>83</v>
      </c>
      <c r="B85" s="50">
        <f t="shared" si="16"/>
        <v>1.6025216862745097</v>
      </c>
      <c r="C85" s="50">
        <f>IF(FH!$C$2&gt;0,FH!A85/FH!$C$2,0)</f>
        <v>0.82481198269925782</v>
      </c>
      <c r="D85" s="50">
        <f>IF(hist!$D$2&gt;0,hist!B85/hist!$D$2,0)</f>
        <v>9.950027170647234E-2</v>
      </c>
      <c r="E85" s="50">
        <f t="shared" si="17"/>
        <v>0.60683043098510137</v>
      </c>
      <c r="F85">
        <f t="shared" si="21"/>
        <v>83</v>
      </c>
      <c r="G85" s="50">
        <f>IF(FT!A85&lt;&gt;"",FT!A85*10,"")</f>
        <v>3.9871099999999999</v>
      </c>
      <c r="H85" s="50">
        <f>IF(FT!B85&lt;&gt;"",FT!B85*100,"")</f>
        <v>38.6569</v>
      </c>
      <c r="I85" s="50">
        <f t="shared" si="18"/>
        <v>1</v>
      </c>
      <c r="J85" t="str">
        <f>IF(FT!B85&lt;&gt;"",FT!E85,"")</f>
        <v>0 [33.687267]</v>
      </c>
      <c r="K85">
        <f>IF(FT!B85&lt;&gt;"",IF(FT!C85&lt;&gt;"",FT!C85,F85/$M$3*$M$4),"")</f>
        <v>33.6873</v>
      </c>
      <c r="Y85" s="75">
        <f t="shared" si="19"/>
        <v>9.69546864771727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3.9975899999999998</v>
      </c>
      <c r="H86" s="50">
        <f>IF(FT!B86&lt;&gt;"",FT!B86*100,"")</f>
        <v>38.795699999999997</v>
      </c>
      <c r="I86" s="50">
        <f t="shared" si="18"/>
        <v>1</v>
      </c>
      <c r="J86" t="str">
        <f>IF(FT!B86&lt;&gt;"",FT!E86,"")</f>
        <v>0 [34.098266]</v>
      </c>
      <c r="K86">
        <f>IF(FT!B86&lt;&gt;"",IF(FT!C86&lt;&gt;"",FT!C86,F86/$M$3*$M$4),"")</f>
        <v>34.098300000000002</v>
      </c>
      <c r="Y86" s="75">
        <f t="shared" si="19"/>
        <v>9.7047721252054355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4.0104199999999999</v>
      </c>
      <c r="H87" s="50">
        <f>IF(FT!B87&lt;&gt;"",FT!B87*100,"")</f>
        <v>38.976799999999997</v>
      </c>
      <c r="I87" s="50">
        <f t="shared" si="18"/>
        <v>1</v>
      </c>
      <c r="J87" t="str">
        <f>IF(FT!B87&lt;&gt;"",FT!E87,"")</f>
        <v>0 [34.504813]</v>
      </c>
      <c r="K87">
        <f>IF(FT!B87&lt;&gt;"",IF(FT!C87&lt;&gt;"",FT!C87,F87/$M$3*$M$4),"")</f>
        <v>34.504800000000003</v>
      </c>
      <c r="Y87" s="75">
        <f t="shared" si="19"/>
        <v>9.7188823115783389</v>
      </c>
    </row>
    <row r="88" spans="1:25" ht="16.5" customHeight="1">
      <c r="A88" s="50">
        <f t="shared" si="20"/>
        <v>86</v>
      </c>
      <c r="B88" s="50">
        <f t="shared" si="16"/>
        <v>1.660444156862745</v>
      </c>
      <c r="C88" s="50">
        <f>IF(FH!$C$2&gt;0,FH!A88/FH!$C$2,0)</f>
        <v>0.91017813823491023</v>
      </c>
      <c r="D88" s="50">
        <f>IF(hist!$D$2&gt;0,hist!B88/hist!$D$2,0)</f>
        <v>9.213850364945779E-2</v>
      </c>
      <c r="E88" s="50">
        <f t="shared" si="17"/>
        <v>0.68449477392463509</v>
      </c>
      <c r="F88">
        <f t="shared" si="21"/>
        <v>86</v>
      </c>
      <c r="G88" s="50">
        <f>IF(FT!A88&lt;&gt;"",FT!A88*10,"")</f>
        <v>4.0251799999999998</v>
      </c>
      <c r="H88" s="50">
        <f>IF(FT!B88&lt;&gt;"",FT!B88*100,"")</f>
        <v>39.094200000000001</v>
      </c>
      <c r="I88" s="50">
        <f t="shared" si="18"/>
        <v>1</v>
      </c>
      <c r="J88" t="str">
        <f>IF(FT!B88&lt;&gt;"",FT!E88,"")</f>
        <v>0 [34.906835]</v>
      </c>
      <c r="K88">
        <f>IF(FT!B88&lt;&gt;"",IF(FT!C88&lt;&gt;"",FT!C88,F88/$M$3*$M$4),"")</f>
        <v>34.906799999999997</v>
      </c>
      <c r="Y88" s="75">
        <f t="shared" si="19"/>
        <v>9.7124103766788075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4.0396799999999997</v>
      </c>
      <c r="H89" s="50">
        <f>IF(FT!B89&lt;&gt;"",FT!B89*100,"")</f>
        <v>39.172899999999998</v>
      </c>
      <c r="I89" s="50">
        <f t="shared" si="18"/>
        <v>1</v>
      </c>
      <c r="J89" t="str">
        <f>IF(FT!B89&lt;&gt;"",FT!E89,"")</f>
        <v>0 [35.314837]</v>
      </c>
      <c r="K89">
        <f>IF(FT!B89&lt;&gt;"",IF(FT!C89&lt;&gt;"",FT!C89,F89/$M$3*$M$4),"")</f>
        <v>35.314799999999998</v>
      </c>
      <c r="Y89" s="75">
        <f t="shared" si="19"/>
        <v>9.6970304578580482</v>
      </c>
    </row>
    <row r="90" spans="1:25" ht="16.5" customHeight="1">
      <c r="A90" s="50">
        <f t="shared" si="20"/>
        <v>88</v>
      </c>
      <c r="B90" s="50">
        <f t="shared" si="16"/>
        <v>1.6990591372549018</v>
      </c>
      <c r="C90" s="50">
        <f>IF(FH!$C$2&gt;0,FH!A90/FH!$C$2,0)</f>
        <v>0.90047234986745395</v>
      </c>
      <c r="D90" s="50">
        <f>IF(hist!$D$2&gt;0,hist!B90/hist!$D$2,0)</f>
        <v>8.4758740796726684E-2</v>
      </c>
      <c r="E90" s="50">
        <f t="shared" si="17"/>
        <v>0.73395857202345849</v>
      </c>
      <c r="F90">
        <f t="shared" si="21"/>
        <v>88</v>
      </c>
      <c r="G90" s="50">
        <f>IF(FT!A90&lt;&gt;"",FT!A90*10,"")</f>
        <v>4.0530600000000003</v>
      </c>
      <c r="H90" s="50">
        <f>IF(FT!B90&lt;&gt;"",FT!B90*100,"")</f>
        <v>39.2879</v>
      </c>
      <c r="I90" s="50">
        <f t="shared" si="18"/>
        <v>1</v>
      </c>
      <c r="J90" t="str">
        <f>IF(FT!B90&lt;&gt;"",FT!E90,"")</f>
        <v>0 [35.727563]</v>
      </c>
      <c r="K90">
        <f>IF(FT!B90&lt;&gt;"",IF(FT!C90&lt;&gt;"",FT!C90,F90/$M$3*$M$4),"")</f>
        <v>35.727600000000002</v>
      </c>
      <c r="Y90" s="75">
        <f t="shared" si="19"/>
        <v>9.6933921530892704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4.0652100000000004</v>
      </c>
      <c r="H91" s="50">
        <f>IF(FT!B91&lt;&gt;"",FT!B91*100,"")</f>
        <v>39.396999999999998</v>
      </c>
      <c r="I91" s="50">
        <f t="shared" si="18"/>
        <v>1</v>
      </c>
      <c r="J91" t="str">
        <f>IF(FT!B91&lt;&gt;"",FT!E91,"")</f>
        <v>0 [36.137524]</v>
      </c>
      <c r="K91">
        <f>IF(FT!B91&lt;&gt;"",IF(FT!C91&lt;&gt;"",FT!C91,F91/$M$3*$M$4),"")</f>
        <v>36.137500000000003</v>
      </c>
      <c r="Y91" s="75">
        <f t="shared" si="19"/>
        <v>9.6912582621807957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4.0765700000000002</v>
      </c>
      <c r="H92" s="50">
        <f>IF(FT!B92&lt;&gt;"",FT!B92*100,"")</f>
        <v>39.460299999999997</v>
      </c>
      <c r="I92" s="50">
        <f t="shared" si="18"/>
        <v>1</v>
      </c>
      <c r="J92" t="str">
        <f>IF(FT!B92&lt;&gt;"",FT!E92,"")</f>
        <v>0 [36.545568]</v>
      </c>
      <c r="K92">
        <f>IF(FT!B92&lt;&gt;"",IF(FT!C92&lt;&gt;"",FT!C92,F92/$M$3*$M$4),"")</f>
        <v>36.5456</v>
      </c>
      <c r="Y92" s="75">
        <f t="shared" si="19"/>
        <v>9.6797798148934024</v>
      </c>
    </row>
    <row r="93" spans="1:25" ht="16.5" customHeight="1">
      <c r="A93" s="50">
        <f t="shared" si="20"/>
        <v>91</v>
      </c>
      <c r="B93" s="50">
        <f t="shared" si="16"/>
        <v>1.7569816078431371</v>
      </c>
      <c r="C93" s="50">
        <f>IF(FH!$C$2&gt;0,FH!A93/FH!$C$2,0)</f>
        <v>0.89955195398470655</v>
      </c>
      <c r="D93" s="50">
        <f>IF(hist!$D$2&gt;0,hist!B93/hist!$D$2,0)</f>
        <v>7.7711039685329344E-2</v>
      </c>
      <c r="E93" s="50">
        <f t="shared" si="17"/>
        <v>0.80218214811433919</v>
      </c>
      <c r="F93">
        <f t="shared" si="21"/>
        <v>91</v>
      </c>
      <c r="G93" s="50">
        <f>IF(FT!A93&lt;&gt;"",FT!A93*10,"")</f>
        <v>4.0866600000000002</v>
      </c>
      <c r="H93" s="50">
        <f>IF(FT!B93&lt;&gt;"",FT!B93*100,"")</f>
        <v>39.467799999999997</v>
      </c>
      <c r="I93" s="50">
        <f t="shared" si="18"/>
        <v>1</v>
      </c>
      <c r="J93" t="str">
        <f>IF(FT!B93&lt;&gt;"",FT!E93,"")</f>
        <v>0 [36.949743]</v>
      </c>
      <c r="K93">
        <f>IF(FT!B93&lt;&gt;"",IF(FT!C93&lt;&gt;"",FT!C93,F93/$M$3*$M$4),"")</f>
        <v>36.9497</v>
      </c>
      <c r="Y93" s="75">
        <f t="shared" si="19"/>
        <v>9.6577155917056956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4.0974399999999997</v>
      </c>
      <c r="H94" s="50">
        <f>IF(FT!B94&lt;&gt;"",FT!B94*100,"")</f>
        <v>39.401899999999998</v>
      </c>
      <c r="I94" s="50">
        <f t="shared" si="18"/>
        <v>1</v>
      </c>
      <c r="J94" t="str">
        <f>IF(FT!B94&lt;&gt;"",FT!E94,"")</f>
        <v>0 [37.358883]</v>
      </c>
      <c r="K94">
        <f>IF(FT!B94&lt;&gt;"",IF(FT!C94&lt;&gt;"",FT!C94,F94/$M$3*$M$4),"")</f>
        <v>37.358899999999998</v>
      </c>
      <c r="Y94" s="75">
        <f t="shared" si="19"/>
        <v>9.6162237885118511</v>
      </c>
    </row>
    <row r="95" spans="1:25" ht="16.5" customHeight="1">
      <c r="A95" s="50">
        <f t="shared" si="20"/>
        <v>93</v>
      </c>
      <c r="B95" s="50">
        <f t="shared" si="16"/>
        <v>1.7955965882352938</v>
      </c>
      <c r="C95" s="50">
        <f>IF(FH!$C$2&gt;0,FH!A95/FH!$C$2,0)</f>
        <v>0.95101423575636745</v>
      </c>
      <c r="D95" s="50">
        <f>IF(hist!$D$2&gt;0,hist!B95/hist!$D$2,0)</f>
        <v>7.1217751850456687E-2</v>
      </c>
      <c r="E95" s="50">
        <f t="shared" si="17"/>
        <v>0.84224836579594975</v>
      </c>
      <c r="F95">
        <f t="shared" si="21"/>
        <v>93</v>
      </c>
      <c r="G95" s="50">
        <f>IF(FT!A95&lt;&gt;"",FT!A95*10,"")</f>
        <v>4.1110799999999994</v>
      </c>
      <c r="H95" s="50">
        <f>IF(FT!B95&lt;&gt;"",FT!B95*100,"")</f>
        <v>39.286900000000003</v>
      </c>
      <c r="I95" s="50">
        <f t="shared" si="18"/>
        <v>1</v>
      </c>
      <c r="J95" t="str">
        <f>IF(FT!B95&lt;&gt;"",FT!E95,"")</f>
        <v>0 [37.765339]</v>
      </c>
      <c r="K95">
        <f>IF(FT!B95&lt;&gt;"",IF(FT!C95&lt;&gt;"",FT!C95,F95/$M$3*$M$4),"")</f>
        <v>37.765300000000003</v>
      </c>
      <c r="Y95" s="75">
        <f t="shared" si="19"/>
        <v>9.5563452912616658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4.1248000000000005</v>
      </c>
      <c r="H96" s="50">
        <f>IF(FT!B96&lt;&gt;"",FT!B96*100,"")</f>
        <v>39.1843</v>
      </c>
      <c r="I96" s="50">
        <f t="shared" si="18"/>
        <v>1</v>
      </c>
      <c r="J96" t="str">
        <f>IF(FT!B96&lt;&gt;"",FT!E96,"")</f>
        <v>0 [38.163587]</v>
      </c>
      <c r="K96">
        <f>IF(FT!B96&lt;&gt;"",IF(FT!C96&lt;&gt;"",FT!C96,F96/$M$3*$M$4),"")</f>
        <v>38.163600000000002</v>
      </c>
      <c r="Y96" s="75">
        <f t="shared" si="19"/>
        <v>9.499684833204034</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4.1420200000000005</v>
      </c>
      <c r="H97" s="50">
        <f>IF(FT!B97&lt;&gt;"",FT!B97*100,"")</f>
        <v>39.0505</v>
      </c>
      <c r="I97" s="50">
        <f t="shared" si="18"/>
        <v>1</v>
      </c>
      <c r="J97" t="str">
        <f>IF(FT!B97&lt;&gt;"",FT!E97,"")</f>
        <v>0 [38.559204]</v>
      </c>
      <c r="K97">
        <f>IF(FT!B97&lt;&gt;"",IF(FT!C97&lt;&gt;"",FT!C97,F97/$M$3*$M$4),"")</f>
        <v>38.559199999999997</v>
      </c>
      <c r="Y97" s="75">
        <f t="shared" si="19"/>
        <v>9.4278878421639671</v>
      </c>
    </row>
    <row r="98" spans="1:25" ht="16.5" customHeight="1">
      <c r="A98" s="50">
        <f t="shared" si="20"/>
        <v>96</v>
      </c>
      <c r="B98" s="50">
        <f t="shared" si="16"/>
        <v>1.8535190588235293</v>
      </c>
      <c r="C98" s="50">
        <f>IF(FH!$C$2&gt;0,FH!A98/FH!$C$2,0)</f>
        <v>0.93628452609738655</v>
      </c>
      <c r="D98" s="50">
        <f>IF(hist!$D$2&gt;0,hist!B98/hist!$D$2,0)</f>
        <v>6.4427811388402173E-2</v>
      </c>
      <c r="E98" s="50">
        <f t="shared" si="17"/>
        <v>0.89194953505152708</v>
      </c>
      <c r="F98">
        <f t="shared" si="21"/>
        <v>96</v>
      </c>
      <c r="G98" s="50">
        <f>IF(FT!A98&lt;&gt;"",FT!A98*10,"")</f>
        <v>4.1684099999999997</v>
      </c>
      <c r="H98" s="50">
        <f>IF(FT!B98&lt;&gt;"",FT!B98*100,"")</f>
        <v>38.850200000000001</v>
      </c>
      <c r="I98" s="50">
        <f t="shared" si="18"/>
        <v>1</v>
      </c>
      <c r="J98" t="str">
        <f>IF(FT!B98&lt;&gt;"",FT!E98,"")</f>
        <v>0 [38.970513]</v>
      </c>
      <c r="K98">
        <f>IF(FT!B98&lt;&gt;"",IF(FT!C98&lt;&gt;"",FT!C98,F98/$M$3*$M$4),"")</f>
        <v>38.970500000000001</v>
      </c>
      <c r="Y98" s="75">
        <f t="shared" si="19"/>
        <v>9.3201484498885669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4.2019299999999999</v>
      </c>
      <c r="H99" s="50">
        <f>IF(FT!B99&lt;&gt;"",FT!B99*100,"")</f>
        <v>38.5214</v>
      </c>
      <c r="I99" s="50">
        <f t="shared" si="18"/>
        <v>1</v>
      </c>
      <c r="J99" t="str">
        <f>IF(FT!B99&lt;&gt;"",FT!E99,"")</f>
        <v>0 [39.373451]</v>
      </c>
      <c r="K99">
        <f>IF(FT!B99&lt;&gt;"",IF(FT!C99&lt;&gt;"",FT!C99,F99/$M$3*$M$4),"")</f>
        <v>39.3735</v>
      </c>
      <c r="Y99" s="75">
        <f t="shared" si="19"/>
        <v>9.1675491976306134</v>
      </c>
    </row>
    <row r="100" spans="1:25" ht="16.5" customHeight="1">
      <c r="A100" s="50">
        <f t="shared" si="20"/>
        <v>98</v>
      </c>
      <c r="B100" s="50">
        <f t="shared" si="16"/>
        <v>1.8921340392156862</v>
      </c>
      <c r="C100" s="50">
        <f>IF(FH!$C$2&gt;0,FH!A100/FH!$C$2,0)</f>
        <v>1</v>
      </c>
      <c r="D100" s="50">
        <f>IF(hist!$D$2&gt;0,hist!B100/hist!$D$2,0)</f>
        <v>5.869966732502177E-2</v>
      </c>
      <c r="E100" s="50">
        <f t="shared" si="17"/>
        <v>0.91700824661412239</v>
      </c>
      <c r="F100">
        <f t="shared" si="21"/>
        <v>98</v>
      </c>
      <c r="G100" s="50">
        <f>IF(FT!A100&lt;&gt;"",FT!A100*10,"")</f>
        <v>4.23881</v>
      </c>
      <c r="H100" s="50">
        <f>IF(FT!B100&lt;&gt;"",FT!B100*100,"")</f>
        <v>38.122599999999998</v>
      </c>
      <c r="I100" s="50">
        <f t="shared" si="18"/>
        <v>1</v>
      </c>
      <c r="J100" t="str">
        <f>IF(FT!B100&lt;&gt;"",FT!E100,"")</f>
        <v>0 [39.778968]</v>
      </c>
      <c r="K100">
        <f>IF(FT!B100&lt;&gt;"",IF(FT!C100&lt;&gt;"",FT!C100,F100/$M$3*$M$4),"")</f>
        <v>39.779000000000003</v>
      </c>
      <c r="Y100" s="75">
        <f t="shared" si="19"/>
        <v>8.9937034214791414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0.96503958377402821</v>
      </c>
      <c r="D103" s="50">
        <f>IF(hist!$D$2&gt;0,hist!B103/hist!$D$2,0)</f>
        <v>5.2905929328868083E-2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0.89955195398470655</v>
      </c>
      <c r="D106" s="50">
        <f>IF(hist!$D$2&gt;0,hist!B106/hist!$D$2,0)</f>
        <v>4.7899393240891507E-2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0.84465675309536559</v>
      </c>
      <c r="D108" s="50">
        <f>IF(hist!$D$2&gt;0,hist!B108/hist!$D$2,0)</f>
        <v>4.3083851420322443E-2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0.80632080184709276</v>
      </c>
      <c r="D111" s="50">
        <f>IF(hist!$D$2&gt;0,hist!B111/hist!$D$2,0)</f>
        <v>3.9447373903825404E-2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0.77672523594989806</v>
      </c>
      <c r="D113" s="50">
        <f>IF(hist!$D$2&gt;0,hist!B113/hist!$D$2,0)</f>
        <v>3.5389435397393108E-2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0.68996160891501301</v>
      </c>
      <c r="D116" s="50">
        <f>IF(hist!$D$2&gt;0,hist!B116/hist!$D$2,0)</f>
        <v>3.2235386227254637E-2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0.67215228613735278</v>
      </c>
      <c r="D118" s="50">
        <f>IF(hist!$D$2&gt;0,hist!B118/hist!$D$2,0)</f>
        <v>2.8907176630862844E-2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0.67310643737032316</v>
      </c>
      <c r="D121" s="50">
        <f>IF(hist!$D$2&gt;0,hist!B121/hist!$D$2,0)</f>
        <v>2.5637600987170009E-2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0.66316211119462432</v>
      </c>
      <c r="D124" s="50">
        <f>IF(hist!$D$2&gt;0,hist!B124/hist!$D$2,0)</f>
        <v>2.2667580357064909E-2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0.66975340591483745</v>
      </c>
      <c r="D126" s="50">
        <f>IF(hist!$D$2&gt;0,hist!B126/hist!$D$2,0)</f>
        <v>2.0063881122482828E-2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0.71024857439904221</v>
      </c>
      <c r="D129" s="50">
        <f>IF(hist!$D$2&gt;0,hist!B129/hist!$D$2,0)</f>
        <v>1.7643629950652936E-2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0.58812734318389459</v>
      </c>
      <c r="D131" s="50">
        <f>IF(hist!$D$2&gt;0,hist!B131/hist!$D$2,0)</f>
        <v>1.5523514269691964E-2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0.58191073285115691</v>
      </c>
      <c r="D134" s="50">
        <f>IF(hist!$D$2&gt;0,hist!B134/hist!$D$2,0)</f>
        <v>1.3429525813683884E-2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0.57618244991831202</v>
      </c>
      <c r="D136" s="50">
        <f>IF(hist!$D$2&gt;0,hist!B136/hist!$D$2,0)</f>
        <v>1.170301396046137E-2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0.54150670381255428</v>
      </c>
      <c r="D139" s="50">
        <f>IF(hist!$D$2&gt;0,hist!B139/hist!$D$2,0)</f>
        <v>9.98346783461301E-3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0.51996854001359205</v>
      </c>
      <c r="D142" s="50">
        <f>IF(hist!$D$2&gt;0,hist!B142/hist!$D$2,0)</f>
        <v>8.5158718379958476E-3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0.48953246589584454</v>
      </c>
      <c r="D144" s="50">
        <f>IF(hist!$D$2&gt;0,hist!B144/hist!$D$2,0)</f>
        <v>6.9966133633537018E-3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0.4226349876455418</v>
      </c>
      <c r="D147" s="50">
        <f>IF(hist!$D$2&gt;0,hist!B147/hist!$D$2,0)</f>
        <v>5.74962172278404E-3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0.41706648003708585</v>
      </c>
      <c r="D149" s="50">
        <f>IF(hist!$D$2&gt;0,hist!B149/hist!$D$2,0)</f>
        <v>4.8143808660066987E-3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0.44245612929649347</v>
      </c>
      <c r="D152" s="50">
        <f>IF(hist!$D$2&gt;0,hist!B152/hist!$D$2,0)</f>
        <v>3.9726025987990871E-3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0.40050723039601777</v>
      </c>
      <c r="D154" s="50">
        <f>IF(hist!$D$2&gt;0,hist!B154/hist!$D$2,0)</f>
        <v>3.1203757405302416E-3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0.46774451250523208</v>
      </c>
      <c r="D157" s="50">
        <f>IF(hist!$D$2&gt;0,hist!B157/hist!$D$2,0)</f>
        <v>2.3801924921286848E-3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0.38881212672208548</v>
      </c>
      <c r="D160" s="50">
        <f>IF(hist!$D$2&gt;0,hist!B160/hist!$D$2,0)</f>
        <v>1.7961748742638794E-3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0.33311017296241457</v>
      </c>
      <c r="D162" s="50">
        <f>IF(hist!$D$2&gt;0,hist!B162/hist!$D$2,0)</f>
        <v>1.4118644303241078E-3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0.31670957346739459</v>
      </c>
      <c r="D165" s="50">
        <f>IF(hist!$D$2&gt;0,hist!B165/hist!$D$2,0)</f>
        <v>1.0374163528645757E-3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0.29953597645226765</v>
      </c>
      <c r="D167" s="50">
        <f>IF(hist!$D$2&gt;0,hist!B167/hist!$D$2,0)</f>
        <v>7.198665435602709E-4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0.28236350461548154</v>
      </c>
      <c r="D170" s="50">
        <f>IF(hist!$D$2&gt;0,hist!B170/hist!$D$2,0)</f>
        <v>5.0158409663748991E-4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2.8852594524532519E-4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0.18963193166116829</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0.13351028638039128</v>
      </c>
      <c r="D175" s="50">
        <f>IF(hist!$D$2&gt;0,hist!B175/hist!$D$2,0)</f>
        <v>1.8402854003337146E-4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0.11567733485757493</v>
      </c>
      <c r="D178" s="50">
        <f>IF(hist!$D$2&gt;0,hist!B178/hist!$D$2,0)</f>
        <v>1.0972170074257011E-4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8.4115632327723941E-2</v>
      </c>
      <c r="D180" s="50">
        <f>IF(hist!$D$2&gt;0,hist!B180/hist!$D$2,0)</f>
        <v>7.1404452884903403E-5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4.9610125704924228E-2</v>
      </c>
      <c r="D183" s="50">
        <f>IF(hist!$D$2&gt;0,hist!B183/hist!$D$2,0)</f>
        <v>2.902961135879323E-5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3.9733535265339556E-2</v>
      </c>
      <c r="D185" s="50">
        <f>IF(hist!$D$2&gt;0,hist!B185/hist!$D$2,0)</f>
        <v>2.0897182122465292E-5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2.9447829981051995E-2</v>
      </c>
      <c r="D188" s="50">
        <f>IF(hist!$D$2&gt;0,hist!B188/hist!$D$2,0)</f>
        <v>1.4511932029489786E-5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1.6389010158110062E-2</v>
      </c>
      <c r="D191" s="50">
        <f>IF(hist!$D$2&gt;0,hist!B191/hist!$D$2,0)</f>
        <v>5.8047728117959141E-6</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6.0918730618803076E-3</v>
      </c>
      <c r="D193" s="50">
        <f>IF(hist!$D$2&gt;0,hist!B193/hist!$D$2,0)</f>
        <v>2.3219091247183659E-6</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3.9778992470306546E-3</v>
      </c>
      <c r="D196" s="50">
        <f>IF(hist!$D$2&gt;0,hist!B196/hist!$D$2,0)</f>
        <v>1.160954562359183E-6</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2.0457767556157653E-3</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46.3476</v>
      </c>
      <c r="C5" s="49">
        <v>4.5325699999999998</v>
      </c>
      <c r="D5" s="49">
        <v>9.7795299999999994</v>
      </c>
      <c r="E5" s="49">
        <v>20</v>
      </c>
      <c r="F5" s="49">
        <v>37.249299999999998</v>
      </c>
      <c r="G5" s="49">
        <v>50</v>
      </c>
      <c r="H5" s="49">
        <v>57.249099999999999</v>
      </c>
    </row>
    <row r="6" spans="1:10">
      <c r="A6" t="s">
        <v>1111</v>
      </c>
      <c r="B6" s="49">
        <v>30.4603</v>
      </c>
      <c r="C6" s="49">
        <v>6.3416699999999997</v>
      </c>
      <c r="D6" s="49">
        <v>20.819500000000001</v>
      </c>
      <c r="E6" s="49">
        <v>20</v>
      </c>
      <c r="F6" s="49">
        <v>15.601699999999999</v>
      </c>
      <c r="G6" s="49">
        <v>40</v>
      </c>
      <c r="H6" s="49">
        <v>34.869700000000002</v>
      </c>
    </row>
    <row r="7" spans="1:10">
      <c r="A7" t="s">
        <v>1112</v>
      </c>
      <c r="B7" s="49">
        <v>20.383199999999999</v>
      </c>
      <c r="C7" s="49">
        <v>16.357299999999999</v>
      </c>
      <c r="D7" s="49">
        <v>80.248599999999996</v>
      </c>
      <c r="E7" s="49">
        <v>15</v>
      </c>
      <c r="F7" s="49">
        <v>4.5808600000000004</v>
      </c>
      <c r="G7" s="49">
        <v>40</v>
      </c>
      <c r="H7" s="49">
        <v>57.772199999999998</v>
      </c>
    </row>
    <row r="8" spans="1:10">
      <c r="A8" t="s">
        <v>1113</v>
      </c>
      <c r="B8" s="49">
        <v>32.747900000000001</v>
      </c>
      <c r="C8" s="49">
        <v>3.7376299999999998</v>
      </c>
      <c r="D8" s="49">
        <v>11.4133</v>
      </c>
      <c r="E8" s="49">
        <v>20</v>
      </c>
      <c r="F8" s="49">
        <v>24.6401</v>
      </c>
      <c r="G8" s="49">
        <v>50</v>
      </c>
      <c r="H8" s="49">
        <v>42.049900000000001</v>
      </c>
    </row>
    <row r="9" spans="1:10">
      <c r="A9" t="s">
        <v>1114</v>
      </c>
      <c r="B9" s="49">
        <v>70.2714</v>
      </c>
      <c r="C9" s="49">
        <v>3.27196</v>
      </c>
      <c r="D9" s="49">
        <v>4.65618</v>
      </c>
      <c r="E9" s="49">
        <v>50</v>
      </c>
      <c r="F9" s="49">
        <v>64.222700000000003</v>
      </c>
      <c r="G9" s="49">
        <v>100</v>
      </c>
      <c r="H9" s="49">
        <v>77.186999999999998</v>
      </c>
    </row>
    <row r="10" spans="1:10">
      <c r="A10" t="s">
        <v>1115</v>
      </c>
      <c r="B10" s="49">
        <v>71.355999999999995</v>
      </c>
      <c r="C10" s="49">
        <v>8.5103000000000009</v>
      </c>
      <c r="D10" s="49">
        <v>11.926500000000001</v>
      </c>
      <c r="E10" s="49">
        <v>40</v>
      </c>
      <c r="F10" s="49">
        <v>64.132999999999996</v>
      </c>
      <c r="G10" s="49">
        <v>100</v>
      </c>
      <c r="H10" s="49">
        <v>88.729500000000002</v>
      </c>
    </row>
    <row r="11" spans="1:10">
      <c r="A11" t="s">
        <v>1116</v>
      </c>
      <c r="B11" s="49">
        <v>23.684999999999999</v>
      </c>
      <c r="C11" s="49">
        <v>4.8726200000000004</v>
      </c>
      <c r="D11" s="49">
        <v>20.572600000000001</v>
      </c>
      <c r="E11" s="49">
        <v>10</v>
      </c>
      <c r="F11" s="49">
        <v>20.206299999999999</v>
      </c>
      <c r="G11" s="49">
        <v>50</v>
      </c>
      <c r="H11" s="49">
        <v>36.389000000000003</v>
      </c>
    </row>
    <row r="12" spans="1:10">
      <c r="A12" t="s">
        <v>1117</v>
      </c>
      <c r="B12" s="49">
        <v>71.343100000000007</v>
      </c>
      <c r="C12" s="49">
        <v>4.4464800000000002</v>
      </c>
      <c r="D12" s="49">
        <v>6.2325400000000002</v>
      </c>
      <c r="E12" s="49">
        <v>50</v>
      </c>
      <c r="F12" s="49">
        <v>64.611099999999993</v>
      </c>
      <c r="G12" s="49">
        <v>100</v>
      </c>
      <c r="H12" s="49">
        <v>82.323899999999995</v>
      </c>
    </row>
    <row r="13" spans="1:10">
      <c r="A13" t="s">
        <v>1118</v>
      </c>
      <c r="B13" s="49">
        <v>27.146899999999999</v>
      </c>
      <c r="C13" s="49">
        <v>5.2503000000000002</v>
      </c>
      <c r="D13" s="49">
        <v>19.340299999999999</v>
      </c>
      <c r="E13" s="49">
        <v>10</v>
      </c>
      <c r="F13" s="49">
        <v>14.0036</v>
      </c>
      <c r="G13" s="49">
        <v>25</v>
      </c>
      <c r="H13" s="49">
        <v>39.863799999999998</v>
      </c>
      <c r="J13" s="49"/>
    </row>
    <row r="14" spans="1:10">
      <c r="A14" t="s">
        <v>1119</v>
      </c>
      <c r="B14" s="49">
        <v>52.503</v>
      </c>
      <c r="C14" s="49">
        <v>19.863499999999998</v>
      </c>
      <c r="D14" s="49">
        <v>37.833100000000002</v>
      </c>
      <c r="E14" s="49">
        <v>10</v>
      </c>
      <c r="F14" s="49">
        <v>0.24649499999999999</v>
      </c>
      <c r="G14" s="49">
        <v>50</v>
      </c>
      <c r="H14" s="49">
        <v>69.540599999999998</v>
      </c>
    </row>
    <row r="15" spans="1:10">
      <c r="A15" t="s">
        <v>1120</v>
      </c>
      <c r="B15" s="49">
        <v>2.0797900000000001E-2</v>
      </c>
      <c r="C15" s="49">
        <v>0</v>
      </c>
      <c r="D15" s="49">
        <v>0</v>
      </c>
      <c r="E15" s="49">
        <v>0</v>
      </c>
      <c r="F15" s="49">
        <v>0</v>
      </c>
      <c r="G15" s="49">
        <v>0</v>
      </c>
      <c r="H15" s="49">
        <v>0</v>
      </c>
    </row>
    <row r="16" spans="1:10">
      <c r="A16" t="s">
        <v>1121</v>
      </c>
      <c r="B16" s="49">
        <v>5.6305000000000001E-2</v>
      </c>
      <c r="C16" s="49">
        <v>0</v>
      </c>
      <c r="D16" s="49">
        <v>0</v>
      </c>
      <c r="E16" s="49">
        <v>0</v>
      </c>
      <c r="F16" s="49">
        <v>0</v>
      </c>
      <c r="G16" s="49">
        <v>0</v>
      </c>
      <c r="H16" s="49">
        <v>0</v>
      </c>
    </row>
    <row r="17" spans="1:8">
      <c r="A17" t="s">
        <v>1122</v>
      </c>
      <c r="B17" s="49">
        <v>22.2822</v>
      </c>
      <c r="C17" s="49">
        <v>0</v>
      </c>
      <c r="D17" s="49">
        <v>0</v>
      </c>
      <c r="E17" s="49">
        <v>0</v>
      </c>
      <c r="F17" s="49">
        <v>0</v>
      </c>
      <c r="G17" s="49">
        <v>0</v>
      </c>
      <c r="H17" s="49">
        <v>0</v>
      </c>
    </row>
    <row r="18" spans="1:8">
      <c r="A18" t="s">
        <v>1123</v>
      </c>
      <c r="B18" s="49">
        <v>0.40771600000000002</v>
      </c>
      <c r="C18" s="49">
        <v>0</v>
      </c>
      <c r="D18" s="49">
        <v>0</v>
      </c>
      <c r="E18" s="49">
        <v>0</v>
      </c>
      <c r="F18" s="49">
        <v>0</v>
      </c>
      <c r="G18" s="49">
        <v>0</v>
      </c>
      <c r="H18" s="49">
        <v>0</v>
      </c>
    </row>
    <row r="19" spans="1:8">
      <c r="A19" t="s">
        <v>1124</v>
      </c>
      <c r="B19" s="49">
        <v>0.51538200000000001</v>
      </c>
      <c r="C19" s="49">
        <v>0</v>
      </c>
      <c r="D19" s="49">
        <v>0</v>
      </c>
      <c r="E19" s="49">
        <v>0</v>
      </c>
      <c r="F19" s="49">
        <v>0</v>
      </c>
      <c r="G19" s="49">
        <v>0</v>
      </c>
      <c r="H19" s="49">
        <v>0</v>
      </c>
    </row>
    <row r="20" spans="1:8">
      <c r="A20" t="s">
        <v>1125</v>
      </c>
      <c r="B20" s="49">
        <v>1.1618E-2</v>
      </c>
      <c r="C20" s="49">
        <v>0.62818700000000005</v>
      </c>
      <c r="D20" s="49">
        <v>54.0702</v>
      </c>
      <c r="E20" s="49">
        <v>0</v>
      </c>
      <c r="F20" s="49">
        <v>3.9023999999999998E-4</v>
      </c>
      <c r="G20" s="49">
        <v>0</v>
      </c>
      <c r="H20" s="49">
        <v>10.261699999999999</v>
      </c>
    </row>
    <row r="21" spans="1:8">
      <c r="A21" t="s">
        <v>1126</v>
      </c>
      <c r="B21" s="49">
        <v>0.26325599999999999</v>
      </c>
      <c r="C21" s="49">
        <v>2.8585699999999998</v>
      </c>
      <c r="D21" s="49">
        <v>10.858499999999999</v>
      </c>
      <c r="E21" s="49">
        <v>0</v>
      </c>
      <c r="F21" s="49">
        <v>2.1137399999999998E-3</v>
      </c>
      <c r="G21" s="49">
        <v>0</v>
      </c>
      <c r="H21" s="49">
        <v>16.375499999999999</v>
      </c>
    </row>
    <row r="22" spans="1:8">
      <c r="A22" t="s">
        <v>1127</v>
      </c>
      <c r="B22" s="49">
        <v>81.266499999999994</v>
      </c>
      <c r="C22" s="49">
        <v>54.1997</v>
      </c>
      <c r="D22" s="49">
        <v>0.66693899999999995</v>
      </c>
      <c r="E22" s="49">
        <v>0</v>
      </c>
      <c r="F22" s="49">
        <v>35.271099999999997</v>
      </c>
      <c r="G22" s="49">
        <v>0</v>
      </c>
      <c r="H22" s="49">
        <v>262.404</v>
      </c>
    </row>
    <row r="23" spans="1:8">
      <c r="A23" t="s">
        <v>1128</v>
      </c>
      <c r="B23" s="49">
        <v>35.320399999999999</v>
      </c>
      <c r="C23" s="49">
        <v>15.1205</v>
      </c>
      <c r="D23" s="49">
        <v>0.42809700000000001</v>
      </c>
      <c r="E23" s="49">
        <v>0</v>
      </c>
      <c r="F23" s="49">
        <v>24.5412</v>
      </c>
      <c r="G23" s="49">
        <v>0</v>
      </c>
      <c r="H23" s="49">
        <v>77.883300000000006</v>
      </c>
    </row>
    <row r="24" spans="1:8">
      <c r="A24" t="s">
        <v>1129</v>
      </c>
      <c r="B24" s="49">
        <v>1.35207E-2</v>
      </c>
      <c r="C24" s="49">
        <v>0.47801700000000003</v>
      </c>
      <c r="D24" s="49">
        <v>35.354300000000002</v>
      </c>
      <c r="E24" s="49">
        <v>0</v>
      </c>
      <c r="F24" s="49">
        <v>6.6299700000000002E-4</v>
      </c>
      <c r="G24" s="49">
        <v>0</v>
      </c>
      <c r="H24" s="49">
        <v>3.0768399999999998</v>
      </c>
    </row>
    <row r="25" spans="1:8">
      <c r="A25" t="s">
        <v>1130</v>
      </c>
      <c r="B25" s="49">
        <v>0.27740700000000001</v>
      </c>
      <c r="C25" s="49">
        <v>2.3856799999999998</v>
      </c>
      <c r="D25" s="49">
        <v>8.5999499999999998</v>
      </c>
      <c r="E25" s="49">
        <v>0</v>
      </c>
      <c r="F25" s="49">
        <v>4.3004199999999999E-2</v>
      </c>
      <c r="G25" s="49">
        <v>0</v>
      </c>
      <c r="H25" s="49">
        <v>9.3572399999999991</v>
      </c>
    </row>
    <row r="26" spans="1:8">
      <c r="A26" t="s">
        <v>1131</v>
      </c>
      <c r="B26" s="49">
        <v>1.95458E-3</v>
      </c>
      <c r="C26" s="49">
        <v>5.0236500000000003E-2</v>
      </c>
      <c r="D26" s="49">
        <v>25.702000000000002</v>
      </c>
      <c r="E26" s="49">
        <v>0</v>
      </c>
      <c r="F26" s="173">
        <v>7.3090900000000002E-5</v>
      </c>
      <c r="G26" s="49">
        <v>0</v>
      </c>
      <c r="H26" s="49">
        <v>0.94104100000000002</v>
      </c>
    </row>
    <row r="27" spans="1:8">
      <c r="A27" t="s">
        <v>1132</v>
      </c>
      <c r="B27" s="173">
        <v>-8.71279E-6</v>
      </c>
      <c r="C27" s="49">
        <v>6.0187600000000001E-2</v>
      </c>
      <c r="D27" s="49">
        <v>-6907.96</v>
      </c>
      <c r="E27" s="49">
        <v>0</v>
      </c>
      <c r="F27" s="49">
        <v>-0.90253399999999995</v>
      </c>
      <c r="G27" s="49">
        <v>0</v>
      </c>
      <c r="H27" s="49">
        <v>0.895949</v>
      </c>
    </row>
    <row r="28" spans="1:8">
      <c r="A28" t="s">
        <v>1133</v>
      </c>
      <c r="B28" s="49">
        <v>2.07759E-2</v>
      </c>
      <c r="C28" s="49">
        <v>0.12923699999999999</v>
      </c>
      <c r="D28" s="49">
        <v>6.2204899999999999</v>
      </c>
      <c r="E28" s="49">
        <v>0</v>
      </c>
      <c r="F28" s="49">
        <v>3.8773099999999999E-4</v>
      </c>
      <c r="G28" s="49">
        <v>0</v>
      </c>
      <c r="H28" s="49">
        <v>0.94145000000000001</v>
      </c>
    </row>
    <row r="29" spans="1:8">
      <c r="A29" t="s">
        <v>1134</v>
      </c>
      <c r="B29" s="49">
        <v>87.106300000000005</v>
      </c>
      <c r="C29" s="49">
        <v>19.808299999999999</v>
      </c>
      <c r="D29" s="49">
        <v>0.22740299999999999</v>
      </c>
      <c r="E29" s="49">
        <v>0</v>
      </c>
      <c r="F29" s="49">
        <v>56.0824</v>
      </c>
      <c r="G29" s="49">
        <v>0</v>
      </c>
      <c r="H29" s="49">
        <v>147.839</v>
      </c>
    </row>
    <row r="30" spans="1:8">
      <c r="A30" t="s">
        <v>1135</v>
      </c>
      <c r="B30" s="49">
        <v>36.107500000000002</v>
      </c>
      <c r="C30" s="49">
        <v>6.3248100000000003</v>
      </c>
      <c r="D30" s="49">
        <v>0.17516599999999999</v>
      </c>
      <c r="E30" s="49">
        <v>0</v>
      </c>
      <c r="F30" s="49">
        <v>20.280200000000001</v>
      </c>
      <c r="G30" s="49">
        <v>0</v>
      </c>
      <c r="H30" s="49">
        <v>50.314999999999998</v>
      </c>
    </row>
    <row r="31" spans="1:8">
      <c r="A31" t="s">
        <v>1136</v>
      </c>
      <c r="B31" s="49">
        <v>250.81899999999999</v>
      </c>
      <c r="C31" s="49">
        <v>37.672199999999997</v>
      </c>
      <c r="D31" s="49">
        <v>0.150197</v>
      </c>
      <c r="E31" s="49">
        <v>0</v>
      </c>
      <c r="F31" s="49">
        <v>215.90700000000001</v>
      </c>
      <c r="G31" s="49">
        <v>0</v>
      </c>
      <c r="H31" s="49">
        <v>355.27800000000002</v>
      </c>
    </row>
    <row r="32" spans="1:8">
      <c r="A32" t="s">
        <v>1137</v>
      </c>
      <c r="B32" s="49">
        <v>0.20383200000000001</v>
      </c>
      <c r="C32" s="49">
        <v>0.163573</v>
      </c>
      <c r="D32" s="49">
        <v>0.80248600000000003</v>
      </c>
      <c r="E32" s="49">
        <v>0.15</v>
      </c>
      <c r="F32" s="49">
        <v>4.5808599999999998E-2</v>
      </c>
      <c r="G32" s="49">
        <v>0.4</v>
      </c>
      <c r="H32" s="49">
        <v>0.57772199999999996</v>
      </c>
    </row>
    <row r="33" spans="1:8">
      <c r="A33" t="s">
        <v>1138</v>
      </c>
      <c r="B33" s="49">
        <v>0.31660100000000002</v>
      </c>
      <c r="C33" s="49">
        <v>7.8336900000000001E-2</v>
      </c>
      <c r="D33" s="49">
        <v>0.24743100000000001</v>
      </c>
      <c r="E33" s="49">
        <v>0</v>
      </c>
      <c r="F33" s="49">
        <v>0.16811699999999999</v>
      </c>
      <c r="G33" s="49">
        <v>0</v>
      </c>
      <c r="H33" s="49">
        <v>0.46405299999999999</v>
      </c>
    </row>
    <row r="34" spans="1:8">
      <c r="A34" t="s">
        <v>1139</v>
      </c>
      <c r="B34" s="49">
        <v>0.27146900000000002</v>
      </c>
      <c r="C34" s="49">
        <v>5.2503000000000001E-2</v>
      </c>
      <c r="D34" s="49">
        <v>0.19340299999999999</v>
      </c>
      <c r="E34" s="49">
        <v>0.1</v>
      </c>
      <c r="F34" s="49">
        <v>0.14003599999999999</v>
      </c>
      <c r="G34" s="49">
        <v>0.25</v>
      </c>
      <c r="H34" s="49">
        <v>0.39863799999999999</v>
      </c>
    </row>
    <row r="35" spans="1:8">
      <c r="A35" t="s">
        <v>1140</v>
      </c>
      <c r="B35" s="49">
        <v>0.10230400000000001</v>
      </c>
      <c r="C35" s="49">
        <v>2.9190299999999999E-2</v>
      </c>
      <c r="D35" s="49">
        <v>0.28532999999999997</v>
      </c>
      <c r="E35" s="49">
        <v>0</v>
      </c>
      <c r="F35" s="49">
        <v>2.6608199999999999E-2</v>
      </c>
      <c r="G35" s="49">
        <v>0</v>
      </c>
      <c r="H35" s="49">
        <v>0.173734</v>
      </c>
    </row>
    <row r="36" spans="1:8">
      <c r="A36" t="s">
        <v>1141</v>
      </c>
      <c r="B36" s="49">
        <v>0.24743999999999999</v>
      </c>
      <c r="C36" s="49">
        <v>0.11994</v>
      </c>
      <c r="D36" s="49">
        <v>0.48472399999999999</v>
      </c>
      <c r="E36" s="49">
        <v>0</v>
      </c>
      <c r="F36" s="49">
        <v>4.6786899999999999E-2</v>
      </c>
      <c r="G36" s="49">
        <v>0</v>
      </c>
      <c r="H36" s="49">
        <v>0.59793399999999997</v>
      </c>
    </row>
    <row r="37" spans="1:8">
      <c r="A37" t="s">
        <v>1142</v>
      </c>
      <c r="B37" s="49">
        <v>0.52503</v>
      </c>
      <c r="C37" s="49">
        <v>0.19863500000000001</v>
      </c>
      <c r="D37" s="49">
        <v>0.37833099999999997</v>
      </c>
      <c r="E37" s="49">
        <v>0.1</v>
      </c>
      <c r="F37" s="49">
        <v>2.46495E-3</v>
      </c>
      <c r="G37" s="49">
        <v>0.5</v>
      </c>
      <c r="H37" s="49">
        <v>0.69540599999999997</v>
      </c>
    </row>
    <row r="38" spans="1:8">
      <c r="A38" t="s">
        <v>1143</v>
      </c>
      <c r="B38" s="49">
        <v>3.5656300000000001</v>
      </c>
      <c r="C38" s="49">
        <v>52.500799999999998</v>
      </c>
      <c r="D38" s="49">
        <v>14.7241</v>
      </c>
      <c r="E38" s="49">
        <v>0</v>
      </c>
      <c r="F38" s="49">
        <v>-275.03500000000003</v>
      </c>
      <c r="G38" s="49">
        <v>0</v>
      </c>
      <c r="H38" s="49">
        <v>115.626</v>
      </c>
    </row>
    <row r="39" spans="1:8">
      <c r="A39" t="s">
        <v>1144</v>
      </c>
      <c r="B39" s="49">
        <v>-2.2856800000000002</v>
      </c>
      <c r="C39" s="49">
        <v>10.779</v>
      </c>
      <c r="D39" s="49">
        <v>-4.7158899999999999</v>
      </c>
      <c r="E39" s="49">
        <v>0</v>
      </c>
      <c r="F39" s="49">
        <v>-57.615200000000002</v>
      </c>
      <c r="G39" s="49">
        <v>0</v>
      </c>
      <c r="H39" s="49">
        <v>18.007100000000001</v>
      </c>
    </row>
    <row r="40" spans="1:8">
      <c r="A40" t="s">
        <v>1145</v>
      </c>
      <c r="B40" s="49">
        <v>-2.4975999999999998</v>
      </c>
      <c r="C40" s="49">
        <v>3.3684400000000001</v>
      </c>
      <c r="D40" s="49">
        <v>-1.34867</v>
      </c>
      <c r="E40" s="49">
        <v>0</v>
      </c>
      <c r="F40" s="49">
        <v>-15.8011</v>
      </c>
      <c r="G40" s="49">
        <v>0</v>
      </c>
      <c r="H40" s="49">
        <v>5.1116700000000002</v>
      </c>
    </row>
    <row r="41" spans="1:8">
      <c r="A41" t="s">
        <v>1146</v>
      </c>
      <c r="B41" s="49">
        <v>1.4046400000000001E-2</v>
      </c>
      <c r="C41" s="49">
        <v>0.16365299999999999</v>
      </c>
      <c r="D41" s="49">
        <v>11.6509</v>
      </c>
      <c r="E41" s="49">
        <v>0</v>
      </c>
      <c r="F41" s="49">
        <v>-0.7</v>
      </c>
      <c r="G41" s="49">
        <v>0</v>
      </c>
      <c r="H41" s="49">
        <v>0.51030399999999998</v>
      </c>
    </row>
    <row r="42" spans="1:8">
      <c r="A42" t="s">
        <v>1147</v>
      </c>
      <c r="B42" s="49">
        <v>-5.6556200000000001E-2</v>
      </c>
      <c r="C42" s="49">
        <v>7.92847E-2</v>
      </c>
      <c r="D42" s="49">
        <v>-1.4018699999999999</v>
      </c>
      <c r="E42" s="49">
        <v>0</v>
      </c>
      <c r="F42" s="49">
        <v>-0.266623</v>
      </c>
      <c r="G42" s="49">
        <v>0</v>
      </c>
      <c r="H42" s="49">
        <v>0.10100199999999999</v>
      </c>
    </row>
    <row r="43" spans="1:8">
      <c r="A43" t="s">
        <v>1148</v>
      </c>
      <c r="B43" s="49">
        <v>-0.15052199999999999</v>
      </c>
      <c r="C43" s="49">
        <v>8.0995800000000007E-2</v>
      </c>
      <c r="D43" s="49">
        <v>-0.53809799999999997</v>
      </c>
      <c r="E43" s="49">
        <v>0</v>
      </c>
      <c r="F43" s="49">
        <v>-0.23014699999999999</v>
      </c>
      <c r="G43" s="49">
        <v>0</v>
      </c>
      <c r="H43" s="49">
        <v>7.7732999999999997E-2</v>
      </c>
    </row>
    <row r="44" spans="1:8">
      <c r="A44" t="s">
        <v>1149</v>
      </c>
      <c r="B44" s="49">
        <v>43.092100000000002</v>
      </c>
      <c r="C44" s="49">
        <v>33.497900000000001</v>
      </c>
      <c r="D44" s="49">
        <v>0.77735699999999996</v>
      </c>
      <c r="E44" s="49">
        <v>0</v>
      </c>
      <c r="F44" s="49">
        <v>-33.912799999999997</v>
      </c>
      <c r="G44" s="49">
        <v>0</v>
      </c>
      <c r="H44" s="49">
        <v>100.38800000000001</v>
      </c>
    </row>
    <row r="45" spans="1:8">
      <c r="A45" t="s">
        <v>1150</v>
      </c>
      <c r="B45" s="49">
        <v>55.304600000000001</v>
      </c>
      <c r="C45" s="49">
        <v>11.052</v>
      </c>
      <c r="D45" s="49">
        <v>0.19983899999999999</v>
      </c>
      <c r="E45" s="49">
        <v>0</v>
      </c>
      <c r="F45" s="49">
        <v>22.506</v>
      </c>
      <c r="G45" s="49">
        <v>0</v>
      </c>
      <c r="H45" s="49">
        <v>72.050700000000006</v>
      </c>
    </row>
    <row r="46" spans="1:8">
      <c r="A46" t="s">
        <v>1151</v>
      </c>
      <c r="B46" s="49">
        <v>35.798699999999997</v>
      </c>
      <c r="C46" s="49">
        <v>2.9620299999999999</v>
      </c>
      <c r="D46" s="49">
        <v>8.2741300000000004E-2</v>
      </c>
      <c r="E46" s="49">
        <v>0</v>
      </c>
      <c r="F46" s="49">
        <v>29.344100000000001</v>
      </c>
      <c r="G46" s="49">
        <v>0</v>
      </c>
      <c r="H46" s="49">
        <v>40.294899999999998</v>
      </c>
    </row>
    <row r="47" spans="1:8">
      <c r="A47" t="s">
        <v>1152</v>
      </c>
      <c r="B47" s="49">
        <v>1.6521399999999999</v>
      </c>
      <c r="C47" s="49">
        <v>3.13171</v>
      </c>
      <c r="D47" s="49">
        <v>1.8955500000000001</v>
      </c>
      <c r="E47" s="49">
        <v>0</v>
      </c>
      <c r="F47" s="49">
        <v>0.63965300000000003</v>
      </c>
      <c r="G47" s="49">
        <v>0</v>
      </c>
      <c r="H47" s="49">
        <v>17.257200000000001</v>
      </c>
    </row>
    <row r="48" spans="1:8">
      <c r="A48" t="s">
        <v>1153</v>
      </c>
      <c r="B48" s="49">
        <v>0.80768499999999999</v>
      </c>
      <c r="C48" s="49">
        <v>0.168659</v>
      </c>
      <c r="D48" s="49">
        <v>0.208818</v>
      </c>
      <c r="E48" s="49">
        <v>0</v>
      </c>
      <c r="F48" s="49">
        <v>0.64412100000000005</v>
      </c>
      <c r="G48" s="49">
        <v>0</v>
      </c>
      <c r="H48" s="49">
        <v>1.26288</v>
      </c>
    </row>
    <row r="50" spans="1:4">
      <c r="A50" t="str">
        <f>lang!B7</f>
        <v>긍정감정</v>
      </c>
      <c r="B50" s="134">
        <f>SUM(B9:B12)</f>
        <v>236.65550000000002</v>
      </c>
      <c r="C50" s="134"/>
      <c r="D50" s="134">
        <f t="shared" ref="D50" si="0">SUM(D9:D12)</f>
        <v>43.387820000000005</v>
      </c>
    </row>
    <row r="51" spans="1:4">
      <c r="A51" t="str">
        <f>lang!B8</f>
        <v>부정감정</v>
      </c>
      <c r="B51" s="134">
        <f>SUM(B5:B8)</f>
        <v>129.93900000000002</v>
      </c>
      <c r="C51" s="134"/>
      <c r="D51" s="134">
        <f t="shared" ref="D51" si="1">SUM(D5:D8)</f>
        <v>122.26093</v>
      </c>
    </row>
    <row r="52" spans="1:4">
      <c r="A52" t="str">
        <f>lang!B9</f>
        <v>생리감정</v>
      </c>
      <c r="B52" s="134">
        <f>SUM(B13:B14)</f>
        <v>79.649900000000002</v>
      </c>
      <c r="C52" s="134"/>
      <c r="D52" s="134">
        <f t="shared" ref="D52" si="2">SUM(D13:D14)</f>
        <v>57.173400000000001</v>
      </c>
    </row>
    <row r="53" spans="1:4">
      <c r="B53" s="50">
        <f>SUM(B50:B52)</f>
        <v>446.24440000000004</v>
      </c>
      <c r="D53" s="50">
        <f>SUM(D50:D52)</f>
        <v>222.82215000000002</v>
      </c>
    </row>
    <row r="54" spans="1:4">
      <c r="A54" t="str">
        <f>lang!B7</f>
        <v>긍정감정</v>
      </c>
      <c r="B54" s="135">
        <f>IF(B$53&lt;&gt;0,B50/B$53,0)</f>
        <v>0.53032710326448917</v>
      </c>
      <c r="C54" s="135"/>
      <c r="D54" s="135">
        <f>IF(D$53&lt;&gt;0,D50/D$53,0)</f>
        <v>0.1947195106052069</v>
      </c>
    </row>
    <row r="55" spans="1:4">
      <c r="A55" t="str">
        <f>lang!B8</f>
        <v>부정감정</v>
      </c>
      <c r="B55" s="135">
        <f>IF(B$53&lt;&gt;0,B51/B$53,0)</f>
        <v>0.2911834860000484</v>
      </c>
      <c r="C55" s="135"/>
      <c r="D55" s="135">
        <f>IF(D$53&lt;&gt;0,D51/D$53,0)</f>
        <v>0.54869289251539843</v>
      </c>
    </row>
    <row r="56" spans="1:4">
      <c r="A56" t="str">
        <f>lang!B9</f>
        <v>생리감정</v>
      </c>
      <c r="B56" s="135">
        <f>IF(B$53&lt;&gt;0,B52/B$53,0)</f>
        <v>0.17848941073546243</v>
      </c>
      <c r="C56" s="135"/>
      <c r="D56" s="135">
        <f>IF(D$53&lt;&gt;0,D52/D$53,0)</f>
        <v>0.25658759687939459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8.88748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9.0707099999999999E-2</v>
      </c>
      <c r="B8" s="49">
        <v>9.0707099999999999E-2</v>
      </c>
    </row>
    <row r="9" spans="1:3">
      <c r="A9" s="49">
        <v>0</v>
      </c>
      <c r="B9" s="49">
        <v>0</v>
      </c>
    </row>
    <row r="10" spans="1:3">
      <c r="A10" s="49">
        <v>0.17959600000000001</v>
      </c>
      <c r="B10" s="49">
        <v>0.17959600000000001</v>
      </c>
    </row>
    <row r="11" spans="1:3">
      <c r="A11" s="49">
        <v>0</v>
      </c>
      <c r="B11" s="49">
        <v>0</v>
      </c>
    </row>
    <row r="12" spans="1:3">
      <c r="A12" s="49">
        <v>0</v>
      </c>
      <c r="B12" s="49">
        <v>0</v>
      </c>
    </row>
    <row r="13" spans="1:3">
      <c r="A13" s="49">
        <v>0.56121200000000004</v>
      </c>
      <c r="B13" s="49">
        <v>0.56121200000000004</v>
      </c>
    </row>
    <row r="14" spans="1:3">
      <c r="A14" s="49">
        <v>0</v>
      </c>
      <c r="B14" s="49">
        <v>0</v>
      </c>
    </row>
    <row r="15" spans="1:3">
      <c r="A15" s="49">
        <v>0.560303</v>
      </c>
      <c r="B15" s="49">
        <v>0.560303</v>
      </c>
    </row>
    <row r="16" spans="1:3">
      <c r="A16" s="49">
        <v>0</v>
      </c>
      <c r="B16" s="49">
        <v>0</v>
      </c>
    </row>
    <row r="17" spans="1:2">
      <c r="A17" s="49">
        <v>0</v>
      </c>
      <c r="B17" s="49">
        <v>0</v>
      </c>
    </row>
    <row r="18" spans="1:2">
      <c r="A18" s="49">
        <v>0.32080799999999998</v>
      </c>
      <c r="B18" s="49">
        <v>0.32080799999999998</v>
      </c>
    </row>
    <row r="19" spans="1:2">
      <c r="A19" s="49">
        <v>0</v>
      </c>
      <c r="B19" s="49">
        <v>0</v>
      </c>
    </row>
    <row r="20" spans="1:2">
      <c r="A20" s="49">
        <v>0</v>
      </c>
      <c r="B20" s="49">
        <v>0</v>
      </c>
    </row>
    <row r="21" spans="1:2">
      <c r="A21" s="49">
        <v>0.37626300000000001</v>
      </c>
      <c r="B21" s="49">
        <v>0.37626300000000001</v>
      </c>
    </row>
    <row r="22" spans="1:2">
      <c r="A22" s="49">
        <v>0</v>
      </c>
      <c r="B22" s="49">
        <v>0</v>
      </c>
    </row>
    <row r="23" spans="1:2">
      <c r="A23" s="49">
        <v>0.493535</v>
      </c>
      <c r="B23" s="49">
        <v>0.493535</v>
      </c>
    </row>
    <row r="24" spans="1:2">
      <c r="A24" s="49">
        <v>0</v>
      </c>
      <c r="B24" s="49">
        <v>0</v>
      </c>
    </row>
    <row r="25" spans="1:2">
      <c r="A25" s="49">
        <v>0</v>
      </c>
      <c r="B25" s="49">
        <v>0</v>
      </c>
    </row>
    <row r="26" spans="1:2">
      <c r="A26" s="49">
        <v>0.70979800000000004</v>
      </c>
      <c r="B26" s="49">
        <v>0.70979800000000004</v>
      </c>
    </row>
    <row r="27" spans="1:2">
      <c r="A27" s="49">
        <v>0</v>
      </c>
      <c r="B27" s="49">
        <v>0</v>
      </c>
    </row>
    <row r="28" spans="1:2">
      <c r="A28" s="49">
        <v>0.87313099999999999</v>
      </c>
      <c r="B28" s="49">
        <v>0.87313099999999999</v>
      </c>
    </row>
    <row r="29" spans="1:2">
      <c r="A29" s="49">
        <v>0</v>
      </c>
      <c r="B29" s="49">
        <v>0</v>
      </c>
    </row>
    <row r="30" spans="1:2">
      <c r="A30" s="49">
        <v>0</v>
      </c>
      <c r="B30" s="49">
        <v>0</v>
      </c>
    </row>
    <row r="31" spans="1:2">
      <c r="A31" s="49">
        <v>0.878687</v>
      </c>
      <c r="B31" s="49">
        <v>0.878687</v>
      </c>
    </row>
    <row r="32" spans="1:2">
      <c r="A32" s="49">
        <v>0</v>
      </c>
      <c r="B32" s="49">
        <v>0</v>
      </c>
    </row>
    <row r="33" spans="1:2">
      <c r="A33" s="49">
        <v>1.0987899999999999</v>
      </c>
      <c r="B33" s="49">
        <v>1.0987899999999999</v>
      </c>
    </row>
    <row r="34" spans="1:2">
      <c r="A34" s="49">
        <v>0</v>
      </c>
      <c r="B34" s="49">
        <v>0</v>
      </c>
    </row>
    <row r="35" spans="1:2">
      <c r="A35" s="49">
        <v>0</v>
      </c>
      <c r="B35" s="49">
        <v>0</v>
      </c>
    </row>
    <row r="36" spans="1:2">
      <c r="A36" s="49">
        <v>1.76444</v>
      </c>
      <c r="B36" s="49">
        <v>1.76444</v>
      </c>
    </row>
    <row r="37" spans="1:2">
      <c r="A37" s="49">
        <v>0</v>
      </c>
      <c r="B37" s="49">
        <v>0</v>
      </c>
    </row>
    <row r="38" spans="1:2">
      <c r="A38" s="49">
        <v>0</v>
      </c>
      <c r="B38" s="49">
        <v>0</v>
      </c>
    </row>
    <row r="39" spans="1:2">
      <c r="A39" s="49">
        <v>3.3783799999999999</v>
      </c>
      <c r="B39" s="49">
        <v>3.3783799999999999</v>
      </c>
    </row>
    <row r="40" spans="1:2">
      <c r="A40" s="49">
        <v>0</v>
      </c>
      <c r="B40" s="49">
        <v>0</v>
      </c>
    </row>
    <row r="41" spans="1:2">
      <c r="A41" s="49">
        <v>4.1649500000000002</v>
      </c>
      <c r="B41" s="49">
        <v>4.1649500000000002</v>
      </c>
    </row>
    <row r="42" spans="1:2">
      <c r="A42" s="49">
        <v>0</v>
      </c>
      <c r="B42" s="49">
        <v>0</v>
      </c>
    </row>
    <row r="43" spans="1:2">
      <c r="A43" s="49">
        <v>0</v>
      </c>
      <c r="B43" s="49">
        <v>0</v>
      </c>
    </row>
    <row r="44" spans="1:2">
      <c r="A44" s="49">
        <v>4.26586</v>
      </c>
      <c r="B44" s="49">
        <v>4.26586</v>
      </c>
    </row>
    <row r="45" spans="1:2">
      <c r="A45" s="49">
        <v>0</v>
      </c>
      <c r="B45" s="49">
        <v>0</v>
      </c>
    </row>
    <row r="46" spans="1:2">
      <c r="A46" s="49">
        <v>4.7462600000000004</v>
      </c>
      <c r="B46" s="49">
        <v>4.7462600000000004</v>
      </c>
    </row>
    <row r="47" spans="1:2">
      <c r="A47" s="49">
        <v>0</v>
      </c>
      <c r="B47" s="49">
        <v>0</v>
      </c>
    </row>
    <row r="48" spans="1:2">
      <c r="A48" s="49">
        <v>0</v>
      </c>
      <c r="B48" s="49">
        <v>0</v>
      </c>
    </row>
    <row r="49" spans="1:2">
      <c r="A49" s="49">
        <v>5.8739400000000002</v>
      </c>
      <c r="B49" s="49">
        <v>5.8739400000000002</v>
      </c>
    </row>
    <row r="50" spans="1:2">
      <c r="A50" s="49">
        <v>0</v>
      </c>
      <c r="B50" s="49">
        <v>0</v>
      </c>
    </row>
    <row r="51" spans="1:2">
      <c r="A51" s="49">
        <v>6.6783799999999998</v>
      </c>
      <c r="B51" s="49">
        <v>6.6783799999999998</v>
      </c>
    </row>
    <row r="52" spans="1:2">
      <c r="A52" s="49">
        <v>0</v>
      </c>
      <c r="B52" s="49">
        <v>0</v>
      </c>
    </row>
    <row r="53" spans="1:2">
      <c r="A53" s="49">
        <v>0</v>
      </c>
      <c r="B53" s="49">
        <v>0</v>
      </c>
    </row>
    <row r="54" spans="1:2">
      <c r="A54" s="49">
        <v>7.7533300000000001</v>
      </c>
      <c r="B54" s="49">
        <v>7.7533300000000001</v>
      </c>
    </row>
    <row r="55" spans="1:2">
      <c r="A55" s="49">
        <v>0</v>
      </c>
      <c r="B55" s="49">
        <v>0</v>
      </c>
    </row>
    <row r="56" spans="1:2">
      <c r="A56" s="49">
        <v>0</v>
      </c>
      <c r="B56" s="49">
        <v>0</v>
      </c>
    </row>
    <row r="57" spans="1:2">
      <c r="A57" s="49">
        <v>6.4689899999999998</v>
      </c>
      <c r="B57" s="49">
        <v>6.4689899999999998</v>
      </c>
    </row>
    <row r="58" spans="1:2">
      <c r="A58" s="49">
        <v>0</v>
      </c>
      <c r="B58" s="49">
        <v>0</v>
      </c>
    </row>
    <row r="59" spans="1:2">
      <c r="A59" s="49">
        <v>6.3751499999999997</v>
      </c>
      <c r="B59" s="49">
        <v>6.3751499999999997</v>
      </c>
    </row>
    <row r="60" spans="1:2">
      <c r="A60" s="49">
        <v>0</v>
      </c>
      <c r="B60" s="49">
        <v>0</v>
      </c>
    </row>
    <row r="61" spans="1:2">
      <c r="A61" s="49">
        <v>0</v>
      </c>
      <c r="B61" s="49">
        <v>0</v>
      </c>
    </row>
    <row r="62" spans="1:2">
      <c r="A62" s="49">
        <v>4.9945500000000003</v>
      </c>
      <c r="B62" s="49">
        <v>4.9945500000000003</v>
      </c>
    </row>
    <row r="63" spans="1:2">
      <c r="A63" s="49">
        <v>0</v>
      </c>
      <c r="B63" s="49">
        <v>0</v>
      </c>
    </row>
    <row r="64" spans="1:2">
      <c r="A64" s="49">
        <v>5.2058600000000004</v>
      </c>
      <c r="B64" s="49">
        <v>5.2058600000000004</v>
      </c>
    </row>
    <row r="65" spans="1:2">
      <c r="A65" s="49">
        <v>0</v>
      </c>
      <c r="B65" s="49">
        <v>0</v>
      </c>
    </row>
    <row r="66" spans="1:2">
      <c r="A66" s="49">
        <v>0</v>
      </c>
      <c r="B66" s="49">
        <v>0</v>
      </c>
    </row>
    <row r="67" spans="1:2">
      <c r="A67" s="49">
        <v>4.88626</v>
      </c>
      <c r="B67" s="49">
        <v>4.88626</v>
      </c>
    </row>
    <row r="68" spans="1:2">
      <c r="A68" s="49">
        <v>0</v>
      </c>
      <c r="B68" s="49">
        <v>0</v>
      </c>
    </row>
    <row r="69" spans="1:2">
      <c r="A69" s="49">
        <v>5.1814099999999996</v>
      </c>
      <c r="B69" s="49">
        <v>5.1814099999999996</v>
      </c>
    </row>
    <row r="70" spans="1:2">
      <c r="A70" s="49">
        <v>0</v>
      </c>
      <c r="B70" s="49">
        <v>0</v>
      </c>
    </row>
    <row r="71" spans="1:2">
      <c r="A71" s="49">
        <v>0</v>
      </c>
      <c r="B71" s="49">
        <v>0</v>
      </c>
    </row>
    <row r="72" spans="1:2">
      <c r="A72" s="49">
        <v>5.3075799999999997</v>
      </c>
      <c r="B72" s="49">
        <v>5.3075799999999997</v>
      </c>
    </row>
    <row r="73" spans="1:2">
      <c r="A73" s="49">
        <v>0</v>
      </c>
      <c r="B73" s="49">
        <v>0</v>
      </c>
    </row>
    <row r="74" spans="1:2">
      <c r="A74" s="49">
        <v>0</v>
      </c>
      <c r="B74" s="49">
        <v>0</v>
      </c>
    </row>
    <row r="75" spans="1:2">
      <c r="A75" s="49">
        <v>5.41899</v>
      </c>
      <c r="B75" s="49">
        <v>5.41899</v>
      </c>
    </row>
    <row r="76" spans="1:2">
      <c r="A76" s="49">
        <v>0</v>
      </c>
      <c r="B76" s="49">
        <v>0</v>
      </c>
    </row>
    <row r="77" spans="1:2">
      <c r="A77" s="49">
        <v>5.3983800000000004</v>
      </c>
      <c r="B77" s="49">
        <v>5.3983800000000004</v>
      </c>
    </row>
    <row r="78" spans="1:2">
      <c r="A78" s="49">
        <v>0</v>
      </c>
      <c r="B78" s="49">
        <v>0</v>
      </c>
    </row>
    <row r="79" spans="1:2">
      <c r="A79" s="49">
        <v>0</v>
      </c>
      <c r="B79" s="49">
        <v>0</v>
      </c>
    </row>
    <row r="80" spans="1:2">
      <c r="A80" s="49">
        <v>6.1478799999999998</v>
      </c>
      <c r="B80" s="49">
        <v>6.1478799999999998</v>
      </c>
    </row>
    <row r="81" spans="1:2">
      <c r="A81" s="49">
        <v>0</v>
      </c>
      <c r="B81" s="49">
        <v>0</v>
      </c>
    </row>
    <row r="82" spans="1:2">
      <c r="A82" s="49">
        <v>6.9181800000000004</v>
      </c>
      <c r="B82" s="49">
        <v>6.9181800000000004</v>
      </c>
    </row>
    <row r="83" spans="1:2">
      <c r="A83" s="49">
        <v>0</v>
      </c>
      <c r="B83" s="49">
        <v>0</v>
      </c>
    </row>
    <row r="84" spans="1:2">
      <c r="A84" s="49">
        <v>0</v>
      </c>
      <c r="B84" s="49">
        <v>0</v>
      </c>
    </row>
    <row r="85" spans="1:2">
      <c r="A85" s="49">
        <v>7.3304999999999998</v>
      </c>
      <c r="B85" s="49">
        <v>7.3304999999999998</v>
      </c>
    </row>
    <row r="86" spans="1:2">
      <c r="A86" s="49">
        <v>0</v>
      </c>
      <c r="B86" s="49">
        <v>0</v>
      </c>
    </row>
    <row r="87" spans="1:2">
      <c r="A87" s="49">
        <v>0</v>
      </c>
      <c r="B87" s="49">
        <v>0</v>
      </c>
    </row>
    <row r="88" spans="1:2">
      <c r="A88" s="49">
        <v>8.0891900000000003</v>
      </c>
      <c r="B88" s="49">
        <v>8.0891900000000003</v>
      </c>
    </row>
    <row r="89" spans="1:2">
      <c r="A89" s="49">
        <v>0</v>
      </c>
      <c r="B89" s="49">
        <v>0</v>
      </c>
    </row>
    <row r="90" spans="1:2">
      <c r="A90" s="49">
        <v>8.0029299999999992</v>
      </c>
      <c r="B90" s="49">
        <v>8.0029299999999992</v>
      </c>
    </row>
    <row r="91" spans="1:2">
      <c r="A91" s="49">
        <v>0</v>
      </c>
      <c r="B91" s="49">
        <v>0</v>
      </c>
    </row>
    <row r="92" spans="1:2">
      <c r="A92" s="49">
        <v>0</v>
      </c>
      <c r="B92" s="49">
        <v>0</v>
      </c>
    </row>
    <row r="93" spans="1:2">
      <c r="A93" s="49">
        <v>7.9947499999999998</v>
      </c>
      <c r="B93" s="49">
        <v>7.9947499999999998</v>
      </c>
    </row>
    <row r="94" spans="1:2">
      <c r="A94" s="49">
        <v>0</v>
      </c>
      <c r="B94" s="49">
        <v>0</v>
      </c>
    </row>
    <row r="95" spans="1:2">
      <c r="A95" s="49">
        <v>8.4521200000000007</v>
      </c>
      <c r="B95" s="49">
        <v>8.4521200000000007</v>
      </c>
    </row>
    <row r="96" spans="1:2">
      <c r="A96" s="49">
        <v>0</v>
      </c>
      <c r="B96" s="49">
        <v>0</v>
      </c>
    </row>
    <row r="97" spans="1:2">
      <c r="A97" s="49">
        <v>0</v>
      </c>
      <c r="B97" s="49">
        <v>0</v>
      </c>
    </row>
    <row r="98" spans="1:2">
      <c r="A98" s="49">
        <v>8.3212100000000007</v>
      </c>
      <c r="B98" s="49">
        <v>8.3212100000000007</v>
      </c>
    </row>
    <row r="99" spans="1:2">
      <c r="A99" s="49">
        <v>0</v>
      </c>
      <c r="B99" s="49">
        <v>0</v>
      </c>
    </row>
    <row r="100" spans="1:2">
      <c r="A100" s="49">
        <v>8.88748</v>
      </c>
      <c r="B100" s="49">
        <v>8.88748</v>
      </c>
    </row>
    <row r="101" spans="1:2">
      <c r="A101" s="49">
        <v>0</v>
      </c>
      <c r="B101" s="49">
        <v>0</v>
      </c>
    </row>
    <row r="102" spans="1:2">
      <c r="A102" s="49">
        <v>0</v>
      </c>
      <c r="B102" s="49">
        <v>0</v>
      </c>
    </row>
    <row r="103" spans="1:2">
      <c r="A103" s="49">
        <v>8.5767699999999998</v>
      </c>
      <c r="B103" s="49">
        <v>8.5767699999999998</v>
      </c>
    </row>
    <row r="104" spans="1:2">
      <c r="A104" s="49">
        <v>0</v>
      </c>
      <c r="B104" s="49">
        <v>0</v>
      </c>
    </row>
    <row r="105" spans="1:2">
      <c r="A105" s="49">
        <v>0</v>
      </c>
      <c r="B105" s="49">
        <v>0</v>
      </c>
    </row>
    <row r="106" spans="1:2">
      <c r="A106" s="49">
        <v>7.9947499999999998</v>
      </c>
      <c r="B106" s="49">
        <v>7.9947499999999998</v>
      </c>
    </row>
    <row r="107" spans="1:2">
      <c r="A107" s="49">
        <v>0</v>
      </c>
      <c r="B107" s="49">
        <v>0</v>
      </c>
    </row>
    <row r="108" spans="1:2">
      <c r="A108" s="49">
        <v>7.5068700000000002</v>
      </c>
      <c r="B108" s="49">
        <v>7.5068700000000002</v>
      </c>
    </row>
    <row r="109" spans="1:2">
      <c r="A109" s="49">
        <v>0</v>
      </c>
      <c r="B109" s="49">
        <v>0</v>
      </c>
    </row>
    <row r="110" spans="1:2">
      <c r="A110" s="49">
        <v>0</v>
      </c>
      <c r="B110" s="49">
        <v>0</v>
      </c>
    </row>
    <row r="111" spans="1:2">
      <c r="A111" s="49">
        <v>7.1661599999999996</v>
      </c>
      <c r="B111" s="49">
        <v>7.1661599999999996</v>
      </c>
    </row>
    <row r="112" spans="1:2">
      <c r="A112" s="49">
        <v>0</v>
      </c>
      <c r="B112" s="49">
        <v>0</v>
      </c>
    </row>
    <row r="113" spans="1:2">
      <c r="A113" s="49">
        <v>6.90313</v>
      </c>
      <c r="B113" s="49">
        <v>6.90313</v>
      </c>
    </row>
    <row r="114" spans="1:2">
      <c r="A114" s="49">
        <v>0</v>
      </c>
      <c r="B114" s="49">
        <v>0</v>
      </c>
    </row>
    <row r="115" spans="1:2">
      <c r="A115" s="49">
        <v>0</v>
      </c>
      <c r="B115" s="49">
        <v>0</v>
      </c>
    </row>
    <row r="116" spans="1:2">
      <c r="A116" s="49">
        <v>6.1320199999999998</v>
      </c>
      <c r="B116" s="49">
        <v>6.1320199999999998</v>
      </c>
    </row>
    <row r="117" spans="1:2">
      <c r="A117" s="49">
        <v>0</v>
      </c>
      <c r="B117" s="49">
        <v>0</v>
      </c>
    </row>
    <row r="118" spans="1:2">
      <c r="A118" s="49">
        <v>5.9737400000000003</v>
      </c>
      <c r="B118" s="49">
        <v>5.9737400000000003</v>
      </c>
    </row>
    <row r="119" spans="1:2">
      <c r="A119" s="49">
        <v>0</v>
      </c>
      <c r="B119" s="49">
        <v>0</v>
      </c>
    </row>
    <row r="120" spans="1:2">
      <c r="A120" s="49">
        <v>0</v>
      </c>
      <c r="B120" s="49">
        <v>0</v>
      </c>
    </row>
    <row r="121" spans="1:2">
      <c r="A121" s="49">
        <v>5.9822199999999999</v>
      </c>
      <c r="B121" s="49">
        <v>5.9822199999999999</v>
      </c>
    </row>
    <row r="122" spans="1:2">
      <c r="A122" s="49">
        <v>0</v>
      </c>
      <c r="B122" s="49">
        <v>0</v>
      </c>
    </row>
    <row r="123" spans="1:2">
      <c r="A123" s="49">
        <v>0</v>
      </c>
      <c r="B123" s="49">
        <v>0</v>
      </c>
    </row>
    <row r="124" spans="1:2">
      <c r="A124" s="49">
        <v>5.89384</v>
      </c>
      <c r="B124" s="49">
        <v>5.89384</v>
      </c>
    </row>
    <row r="125" spans="1:2">
      <c r="A125" s="49">
        <v>0</v>
      </c>
      <c r="B125" s="49">
        <v>0</v>
      </c>
    </row>
    <row r="126" spans="1:2">
      <c r="A126" s="49">
        <v>5.95242</v>
      </c>
      <c r="B126" s="49">
        <v>5.95242</v>
      </c>
    </row>
    <row r="127" spans="1:2">
      <c r="A127" s="49">
        <v>0</v>
      </c>
      <c r="B127" s="49">
        <v>0</v>
      </c>
    </row>
    <row r="128" spans="1:2">
      <c r="A128" s="49">
        <v>0</v>
      </c>
      <c r="B128" s="49">
        <v>0</v>
      </c>
    </row>
    <row r="129" spans="1:2">
      <c r="A129" s="49">
        <v>6.3123199999999997</v>
      </c>
      <c r="B129" s="49">
        <v>6.3123199999999997</v>
      </c>
    </row>
    <row r="130" spans="1:2">
      <c r="A130" s="49">
        <v>0</v>
      </c>
      <c r="B130" s="49">
        <v>0</v>
      </c>
    </row>
    <row r="131" spans="1:2">
      <c r="A131" s="49">
        <v>5.2269699999999997</v>
      </c>
      <c r="B131" s="49">
        <v>5.2269699999999997</v>
      </c>
    </row>
    <row r="132" spans="1:2">
      <c r="A132" s="49">
        <v>0</v>
      </c>
      <c r="B132" s="49">
        <v>0</v>
      </c>
    </row>
    <row r="133" spans="1:2">
      <c r="A133" s="49">
        <v>0</v>
      </c>
      <c r="B133" s="49">
        <v>0</v>
      </c>
    </row>
    <row r="134" spans="1:2">
      <c r="A134" s="49">
        <v>5.1717199999999997</v>
      </c>
      <c r="B134" s="49">
        <v>5.1717199999999997</v>
      </c>
    </row>
    <row r="135" spans="1:2">
      <c r="A135" s="49">
        <v>0</v>
      </c>
      <c r="B135" s="49">
        <v>0</v>
      </c>
    </row>
    <row r="136" spans="1:2">
      <c r="A136" s="49">
        <v>5.1208099999999996</v>
      </c>
      <c r="B136" s="49">
        <v>5.1208099999999996</v>
      </c>
    </row>
    <row r="137" spans="1:2">
      <c r="A137" s="49">
        <v>0</v>
      </c>
      <c r="B137" s="49">
        <v>0</v>
      </c>
    </row>
    <row r="138" spans="1:2">
      <c r="A138" s="49">
        <v>0</v>
      </c>
      <c r="B138" s="49">
        <v>0</v>
      </c>
    </row>
    <row r="139" spans="1:2">
      <c r="A139" s="49">
        <v>4.8126300000000004</v>
      </c>
      <c r="B139" s="49">
        <v>4.8126300000000004</v>
      </c>
    </row>
    <row r="140" spans="1:2">
      <c r="A140" s="49">
        <v>0</v>
      </c>
      <c r="B140" s="49">
        <v>0</v>
      </c>
    </row>
    <row r="141" spans="1:2">
      <c r="A141" s="49">
        <v>0</v>
      </c>
      <c r="B141" s="49">
        <v>0</v>
      </c>
    </row>
    <row r="142" spans="1:2">
      <c r="A142" s="49">
        <v>4.6212099999999996</v>
      </c>
      <c r="B142" s="49">
        <v>4.6212099999999996</v>
      </c>
    </row>
    <row r="143" spans="1:2">
      <c r="A143" s="49">
        <v>0</v>
      </c>
      <c r="B143" s="49">
        <v>0</v>
      </c>
    </row>
    <row r="144" spans="1:2">
      <c r="A144" s="49">
        <v>4.3507100000000003</v>
      </c>
      <c r="B144" s="49">
        <v>4.3507100000000003</v>
      </c>
    </row>
    <row r="145" spans="1:2">
      <c r="A145" s="49">
        <v>0</v>
      </c>
      <c r="B145" s="49">
        <v>0</v>
      </c>
    </row>
    <row r="146" spans="1:2">
      <c r="A146" s="49">
        <v>0</v>
      </c>
      <c r="B146" s="49">
        <v>0</v>
      </c>
    </row>
    <row r="147" spans="1:2">
      <c r="A147" s="49">
        <v>3.7561599999999999</v>
      </c>
      <c r="B147" s="49">
        <v>3.7561599999999999</v>
      </c>
    </row>
    <row r="148" spans="1:2">
      <c r="A148" s="49">
        <v>0</v>
      </c>
      <c r="B148" s="49">
        <v>0</v>
      </c>
    </row>
    <row r="149" spans="1:2">
      <c r="A149" s="49">
        <v>3.7066699999999999</v>
      </c>
      <c r="B149" s="49">
        <v>3.7066699999999999</v>
      </c>
    </row>
    <row r="150" spans="1:2">
      <c r="A150" s="49">
        <v>0</v>
      </c>
      <c r="B150" s="49">
        <v>0</v>
      </c>
    </row>
    <row r="151" spans="1:2">
      <c r="A151" s="49">
        <v>0</v>
      </c>
      <c r="B151" s="49">
        <v>0</v>
      </c>
    </row>
    <row r="152" spans="1:2">
      <c r="A152" s="49">
        <v>3.9323199999999998</v>
      </c>
      <c r="B152" s="49">
        <v>3.9323199999999998</v>
      </c>
    </row>
    <row r="153" spans="1:2">
      <c r="A153" s="49">
        <v>0</v>
      </c>
      <c r="B153" s="49">
        <v>0</v>
      </c>
    </row>
    <row r="154" spans="1:2">
      <c r="A154" s="49">
        <v>3.5594999999999999</v>
      </c>
      <c r="B154" s="49">
        <v>3.5594999999999999</v>
      </c>
    </row>
    <row r="155" spans="1:2">
      <c r="A155" s="49">
        <v>0</v>
      </c>
      <c r="B155" s="49">
        <v>0</v>
      </c>
    </row>
    <row r="156" spans="1:2">
      <c r="A156" s="49">
        <v>0</v>
      </c>
      <c r="B156" s="49">
        <v>0</v>
      </c>
    </row>
    <row r="157" spans="1:2">
      <c r="A157" s="49">
        <v>4.15707</v>
      </c>
      <c r="B157" s="49">
        <v>4.15707</v>
      </c>
    </row>
    <row r="158" spans="1:2">
      <c r="A158" s="49">
        <v>0</v>
      </c>
      <c r="B158" s="49">
        <v>0</v>
      </c>
    </row>
    <row r="159" spans="1:2">
      <c r="A159" s="49">
        <v>0</v>
      </c>
      <c r="B159" s="49">
        <v>0</v>
      </c>
    </row>
    <row r="160" spans="1:2">
      <c r="A160" s="49">
        <v>3.4555600000000002</v>
      </c>
      <c r="B160" s="49">
        <v>3.4555600000000002</v>
      </c>
    </row>
    <row r="161" spans="1:2">
      <c r="A161" s="49">
        <v>0</v>
      </c>
      <c r="B161" s="49">
        <v>0</v>
      </c>
    </row>
    <row r="162" spans="1:2">
      <c r="A162" s="49">
        <v>2.9605100000000002</v>
      </c>
      <c r="B162" s="49">
        <v>2.9605100000000002</v>
      </c>
    </row>
    <row r="163" spans="1:2">
      <c r="A163" s="49">
        <v>0</v>
      </c>
      <c r="B163" s="49">
        <v>0</v>
      </c>
    </row>
    <row r="164" spans="1:2">
      <c r="A164" s="49">
        <v>0</v>
      </c>
      <c r="B164" s="49">
        <v>0</v>
      </c>
    </row>
    <row r="165" spans="1:2">
      <c r="A165" s="49">
        <v>2.8147500000000001</v>
      </c>
      <c r="B165" s="49">
        <v>2.8147500000000001</v>
      </c>
    </row>
    <row r="166" spans="1:2">
      <c r="A166" s="49">
        <v>0</v>
      </c>
      <c r="B166" s="49">
        <v>0</v>
      </c>
    </row>
    <row r="167" spans="1:2">
      <c r="A167" s="49">
        <v>2.6621199999999998</v>
      </c>
      <c r="B167" s="49">
        <v>2.6621199999999998</v>
      </c>
    </row>
    <row r="168" spans="1:2">
      <c r="A168" s="49">
        <v>0</v>
      </c>
      <c r="B168" s="49">
        <v>0</v>
      </c>
    </row>
    <row r="169" spans="1:2">
      <c r="A169" s="49">
        <v>0</v>
      </c>
      <c r="B169" s="49">
        <v>0</v>
      </c>
    </row>
    <row r="170" spans="1:2">
      <c r="A170" s="49">
        <v>2.5095000000000001</v>
      </c>
      <c r="B170" s="49">
        <v>2.5095000000000001</v>
      </c>
    </row>
    <row r="171" spans="1:2">
      <c r="A171" s="49">
        <v>0</v>
      </c>
      <c r="B171" s="49">
        <v>0</v>
      </c>
    </row>
    <row r="172" spans="1:2">
      <c r="A172" s="49">
        <v>0</v>
      </c>
      <c r="B172" s="49">
        <v>0</v>
      </c>
    </row>
    <row r="173" spans="1:2">
      <c r="A173" s="49">
        <v>1.6853499999999999</v>
      </c>
      <c r="B173" s="49">
        <v>1.6853499999999999</v>
      </c>
    </row>
    <row r="174" spans="1:2">
      <c r="A174" s="49">
        <v>0</v>
      </c>
      <c r="B174" s="49">
        <v>0</v>
      </c>
    </row>
    <row r="175" spans="1:2">
      <c r="A175" s="49">
        <v>1.1865699999999999</v>
      </c>
      <c r="B175" s="49">
        <v>1.1865699999999999</v>
      </c>
    </row>
    <row r="176" spans="1:2">
      <c r="A176" s="49">
        <v>0</v>
      </c>
      <c r="B176" s="49">
        <v>0</v>
      </c>
    </row>
    <row r="177" spans="1:2">
      <c r="A177" s="49">
        <v>0</v>
      </c>
      <c r="B177" s="49">
        <v>0</v>
      </c>
    </row>
    <row r="178" spans="1:2">
      <c r="A178" s="49">
        <v>1.0280800000000001</v>
      </c>
      <c r="B178" s="49">
        <v>1.0280800000000001</v>
      </c>
    </row>
    <row r="179" spans="1:2">
      <c r="A179" s="49">
        <v>0</v>
      </c>
      <c r="B179" s="49">
        <v>0</v>
      </c>
    </row>
    <row r="180" spans="1:2">
      <c r="A180" s="49">
        <v>0.74757600000000002</v>
      </c>
      <c r="B180" s="49">
        <v>0.74757600000000002</v>
      </c>
    </row>
    <row r="181" spans="1:2">
      <c r="A181" s="49">
        <v>0</v>
      </c>
      <c r="B181" s="49">
        <v>0</v>
      </c>
    </row>
    <row r="182" spans="1:2">
      <c r="A182" s="49">
        <v>0</v>
      </c>
      <c r="B182" s="49">
        <v>0</v>
      </c>
    </row>
    <row r="183" spans="1:2">
      <c r="A183" s="49">
        <v>0.440909</v>
      </c>
      <c r="B183" s="49">
        <v>0.440909</v>
      </c>
    </row>
    <row r="184" spans="1:2">
      <c r="A184" s="49">
        <v>0</v>
      </c>
      <c r="B184" s="49">
        <v>0</v>
      </c>
    </row>
    <row r="185" spans="1:2">
      <c r="A185" s="49">
        <v>0.35313099999999997</v>
      </c>
      <c r="B185" s="49">
        <v>0.35313099999999997</v>
      </c>
    </row>
    <row r="186" spans="1:2">
      <c r="A186" s="49">
        <v>0</v>
      </c>
      <c r="B186" s="49">
        <v>0</v>
      </c>
    </row>
    <row r="187" spans="1:2">
      <c r="A187" s="49">
        <v>0</v>
      </c>
      <c r="B187" s="49">
        <v>0</v>
      </c>
    </row>
    <row r="188" spans="1:2">
      <c r="A188" s="49">
        <v>0.26171699999999998</v>
      </c>
      <c r="B188" s="49">
        <v>0.26171699999999998</v>
      </c>
    </row>
    <row r="189" spans="1:2">
      <c r="A189" s="49">
        <v>0</v>
      </c>
      <c r="B189" s="49">
        <v>0</v>
      </c>
    </row>
    <row r="190" spans="1:2">
      <c r="A190" s="49">
        <v>0</v>
      </c>
      <c r="B190" s="49">
        <v>0</v>
      </c>
    </row>
    <row r="191" spans="1:2">
      <c r="A191" s="49">
        <v>0.14565700000000001</v>
      </c>
      <c r="B191" s="49">
        <v>0.14565700000000001</v>
      </c>
    </row>
    <row r="192" spans="1:2">
      <c r="A192" s="49">
        <v>0</v>
      </c>
      <c r="B192" s="49">
        <v>0</v>
      </c>
    </row>
    <row r="193" spans="1:2">
      <c r="A193" s="49">
        <v>5.4141399999999999E-2</v>
      </c>
      <c r="B193" s="49">
        <v>5.4141399999999999E-2</v>
      </c>
    </row>
    <row r="194" spans="1:2">
      <c r="A194" s="49">
        <v>0</v>
      </c>
      <c r="B194" s="49">
        <v>0</v>
      </c>
    </row>
    <row r="195" spans="1:2">
      <c r="A195" s="49">
        <v>0</v>
      </c>
      <c r="B195" s="49">
        <v>0</v>
      </c>
    </row>
    <row r="196" spans="1:2">
      <c r="A196" s="49">
        <v>3.5353500000000003E-2</v>
      </c>
      <c r="B196" s="49">
        <v>3.5353500000000003E-2</v>
      </c>
    </row>
    <row r="197" spans="1:2">
      <c r="A197" s="49">
        <v>0</v>
      </c>
      <c r="B197" s="49">
        <v>0</v>
      </c>
    </row>
    <row r="198" spans="1:2">
      <c r="A198" s="49">
        <v>1.8181800000000001E-2</v>
      </c>
      <c r="B198" s="49">
        <v>1.8181800000000001E-2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0.46520400000000001</v>
      </c>
      <c r="B2" s="49">
        <v>0.32631900000000003</v>
      </c>
      <c r="C2">
        <v>0</v>
      </c>
      <c r="D2">
        <v>0</v>
      </c>
      <c r="E2" t="s">
        <v>1161</v>
      </c>
      <c r="F2" s="49">
        <f>IF(A2&lt;&gt;"",1,"")</f>
        <v>1</v>
      </c>
      <c r="G2">
        <f>IF($H8&gt;0,LOOKUP(COUNT(A2:A1000)*$H8,F2:F1000,A2:A1000),LOOKUP(1,F2:F1000,A2:A1000))</f>
        <v>0.431676</v>
      </c>
      <c r="H2">
        <f>IF($H8&gt;0,LOOKUP(COUNT(B2:B1000)*$H8,F2:F1000,B2:B1000),LOOKUP(1,F2:F1000,B2:B1000))</f>
        <v>0.31790299999999999</v>
      </c>
      <c r="J2" s="49">
        <f>IF(A2&lt;&gt;"",A2*10,"")</f>
        <v>4.6520400000000004</v>
      </c>
      <c r="K2" s="49">
        <f>IF(B2&lt;&gt;"",B2*100,"")</f>
        <v>32.631900000000002</v>
      </c>
      <c r="L2" s="49">
        <f>IF(F2&lt;&gt;"",IF(K2&lt;&gt;0,K2/J2,0),"")</f>
        <v>7.0145355585936491</v>
      </c>
    </row>
    <row r="3" spans="1:12">
      <c r="A3" s="49">
        <v>0.462175</v>
      </c>
      <c r="B3" s="49">
        <v>0.32601999999999998</v>
      </c>
      <c r="C3">
        <v>0.38801000000000002</v>
      </c>
      <c r="D3">
        <v>0</v>
      </c>
      <c r="E3" t="s">
        <v>2560</v>
      </c>
      <c r="F3" s="49">
        <f>IF(A3&lt;&gt;"",F2+1,"")</f>
        <v>2</v>
      </c>
      <c r="G3">
        <f>IF($H9&gt;0,LOOKUP(COUNT(A2:A1000)*$H9,F2:F1000,A2:A1000),LOOKUP(1,F2:F1000,A2:A1000))</f>
        <v>0.405306</v>
      </c>
      <c r="H3">
        <f>IF($H9&gt;0,LOOKUP(COUNT(B2:B1000)*$H9,F2:F1000,B2:B1000),LOOKUP(1,F2:F1000,B2:B1000))</f>
        <v>0.39287899999999998</v>
      </c>
      <c r="J3" s="49">
        <f t="shared" ref="J3:J66" si="0">IF(A3&lt;&gt;"",A3*10,"")</f>
        <v>4.6217500000000005</v>
      </c>
      <c r="K3" s="49">
        <f t="shared" ref="K3:K66" si="1">IF(B3&lt;&gt;"",B3*100,"")</f>
        <v>32.601999999999997</v>
      </c>
      <c r="L3" s="49">
        <f t="shared" ref="L3:L66" si="2">IF(F3&lt;&gt;"",IF(K3&lt;&gt;0,K3/J3,0),"")</f>
        <v>7.0540379726294136</v>
      </c>
    </row>
    <row r="4" spans="1:12">
      <c r="A4" s="49">
        <v>0.459034</v>
      </c>
      <c r="B4" s="49">
        <v>0.32561499999999999</v>
      </c>
      <c r="C4">
        <v>0.78337699999999999</v>
      </c>
      <c r="D4">
        <v>0</v>
      </c>
      <c r="E4" t="s">
        <v>2561</v>
      </c>
      <c r="F4" s="49">
        <f t="shared" ref="F4:F67" si="3">IF(A4&lt;&gt;"",F3+1,"")</f>
        <v>3</v>
      </c>
      <c r="G4" s="71" t="s">
        <v>209</v>
      </c>
      <c r="H4" s="23">
        <f>IF(ISERROR(G3-G2)=FALSE,(G3-G2)*10,0)</f>
        <v>-0.26370000000000005</v>
      </c>
      <c r="J4" s="49">
        <f t="shared" si="0"/>
        <v>4.5903400000000003</v>
      </c>
      <c r="K4" s="49">
        <f t="shared" si="1"/>
        <v>32.561499999999995</v>
      </c>
      <c r="L4" s="49">
        <f t="shared" si="2"/>
        <v>7.0934832713916602</v>
      </c>
    </row>
    <row r="5" spans="1:12">
      <c r="A5" s="49">
        <v>0.45567800000000003</v>
      </c>
      <c r="B5" s="49">
        <v>0.32510499999999998</v>
      </c>
      <c r="C5">
        <v>1.1882900000000001</v>
      </c>
      <c r="D5">
        <v>0</v>
      </c>
      <c r="E5" t="s">
        <v>2562</v>
      </c>
      <c r="F5" s="49">
        <f t="shared" si="3"/>
        <v>4</v>
      </c>
      <c r="G5" s="71" t="s">
        <v>210</v>
      </c>
      <c r="H5" s="23">
        <f>IF(ISERROR(H3-H2)=FALSE,H3-H2,0)</f>
        <v>7.4975999999999987E-2</v>
      </c>
      <c r="J5" s="49">
        <f t="shared" si="0"/>
        <v>4.5567799999999998</v>
      </c>
      <c r="K5" s="49">
        <f t="shared" si="1"/>
        <v>32.5105</v>
      </c>
      <c r="L5" s="49">
        <f t="shared" si="2"/>
        <v>7.1345335960919778</v>
      </c>
    </row>
    <row r="6" spans="1:12">
      <c r="A6" s="49">
        <v>0.451322</v>
      </c>
      <c r="B6" s="49">
        <v>0.32359399999999999</v>
      </c>
      <c r="C6">
        <v>1.5953299999999999</v>
      </c>
      <c r="D6">
        <v>0</v>
      </c>
      <c r="E6" t="s">
        <v>2563</v>
      </c>
      <c r="F6" s="49">
        <f t="shared" si="3"/>
        <v>5</v>
      </c>
      <c r="G6" s="71" t="s">
        <v>211</v>
      </c>
      <c r="H6" s="23">
        <f>IF(H4&lt;&gt;0,H5/H4,0)</f>
        <v>-0.28432309442548342</v>
      </c>
      <c r="J6" s="49">
        <f t="shared" si="0"/>
        <v>4.5132200000000005</v>
      </c>
      <c r="K6" s="49">
        <f t="shared" si="1"/>
        <v>32.359400000000001</v>
      </c>
      <c r="L6" s="49">
        <f t="shared" si="2"/>
        <v>7.1699141632803185</v>
      </c>
    </row>
    <row r="7" spans="1:12">
      <c r="A7" s="49">
        <v>0.446467</v>
      </c>
      <c r="B7" s="49">
        <v>0.32305</v>
      </c>
      <c r="C7">
        <v>1.9964500000000001</v>
      </c>
      <c r="D7">
        <v>0</v>
      </c>
      <c r="E7" t="s">
        <v>2564</v>
      </c>
      <c r="F7" s="49">
        <f t="shared" si="3"/>
        <v>6</v>
      </c>
      <c r="G7" s="71" t="s">
        <v>212</v>
      </c>
      <c r="H7" s="23">
        <f>DEGREES(ATAN(H6))</f>
        <v>-15.871675264024631</v>
      </c>
      <c r="J7" s="49">
        <f t="shared" si="0"/>
        <v>4.4646699999999999</v>
      </c>
      <c r="K7" s="49">
        <f t="shared" si="1"/>
        <v>32.305</v>
      </c>
      <c r="L7" s="49">
        <f t="shared" si="2"/>
        <v>7.2356971511892256</v>
      </c>
    </row>
    <row r="8" spans="1:12">
      <c r="A8" s="49">
        <v>0.44174799999999997</v>
      </c>
      <c r="B8" s="49">
        <v>0.32120700000000002</v>
      </c>
      <c r="C8">
        <v>2.4024100000000002</v>
      </c>
      <c r="D8">
        <v>0</v>
      </c>
      <c r="E8" t="s">
        <v>2565</v>
      </c>
      <c r="F8" s="49">
        <f t="shared" si="3"/>
        <v>7</v>
      </c>
      <c r="G8" s="71" t="s">
        <v>213</v>
      </c>
      <c r="H8" s="72">
        <v>0.1</v>
      </c>
      <c r="J8" s="49">
        <f t="shared" si="0"/>
        <v>4.4174799999999994</v>
      </c>
      <c r="K8" s="49">
        <f t="shared" si="1"/>
        <v>32.120699999999999</v>
      </c>
      <c r="L8" s="49">
        <f t="shared" si="2"/>
        <v>7.2712723090993059</v>
      </c>
    </row>
    <row r="9" spans="1:12">
      <c r="A9" s="49">
        <v>0.43677700000000003</v>
      </c>
      <c r="B9" s="49">
        <v>0.31916899999999998</v>
      </c>
      <c r="C9">
        <v>2.8134600000000001</v>
      </c>
      <c r="D9">
        <v>0</v>
      </c>
      <c r="E9" t="s">
        <v>2566</v>
      </c>
      <c r="F9" s="49">
        <f t="shared" si="3"/>
        <v>8</v>
      </c>
      <c r="G9" s="71" t="s">
        <v>214</v>
      </c>
      <c r="H9" s="72">
        <v>0.9</v>
      </c>
      <c r="J9" s="49">
        <f t="shared" si="0"/>
        <v>4.3677700000000002</v>
      </c>
      <c r="K9" s="49">
        <f t="shared" si="1"/>
        <v>31.916899999999998</v>
      </c>
      <c r="L9" s="49">
        <f t="shared" si="2"/>
        <v>7.3073673751136159</v>
      </c>
    </row>
    <row r="10" spans="1:12">
      <c r="A10" s="49">
        <v>0.431676</v>
      </c>
      <c r="B10" s="49">
        <v>0.31790299999999999</v>
      </c>
      <c r="C10">
        <v>3.2161499999999998</v>
      </c>
      <c r="D10">
        <v>0</v>
      </c>
      <c r="E10" t="s">
        <v>2567</v>
      </c>
      <c r="F10" s="49">
        <f t="shared" si="3"/>
        <v>9</v>
      </c>
      <c r="G10" t="s">
        <v>215</v>
      </c>
      <c r="J10" s="49">
        <f t="shared" si="0"/>
        <v>4.3167600000000004</v>
      </c>
      <c r="K10" s="49">
        <f t="shared" si="1"/>
        <v>31.790299999999998</v>
      </c>
      <c r="L10" s="49">
        <f t="shared" si="2"/>
        <v>7.3643890325151258</v>
      </c>
    </row>
    <row r="11" spans="1:12">
      <c r="A11" s="49">
        <v>0.42672399999999999</v>
      </c>
      <c r="B11" s="49">
        <v>0.31640699999999999</v>
      </c>
      <c r="C11">
        <v>3.62466</v>
      </c>
      <c r="D11">
        <v>0</v>
      </c>
      <c r="E11" t="s">
        <v>2568</v>
      </c>
      <c r="F11" s="49">
        <f t="shared" si="3"/>
        <v>10</v>
      </c>
      <c r="G11" s="71" t="s">
        <v>216</v>
      </c>
      <c r="H11" s="73">
        <f>MIN(B2:B1000)</f>
        <v>0.26268000000000002</v>
      </c>
      <c r="J11" s="49">
        <f t="shared" si="0"/>
        <v>4.2672400000000001</v>
      </c>
      <c r="K11" s="49">
        <f t="shared" si="1"/>
        <v>31.640699999999999</v>
      </c>
      <c r="L11" s="49">
        <f t="shared" si="2"/>
        <v>7.414792699730973</v>
      </c>
    </row>
    <row r="12" spans="1:12">
      <c r="A12" s="49">
        <v>0.42183900000000002</v>
      </c>
      <c r="B12" s="49">
        <v>0.31357099999999999</v>
      </c>
      <c r="C12">
        <v>4.0374400000000001</v>
      </c>
      <c r="D12">
        <v>0</v>
      </c>
      <c r="E12" t="s">
        <v>2569</v>
      </c>
      <c r="F12" s="49">
        <f t="shared" si="3"/>
        <v>11</v>
      </c>
      <c r="G12" s="71" t="s">
        <v>218</v>
      </c>
      <c r="H12" s="73">
        <f>MAX(B2:B1000)</f>
        <v>0.39467799999999997</v>
      </c>
      <c r="J12" s="49">
        <f t="shared" si="0"/>
        <v>4.2183900000000003</v>
      </c>
      <c r="K12" s="49">
        <f t="shared" si="1"/>
        <v>31.357099999999999</v>
      </c>
      <c r="L12" s="49">
        <f t="shared" si="2"/>
        <v>7.4334283932969676</v>
      </c>
    </row>
    <row r="13" spans="1:12">
      <c r="A13" s="49">
        <v>0.41726400000000002</v>
      </c>
      <c r="B13" s="49">
        <v>0.30915500000000001</v>
      </c>
      <c r="C13">
        <v>4.4357800000000003</v>
      </c>
      <c r="D13">
        <v>0</v>
      </c>
      <c r="E13" t="s">
        <v>2570</v>
      </c>
      <c r="F13" s="49">
        <f t="shared" si="3"/>
        <v>12</v>
      </c>
      <c r="G13" s="71" t="s">
        <v>220</v>
      </c>
      <c r="H13">
        <f>MATCH($H$11,B2:B1000,0)</f>
        <v>27</v>
      </c>
      <c r="J13" s="49">
        <f t="shared" si="0"/>
        <v>4.1726400000000003</v>
      </c>
      <c r="K13" s="49">
        <f t="shared" si="1"/>
        <v>30.915500000000002</v>
      </c>
      <c r="L13" s="49">
        <f t="shared" si="2"/>
        <v>7.409098316653246</v>
      </c>
    </row>
    <row r="14" spans="1:12">
      <c r="A14" s="49">
        <v>0.41293299999999999</v>
      </c>
      <c r="B14" s="49">
        <v>0.30349700000000002</v>
      </c>
      <c r="C14">
        <v>4.8400400000000001</v>
      </c>
      <c r="D14">
        <v>0</v>
      </c>
      <c r="E14" t="s">
        <v>2571</v>
      </c>
      <c r="F14" s="49">
        <f t="shared" si="3"/>
        <v>13</v>
      </c>
      <c r="G14" s="71" t="s">
        <v>221</v>
      </c>
      <c r="H14">
        <f>MATCH($H$12,B2:B1000,0)</f>
        <v>92</v>
      </c>
      <c r="J14" s="49">
        <f t="shared" si="0"/>
        <v>4.1293299999999995</v>
      </c>
      <c r="K14" s="49">
        <f t="shared" si="1"/>
        <v>30.349700000000002</v>
      </c>
      <c r="L14" s="49">
        <f t="shared" si="2"/>
        <v>7.3497879801323718</v>
      </c>
    </row>
    <row r="15" spans="1:12">
      <c r="A15" s="49">
        <v>0.40875699999999998</v>
      </c>
      <c r="B15" s="49">
        <v>0.29792000000000002</v>
      </c>
      <c r="C15">
        <v>5.2556700000000003</v>
      </c>
      <c r="D15">
        <v>0</v>
      </c>
      <c r="E15" t="s">
        <v>2572</v>
      </c>
      <c r="F15" s="49">
        <f t="shared" si="3"/>
        <v>14</v>
      </c>
      <c r="G15">
        <f>LOOKUP($H13,F2:F1000,A2:A1000)</f>
        <v>0.37176700000000001</v>
      </c>
      <c r="H15">
        <f>LOOKUP($H13,F2:F1000,B2:B1000)</f>
        <v>0.26268000000000002</v>
      </c>
      <c r="J15" s="49">
        <f t="shared" si="0"/>
        <v>4.0875699999999995</v>
      </c>
      <c r="K15" s="49">
        <f t="shared" si="1"/>
        <v>29.792000000000002</v>
      </c>
      <c r="L15" s="49">
        <f t="shared" si="2"/>
        <v>7.2884378738468101</v>
      </c>
    </row>
    <row r="16" spans="1:12">
      <c r="A16" s="49">
        <v>0.404831</v>
      </c>
      <c r="B16" s="49">
        <v>0.29252899999999998</v>
      </c>
      <c r="C16">
        <v>5.6659100000000002</v>
      </c>
      <c r="D16">
        <v>0</v>
      </c>
      <c r="E16" t="s">
        <v>2573</v>
      </c>
      <c r="F16" s="49">
        <f t="shared" si="3"/>
        <v>15</v>
      </c>
      <c r="G16">
        <f>LOOKUP($H14,F2:F1000,A2:A1000)</f>
        <v>0.40866599999999997</v>
      </c>
      <c r="H16">
        <f>LOOKUP($H14,F2:F1000,B2:B1000)</f>
        <v>0.39467799999999997</v>
      </c>
      <c r="J16" s="49">
        <f t="shared" si="0"/>
        <v>4.0483099999999999</v>
      </c>
      <c r="K16" s="49">
        <f t="shared" si="1"/>
        <v>29.252899999999997</v>
      </c>
      <c r="L16" s="49">
        <f t="shared" si="2"/>
        <v>7.2259535460476094</v>
      </c>
    </row>
    <row r="17" spans="1:12">
      <c r="A17" s="49">
        <v>0.40074300000000002</v>
      </c>
      <c r="B17" s="49">
        <v>0.28815400000000002</v>
      </c>
      <c r="C17">
        <v>6.0683299999999996</v>
      </c>
      <c r="D17">
        <v>0</v>
      </c>
      <c r="E17" t="s">
        <v>2574</v>
      </c>
      <c r="F17" s="49">
        <f t="shared" si="3"/>
        <v>16</v>
      </c>
      <c r="J17" s="49">
        <f t="shared" si="0"/>
        <v>4.0074300000000003</v>
      </c>
      <c r="K17" s="49">
        <f t="shared" si="1"/>
        <v>28.815400000000004</v>
      </c>
      <c r="L17" s="49">
        <f t="shared" si="2"/>
        <v>7.190493658030209</v>
      </c>
    </row>
    <row r="18" spans="1:12">
      <c r="A18" s="49">
        <v>0.39651399999999998</v>
      </c>
      <c r="B18" s="49">
        <v>0.28416400000000003</v>
      </c>
      <c r="C18">
        <v>6.4804000000000004</v>
      </c>
      <c r="D18">
        <v>0</v>
      </c>
      <c r="E18" t="s">
        <v>2575</v>
      </c>
      <c r="F18" s="49">
        <f t="shared" si="3"/>
        <v>17</v>
      </c>
      <c r="J18" s="49">
        <f t="shared" si="0"/>
        <v>3.9651399999999999</v>
      </c>
      <c r="K18" s="49">
        <f t="shared" si="1"/>
        <v>28.416400000000003</v>
      </c>
      <c r="L18" s="49">
        <f t="shared" si="2"/>
        <v>7.1665565402482647</v>
      </c>
    </row>
    <row r="19" spans="1:12">
      <c r="A19" s="49">
        <v>0.39248499999999997</v>
      </c>
      <c r="B19" s="49">
        <v>0.280497</v>
      </c>
      <c r="C19">
        <v>6.8857100000000004</v>
      </c>
      <c r="D19">
        <v>0</v>
      </c>
      <c r="E19" t="s">
        <v>2576</v>
      </c>
      <c r="F19" s="49">
        <f t="shared" si="3"/>
        <v>18</v>
      </c>
      <c r="J19" s="49">
        <f t="shared" si="0"/>
        <v>3.9248499999999997</v>
      </c>
      <c r="K19" s="49">
        <f t="shared" si="1"/>
        <v>28.049700000000001</v>
      </c>
      <c r="L19" s="49">
        <f t="shared" si="2"/>
        <v>7.1466935042103525</v>
      </c>
    </row>
    <row r="20" spans="1:12">
      <c r="A20" s="49">
        <v>0.38888499999999998</v>
      </c>
      <c r="B20" s="49">
        <v>0.27730900000000003</v>
      </c>
      <c r="C20">
        <v>7.2850299999999999</v>
      </c>
      <c r="D20">
        <v>0</v>
      </c>
      <c r="E20" t="s">
        <v>2577</v>
      </c>
      <c r="F20" s="49">
        <f t="shared" si="3"/>
        <v>19</v>
      </c>
      <c r="J20" s="49">
        <f t="shared" si="0"/>
        <v>3.8888499999999997</v>
      </c>
      <c r="K20" s="49">
        <f t="shared" si="1"/>
        <v>27.730900000000002</v>
      </c>
      <c r="L20" s="49">
        <f t="shared" si="2"/>
        <v>7.1308741658845172</v>
      </c>
    </row>
    <row r="21" spans="1:12">
      <c r="A21" s="49">
        <v>0.38552599999999998</v>
      </c>
      <c r="B21" s="49">
        <v>0.27521299999999999</v>
      </c>
      <c r="C21">
        <v>7.6910100000000003</v>
      </c>
      <c r="D21">
        <v>0</v>
      </c>
      <c r="E21" t="s">
        <v>2578</v>
      </c>
      <c r="F21" s="49">
        <f t="shared" si="3"/>
        <v>20</v>
      </c>
      <c r="J21" s="49">
        <f t="shared" si="0"/>
        <v>3.8552599999999999</v>
      </c>
      <c r="K21" s="49">
        <f t="shared" si="1"/>
        <v>27.5213</v>
      </c>
      <c r="L21" s="49">
        <f t="shared" si="2"/>
        <v>7.1386365640709055</v>
      </c>
    </row>
    <row r="22" spans="1:12">
      <c r="A22" s="49">
        <v>0.38280199999999998</v>
      </c>
      <c r="B22" s="49">
        <v>0.273706</v>
      </c>
      <c r="C22">
        <v>8.1021199999999993</v>
      </c>
      <c r="D22">
        <v>0</v>
      </c>
      <c r="E22" t="s">
        <v>2579</v>
      </c>
      <c r="F22" s="49">
        <f t="shared" si="3"/>
        <v>21</v>
      </c>
      <c r="J22" s="49">
        <f t="shared" si="0"/>
        <v>3.8280199999999995</v>
      </c>
      <c r="K22" s="49">
        <f t="shared" si="1"/>
        <v>27.3706</v>
      </c>
      <c r="L22" s="49">
        <f t="shared" si="2"/>
        <v>7.1500671365353377</v>
      </c>
    </row>
    <row r="23" spans="1:12">
      <c r="A23" s="49">
        <v>0.380413</v>
      </c>
      <c r="B23" s="49">
        <v>0.27196500000000001</v>
      </c>
      <c r="C23">
        <v>8.5036400000000008</v>
      </c>
      <c r="D23">
        <v>0</v>
      </c>
      <c r="E23" t="s">
        <v>2580</v>
      </c>
      <c r="F23" s="49">
        <f t="shared" si="3"/>
        <v>22</v>
      </c>
      <c r="J23" s="49">
        <f t="shared" si="0"/>
        <v>3.8041299999999998</v>
      </c>
      <c r="K23" s="49">
        <f t="shared" si="1"/>
        <v>27.1965</v>
      </c>
      <c r="L23" s="49">
        <f t="shared" si="2"/>
        <v>7.1492036286877685</v>
      </c>
    </row>
    <row r="24" spans="1:12">
      <c r="A24" s="49">
        <v>0.37847700000000001</v>
      </c>
      <c r="B24" s="49">
        <v>0.26974500000000001</v>
      </c>
      <c r="C24">
        <v>8.9102300000000003</v>
      </c>
      <c r="D24">
        <v>0</v>
      </c>
      <c r="E24" t="s">
        <v>2581</v>
      </c>
      <c r="F24" s="49">
        <f t="shared" si="3"/>
        <v>23</v>
      </c>
      <c r="G24" t="s">
        <v>245</v>
      </c>
      <c r="H24">
        <f>COUNT(A2:A2000)</f>
        <v>99</v>
      </c>
      <c r="J24" s="49">
        <f t="shared" si="0"/>
        <v>3.78477</v>
      </c>
      <c r="K24" s="49">
        <f t="shared" si="1"/>
        <v>26.974500000000003</v>
      </c>
      <c r="L24" s="49">
        <f t="shared" si="2"/>
        <v>7.1271173677660737</v>
      </c>
    </row>
    <row r="25" spans="1:12">
      <c r="A25" s="49">
        <v>0.37688300000000002</v>
      </c>
      <c r="B25" s="49">
        <v>0.26679799999999998</v>
      </c>
      <c r="C25">
        <v>9.3094300000000008</v>
      </c>
      <c r="D25">
        <v>0</v>
      </c>
      <c r="E25" t="s">
        <v>2582</v>
      </c>
      <c r="F25" s="49">
        <f t="shared" si="3"/>
        <v>24</v>
      </c>
      <c r="J25" s="49">
        <f t="shared" si="0"/>
        <v>3.7688300000000003</v>
      </c>
      <c r="K25" s="49">
        <f t="shared" si="1"/>
        <v>26.679799999999997</v>
      </c>
      <c r="L25" s="49">
        <f t="shared" si="2"/>
        <v>7.0790669783460638</v>
      </c>
    </row>
    <row r="26" spans="1:12">
      <c r="A26" s="49">
        <v>0.37530000000000002</v>
      </c>
      <c r="B26" s="49">
        <v>0.26438299999999998</v>
      </c>
      <c r="C26">
        <v>9.7168200000000002</v>
      </c>
      <c r="D26">
        <v>0</v>
      </c>
      <c r="E26" t="s">
        <v>2583</v>
      </c>
      <c r="F26" s="49">
        <f t="shared" si="3"/>
        <v>25</v>
      </c>
      <c r="J26" s="49">
        <f t="shared" si="0"/>
        <v>3.7530000000000001</v>
      </c>
      <c r="K26" s="49">
        <f t="shared" si="1"/>
        <v>26.438299999999998</v>
      </c>
      <c r="L26" s="49">
        <f t="shared" si="2"/>
        <v>7.0445776711963752</v>
      </c>
    </row>
    <row r="27" spans="1:12">
      <c r="A27" s="49">
        <v>0.37348399999999998</v>
      </c>
      <c r="B27" s="49">
        <v>0.263324</v>
      </c>
      <c r="C27">
        <v>10.1235</v>
      </c>
      <c r="D27">
        <v>0</v>
      </c>
      <c r="E27" t="s">
        <v>2584</v>
      </c>
      <c r="F27" s="49">
        <f t="shared" si="3"/>
        <v>26</v>
      </c>
      <c r="J27" s="49">
        <f t="shared" si="0"/>
        <v>3.7348399999999997</v>
      </c>
      <c r="K27" s="49">
        <f t="shared" si="1"/>
        <v>26.3324</v>
      </c>
      <c r="L27" s="49">
        <f t="shared" si="2"/>
        <v>7.0504760578766428</v>
      </c>
    </row>
    <row r="28" spans="1:12">
      <c r="A28" s="49">
        <v>0.37176700000000001</v>
      </c>
      <c r="B28" s="49">
        <v>0.26268000000000002</v>
      </c>
      <c r="C28">
        <v>10.5351</v>
      </c>
      <c r="D28">
        <v>0</v>
      </c>
      <c r="E28" t="s">
        <v>2585</v>
      </c>
      <c r="F28" s="49">
        <f t="shared" si="3"/>
        <v>27</v>
      </c>
      <c r="J28" s="49">
        <f t="shared" si="0"/>
        <v>3.71767</v>
      </c>
      <c r="K28" s="49">
        <f t="shared" si="1"/>
        <v>26.268000000000001</v>
      </c>
      <c r="L28" s="49">
        <f t="shared" si="2"/>
        <v>7.0657158919430723</v>
      </c>
    </row>
    <row r="29" spans="1:12">
      <c r="A29" s="49">
        <v>0.37001899999999999</v>
      </c>
      <c r="B29" s="49">
        <v>0.263401</v>
      </c>
      <c r="C29">
        <v>10.9391</v>
      </c>
      <c r="D29">
        <v>0</v>
      </c>
      <c r="E29" t="s">
        <v>2586</v>
      </c>
      <c r="F29" s="49">
        <f t="shared" si="3"/>
        <v>28</v>
      </c>
      <c r="J29" s="49">
        <f t="shared" si="0"/>
        <v>3.7001900000000001</v>
      </c>
      <c r="K29" s="49">
        <f t="shared" si="1"/>
        <v>26.3401</v>
      </c>
      <c r="L29" s="49">
        <f t="shared" si="2"/>
        <v>7.1185803972228454</v>
      </c>
    </row>
    <row r="30" spans="1:12">
      <c r="A30" s="49">
        <v>0.36833199999999999</v>
      </c>
      <c r="B30" s="49">
        <v>0.264685</v>
      </c>
      <c r="C30">
        <v>11.336499999999999</v>
      </c>
      <c r="D30">
        <v>0</v>
      </c>
      <c r="E30" t="s">
        <v>2587</v>
      </c>
      <c r="F30" s="49">
        <f t="shared" si="3"/>
        <v>29</v>
      </c>
      <c r="J30" s="49">
        <f t="shared" si="0"/>
        <v>3.6833200000000001</v>
      </c>
      <c r="K30" s="49">
        <f t="shared" si="1"/>
        <v>26.468499999999999</v>
      </c>
      <c r="L30" s="49">
        <f t="shared" si="2"/>
        <v>7.1860441123768766</v>
      </c>
    </row>
    <row r="31" spans="1:12">
      <c r="A31" s="49">
        <v>0.36739100000000002</v>
      </c>
      <c r="B31" s="49">
        <v>0.264982</v>
      </c>
      <c r="C31">
        <v>11.757400000000001</v>
      </c>
      <c r="D31">
        <v>0</v>
      </c>
      <c r="E31" t="s">
        <v>2588</v>
      </c>
      <c r="F31" s="49">
        <f t="shared" si="3"/>
        <v>30</v>
      </c>
      <c r="J31" s="49">
        <f t="shared" si="0"/>
        <v>3.6739100000000002</v>
      </c>
      <c r="K31" s="49">
        <f t="shared" si="1"/>
        <v>26.498200000000001</v>
      </c>
      <c r="L31" s="49">
        <f t="shared" si="2"/>
        <v>7.2125337855309466</v>
      </c>
    </row>
    <row r="32" spans="1:12">
      <c r="A32" s="49">
        <v>0.36649900000000002</v>
      </c>
      <c r="B32" s="49">
        <v>0.26527699999999999</v>
      </c>
      <c r="C32">
        <v>12.1556</v>
      </c>
      <c r="D32">
        <v>0</v>
      </c>
      <c r="E32" t="s">
        <v>2589</v>
      </c>
      <c r="F32" s="49">
        <f t="shared" si="3"/>
        <v>31</v>
      </c>
      <c r="J32" s="49">
        <f t="shared" si="0"/>
        <v>3.6649900000000004</v>
      </c>
      <c r="K32" s="49">
        <f t="shared" si="1"/>
        <v>26.527699999999999</v>
      </c>
      <c r="L32" s="49">
        <f t="shared" si="2"/>
        <v>7.2381370754081171</v>
      </c>
    </row>
    <row r="33" spans="1:12">
      <c r="A33" s="49">
        <v>0.36556300000000003</v>
      </c>
      <c r="B33" s="49">
        <v>0.26612200000000003</v>
      </c>
      <c r="C33">
        <v>12.5589</v>
      </c>
      <c r="D33">
        <v>0</v>
      </c>
      <c r="E33" t="s">
        <v>2590</v>
      </c>
      <c r="F33" s="49">
        <f t="shared" si="3"/>
        <v>32</v>
      </c>
      <c r="J33" s="49">
        <f t="shared" si="0"/>
        <v>3.6556300000000004</v>
      </c>
      <c r="K33" s="49">
        <f t="shared" si="1"/>
        <v>26.612200000000001</v>
      </c>
      <c r="L33" s="49">
        <f t="shared" si="2"/>
        <v>7.2797848797608067</v>
      </c>
    </row>
    <row r="34" spans="1:12">
      <c r="A34" s="49">
        <v>0.36460900000000002</v>
      </c>
      <c r="B34" s="49">
        <v>0.26723999999999998</v>
      </c>
      <c r="C34">
        <v>12.9656</v>
      </c>
      <c r="D34">
        <v>0</v>
      </c>
      <c r="E34" t="s">
        <v>2591</v>
      </c>
      <c r="F34" s="49">
        <f t="shared" si="3"/>
        <v>33</v>
      </c>
      <c r="J34" s="49">
        <f t="shared" si="0"/>
        <v>3.6460900000000001</v>
      </c>
      <c r="K34" s="49">
        <f t="shared" si="1"/>
        <v>26.723999999999997</v>
      </c>
      <c r="L34" s="49">
        <f t="shared" si="2"/>
        <v>7.3294954320930081</v>
      </c>
    </row>
    <row r="35" spans="1:12">
      <c r="A35" s="49">
        <v>0.36364099999999999</v>
      </c>
      <c r="B35" s="49">
        <v>0.26856999999999998</v>
      </c>
      <c r="C35">
        <v>13.3767</v>
      </c>
      <c r="D35">
        <v>0</v>
      </c>
      <c r="E35" t="s">
        <v>2592</v>
      </c>
      <c r="F35" s="49">
        <f t="shared" si="3"/>
        <v>34</v>
      </c>
      <c r="J35" s="49">
        <f t="shared" si="0"/>
        <v>3.6364099999999997</v>
      </c>
      <c r="K35" s="49">
        <f t="shared" si="1"/>
        <v>26.856999999999999</v>
      </c>
      <c r="L35" s="49">
        <f t="shared" si="2"/>
        <v>7.3855808338443687</v>
      </c>
    </row>
    <row r="36" spans="1:12">
      <c r="A36" s="49">
        <v>0.36280000000000001</v>
      </c>
      <c r="B36" s="49">
        <v>0.269789</v>
      </c>
      <c r="C36">
        <v>13.7849</v>
      </c>
      <c r="D36">
        <v>0</v>
      </c>
      <c r="E36" t="s">
        <v>2593</v>
      </c>
      <c r="F36" s="49">
        <f t="shared" si="3"/>
        <v>35</v>
      </c>
      <c r="J36" s="49">
        <f t="shared" si="0"/>
        <v>3.6280000000000001</v>
      </c>
      <c r="K36" s="49">
        <f t="shared" si="1"/>
        <v>26.978899999999999</v>
      </c>
      <c r="L36" s="49">
        <f t="shared" si="2"/>
        <v>7.4363009922822485</v>
      </c>
    </row>
    <row r="37" spans="1:12">
      <c r="A37" s="49">
        <v>0.362265</v>
      </c>
      <c r="B37" s="49">
        <v>0.271146</v>
      </c>
      <c r="C37">
        <v>14.1875</v>
      </c>
      <c r="D37">
        <v>0</v>
      </c>
      <c r="E37" t="s">
        <v>2594</v>
      </c>
      <c r="F37" s="49">
        <f t="shared" si="3"/>
        <v>36</v>
      </c>
      <c r="J37" s="49">
        <f t="shared" si="0"/>
        <v>3.6226500000000001</v>
      </c>
      <c r="K37" s="49">
        <f t="shared" si="1"/>
        <v>27.114599999999999</v>
      </c>
      <c r="L37" s="49">
        <f t="shared" si="2"/>
        <v>7.4847418326363293</v>
      </c>
    </row>
    <row r="38" spans="1:12">
      <c r="A38" s="49">
        <v>0.36206100000000002</v>
      </c>
      <c r="B38" s="49">
        <v>0.272561</v>
      </c>
      <c r="C38">
        <v>14.587400000000001</v>
      </c>
      <c r="D38">
        <v>0</v>
      </c>
      <c r="E38" t="s">
        <v>2595</v>
      </c>
      <c r="F38" s="49">
        <f t="shared" si="3"/>
        <v>37</v>
      </c>
      <c r="J38" s="49">
        <f t="shared" si="0"/>
        <v>3.6206100000000001</v>
      </c>
      <c r="K38" s="49">
        <f t="shared" si="1"/>
        <v>27.2561</v>
      </c>
      <c r="L38" s="49">
        <f t="shared" si="2"/>
        <v>7.5280408549940478</v>
      </c>
    </row>
    <row r="39" spans="1:12">
      <c r="A39" s="49">
        <v>0.36224000000000001</v>
      </c>
      <c r="B39" s="49">
        <v>0.27404200000000001</v>
      </c>
      <c r="C39">
        <v>15.0023</v>
      </c>
      <c r="D39">
        <v>0</v>
      </c>
      <c r="E39" t="s">
        <v>2596</v>
      </c>
      <c r="F39" s="49">
        <f t="shared" si="3"/>
        <v>38</v>
      </c>
      <c r="J39" s="49">
        <f t="shared" si="0"/>
        <v>3.6223999999999998</v>
      </c>
      <c r="K39" s="49">
        <f t="shared" si="1"/>
        <v>27.404199999999999</v>
      </c>
      <c r="L39" s="49">
        <f t="shared" si="2"/>
        <v>7.5652053886925801</v>
      </c>
    </row>
    <row r="40" spans="1:12">
      <c r="A40" s="49">
        <v>0.36252600000000001</v>
      </c>
      <c r="B40" s="49">
        <v>0.27569900000000003</v>
      </c>
      <c r="C40">
        <v>15.401999999999999</v>
      </c>
      <c r="D40">
        <v>0</v>
      </c>
      <c r="E40" t="s">
        <v>2597</v>
      </c>
      <c r="F40" s="49">
        <f t="shared" si="3"/>
        <v>39</v>
      </c>
      <c r="J40" s="49">
        <f t="shared" si="0"/>
        <v>3.6252599999999999</v>
      </c>
      <c r="K40" s="49">
        <f t="shared" si="1"/>
        <v>27.569900000000004</v>
      </c>
      <c r="L40" s="49">
        <f t="shared" si="2"/>
        <v>7.6049441971058638</v>
      </c>
    </row>
    <row r="41" spans="1:12">
      <c r="A41" s="49">
        <v>0.36280200000000001</v>
      </c>
      <c r="B41" s="49">
        <v>0.27751999999999999</v>
      </c>
      <c r="C41">
        <v>15.8179</v>
      </c>
      <c r="D41">
        <v>0</v>
      </c>
      <c r="E41" t="s">
        <v>2598</v>
      </c>
      <c r="F41" s="49">
        <f t="shared" si="3"/>
        <v>40</v>
      </c>
      <c r="J41" s="49">
        <f t="shared" si="0"/>
        <v>3.6280200000000002</v>
      </c>
      <c r="K41" s="49">
        <f t="shared" si="1"/>
        <v>27.751999999999999</v>
      </c>
      <c r="L41" s="49">
        <f t="shared" si="2"/>
        <v>7.6493514368719016</v>
      </c>
    </row>
    <row r="42" spans="1:12">
      <c r="A42" s="49">
        <v>0.36279499999999998</v>
      </c>
      <c r="B42" s="49">
        <v>0.279609</v>
      </c>
      <c r="C42">
        <v>16.212800000000001</v>
      </c>
      <c r="D42">
        <v>0</v>
      </c>
      <c r="E42" t="s">
        <v>2599</v>
      </c>
      <c r="F42" s="49">
        <f t="shared" si="3"/>
        <v>41</v>
      </c>
      <c r="J42" s="49">
        <f t="shared" si="0"/>
        <v>3.6279499999999998</v>
      </c>
      <c r="K42" s="49">
        <f t="shared" si="1"/>
        <v>27.960899999999999</v>
      </c>
      <c r="L42" s="49">
        <f t="shared" si="2"/>
        <v>7.7070797557849477</v>
      </c>
    </row>
    <row r="43" spans="1:12">
      <c r="A43" s="49">
        <v>0.36270799999999997</v>
      </c>
      <c r="B43" s="49">
        <v>0.28189399999999998</v>
      </c>
      <c r="C43">
        <v>16.627800000000001</v>
      </c>
      <c r="D43">
        <v>0</v>
      </c>
      <c r="E43" t="s">
        <v>2600</v>
      </c>
      <c r="F43" s="49">
        <f t="shared" si="3"/>
        <v>42</v>
      </c>
      <c r="J43" s="49">
        <f t="shared" si="0"/>
        <v>3.6270799999999999</v>
      </c>
      <c r="K43" s="49">
        <f t="shared" si="1"/>
        <v>28.189399999999999</v>
      </c>
      <c r="L43" s="49">
        <f t="shared" si="2"/>
        <v>7.7719267289389808</v>
      </c>
    </row>
    <row r="44" spans="1:12">
      <c r="A44" s="49">
        <v>0.362626</v>
      </c>
      <c r="B44" s="49">
        <v>0.28439999999999999</v>
      </c>
      <c r="C44">
        <v>17.038399999999999</v>
      </c>
      <c r="D44">
        <v>0</v>
      </c>
      <c r="E44" t="s">
        <v>2601</v>
      </c>
      <c r="F44" s="49">
        <f t="shared" si="3"/>
        <v>43</v>
      </c>
      <c r="J44" s="49">
        <f t="shared" si="0"/>
        <v>3.6262600000000003</v>
      </c>
      <c r="K44" s="49">
        <f t="shared" si="1"/>
        <v>28.439999999999998</v>
      </c>
      <c r="L44" s="49">
        <f t="shared" si="2"/>
        <v>7.8427911953362406</v>
      </c>
    </row>
    <row r="45" spans="1:12">
      <c r="A45" s="49">
        <v>0.362238</v>
      </c>
      <c r="B45" s="49">
        <v>0.28719800000000001</v>
      </c>
      <c r="C45">
        <v>17.451000000000001</v>
      </c>
      <c r="D45">
        <v>0</v>
      </c>
      <c r="E45" t="s">
        <v>2602</v>
      </c>
      <c r="F45" s="49">
        <f t="shared" si="3"/>
        <v>44</v>
      </c>
      <c r="J45" s="49">
        <f t="shared" si="0"/>
        <v>3.6223800000000002</v>
      </c>
      <c r="K45" s="49">
        <f t="shared" si="1"/>
        <v>28.719799999999999</v>
      </c>
      <c r="L45" s="49">
        <f t="shared" si="2"/>
        <v>7.9284337921477031</v>
      </c>
    </row>
    <row r="46" spans="1:12">
      <c r="A46" s="49">
        <v>0.36143999999999998</v>
      </c>
      <c r="B46" s="49">
        <v>0.29052</v>
      </c>
      <c r="C46">
        <v>17.855899999999998</v>
      </c>
      <c r="D46">
        <v>0</v>
      </c>
      <c r="E46" t="s">
        <v>2603</v>
      </c>
      <c r="F46" s="49">
        <f t="shared" si="3"/>
        <v>45</v>
      </c>
      <c r="J46" s="49">
        <f t="shared" si="0"/>
        <v>3.6143999999999998</v>
      </c>
      <c r="K46" s="49">
        <f t="shared" si="1"/>
        <v>29.052</v>
      </c>
      <c r="L46" s="49">
        <f t="shared" si="2"/>
        <v>8.0378486055776897</v>
      </c>
    </row>
    <row r="47" spans="1:12">
      <c r="A47" s="49">
        <v>0.360093</v>
      </c>
      <c r="B47" s="49">
        <v>0.29433399999999998</v>
      </c>
      <c r="C47">
        <v>18.25</v>
      </c>
      <c r="D47">
        <v>0</v>
      </c>
      <c r="E47" t="s">
        <v>2604</v>
      </c>
      <c r="F47" s="49">
        <f t="shared" si="3"/>
        <v>46</v>
      </c>
      <c r="J47" s="49">
        <f t="shared" si="0"/>
        <v>3.60093</v>
      </c>
      <c r="K47" s="49">
        <f t="shared" si="1"/>
        <v>29.433399999999999</v>
      </c>
      <c r="L47" s="49">
        <f t="shared" si="2"/>
        <v>8.173832870952781</v>
      </c>
    </row>
    <row r="48" spans="1:12">
      <c r="A48" s="49">
        <v>0.35870099999999999</v>
      </c>
      <c r="B48" s="49">
        <v>0.29854900000000001</v>
      </c>
      <c r="C48">
        <v>18.659500000000001</v>
      </c>
      <c r="D48">
        <v>0</v>
      </c>
      <c r="E48" t="s">
        <v>2605</v>
      </c>
      <c r="F48" s="49">
        <f t="shared" si="3"/>
        <v>47</v>
      </c>
      <c r="J48" s="49">
        <f t="shared" si="0"/>
        <v>3.5870099999999998</v>
      </c>
      <c r="K48" s="49">
        <f t="shared" si="1"/>
        <v>29.854900000000001</v>
      </c>
      <c r="L48" s="49">
        <f t="shared" si="2"/>
        <v>8.3230601531637785</v>
      </c>
    </row>
    <row r="49" spans="1:12">
      <c r="A49" s="49">
        <v>0.35724600000000001</v>
      </c>
      <c r="B49" s="49">
        <v>0.30360300000000001</v>
      </c>
      <c r="C49">
        <v>19.063800000000001</v>
      </c>
      <c r="D49">
        <v>0</v>
      </c>
      <c r="E49" t="s">
        <v>2606</v>
      </c>
      <c r="F49" s="49">
        <f t="shared" si="3"/>
        <v>48</v>
      </c>
      <c r="J49" s="49">
        <f t="shared" si="0"/>
        <v>3.57246</v>
      </c>
      <c r="K49" s="49">
        <f t="shared" si="1"/>
        <v>30.360300000000002</v>
      </c>
      <c r="L49" s="49">
        <f t="shared" si="2"/>
        <v>8.4984296535160659</v>
      </c>
    </row>
    <row r="50" spans="1:12">
      <c r="A50" s="49">
        <v>0.356381</v>
      </c>
      <c r="B50" s="49">
        <v>0.30915999999999999</v>
      </c>
      <c r="C50">
        <v>19.471800000000002</v>
      </c>
      <c r="D50">
        <v>0</v>
      </c>
      <c r="E50" t="s">
        <v>2607</v>
      </c>
      <c r="F50" s="49">
        <f t="shared" si="3"/>
        <v>49</v>
      </c>
      <c r="J50" s="49">
        <f t="shared" si="0"/>
        <v>3.5638100000000001</v>
      </c>
      <c r="K50" s="49">
        <f t="shared" si="1"/>
        <v>30.916</v>
      </c>
      <c r="L50" s="49">
        <f t="shared" si="2"/>
        <v>8.674985479023853</v>
      </c>
    </row>
    <row r="51" spans="1:12">
      <c r="A51" s="49">
        <v>0.35585</v>
      </c>
      <c r="B51" s="49">
        <v>0.31446299999999999</v>
      </c>
      <c r="C51">
        <v>19.869499999999999</v>
      </c>
      <c r="D51">
        <v>0</v>
      </c>
      <c r="E51" t="s">
        <v>2608</v>
      </c>
      <c r="F51" s="49">
        <f t="shared" si="3"/>
        <v>50</v>
      </c>
      <c r="J51" s="49">
        <f t="shared" si="0"/>
        <v>3.5585</v>
      </c>
      <c r="K51" s="49">
        <f t="shared" si="1"/>
        <v>31.446300000000001</v>
      </c>
      <c r="L51" s="49">
        <f t="shared" si="2"/>
        <v>8.8369537726570186</v>
      </c>
    </row>
    <row r="52" spans="1:12">
      <c r="A52" s="49">
        <v>0.35541600000000001</v>
      </c>
      <c r="B52" s="49">
        <v>0.318824</v>
      </c>
      <c r="C52">
        <v>20.2776</v>
      </c>
      <c r="D52">
        <v>0</v>
      </c>
      <c r="E52" t="s">
        <v>2609</v>
      </c>
      <c r="F52" s="49">
        <f t="shared" si="3"/>
        <v>51</v>
      </c>
      <c r="J52" s="49">
        <f t="shared" si="0"/>
        <v>3.55416</v>
      </c>
      <c r="K52" s="49">
        <f t="shared" si="1"/>
        <v>31.882400000000001</v>
      </c>
      <c r="L52" s="49">
        <f t="shared" si="2"/>
        <v>8.9704459000157559</v>
      </c>
    </row>
    <row r="53" spans="1:12">
      <c r="A53" s="49">
        <v>0.35502099999999998</v>
      </c>
      <c r="B53" s="49">
        <v>0.32244</v>
      </c>
      <c r="C53">
        <v>20.680800000000001</v>
      </c>
      <c r="D53">
        <v>0</v>
      </c>
      <c r="E53" t="s">
        <v>2610</v>
      </c>
      <c r="F53" s="49">
        <f t="shared" si="3"/>
        <v>52</v>
      </c>
      <c r="J53" s="49">
        <f t="shared" si="0"/>
        <v>3.5502099999999999</v>
      </c>
      <c r="K53" s="49">
        <f t="shared" si="1"/>
        <v>32.244</v>
      </c>
      <c r="L53" s="49">
        <f t="shared" si="2"/>
        <v>9.0822796397959564</v>
      </c>
    </row>
    <row r="54" spans="1:12">
      <c r="A54" s="49">
        <v>0.35477999999999998</v>
      </c>
      <c r="B54" s="49">
        <v>0.32460600000000001</v>
      </c>
      <c r="C54">
        <v>21.092300000000002</v>
      </c>
      <c r="D54">
        <v>0</v>
      </c>
      <c r="E54" t="s">
        <v>2611</v>
      </c>
      <c r="F54" s="49">
        <f t="shared" si="3"/>
        <v>53</v>
      </c>
      <c r="J54" s="49">
        <f t="shared" si="0"/>
        <v>3.5477999999999996</v>
      </c>
      <c r="K54" s="49">
        <f t="shared" si="1"/>
        <v>32.460599999999999</v>
      </c>
      <c r="L54" s="49">
        <f t="shared" si="2"/>
        <v>9.1495010992727899</v>
      </c>
    </row>
    <row r="55" spans="1:12">
      <c r="A55" s="49">
        <v>0.355049</v>
      </c>
      <c r="B55" s="49">
        <v>0.32511000000000001</v>
      </c>
      <c r="C55">
        <v>21.497599999999998</v>
      </c>
      <c r="D55">
        <v>0</v>
      </c>
      <c r="E55" t="s">
        <v>2612</v>
      </c>
      <c r="F55" s="49">
        <f t="shared" si="3"/>
        <v>54</v>
      </c>
      <c r="J55" s="49">
        <f t="shared" si="0"/>
        <v>3.5504899999999999</v>
      </c>
      <c r="K55" s="49">
        <f t="shared" si="1"/>
        <v>32.511000000000003</v>
      </c>
      <c r="L55" s="49">
        <f t="shared" si="2"/>
        <v>9.1567642776067544</v>
      </c>
    </row>
    <row r="56" spans="1:12">
      <c r="A56" s="49">
        <v>0.35530400000000001</v>
      </c>
      <c r="B56" s="49">
        <v>0.326104</v>
      </c>
      <c r="C56">
        <v>21.906300000000002</v>
      </c>
      <c r="D56">
        <v>0</v>
      </c>
      <c r="E56" t="s">
        <v>2613</v>
      </c>
      <c r="F56" s="49">
        <f t="shared" si="3"/>
        <v>55</v>
      </c>
      <c r="J56" s="49">
        <f t="shared" si="0"/>
        <v>3.5530400000000002</v>
      </c>
      <c r="K56" s="49">
        <f t="shared" si="1"/>
        <v>32.610399999999998</v>
      </c>
      <c r="L56" s="49">
        <f t="shared" si="2"/>
        <v>9.1781685542521316</v>
      </c>
    </row>
    <row r="57" spans="1:12">
      <c r="A57" s="49">
        <v>0.35559400000000002</v>
      </c>
      <c r="B57" s="49">
        <v>0.32724700000000001</v>
      </c>
      <c r="C57">
        <v>22.316099999999999</v>
      </c>
      <c r="D57">
        <v>0</v>
      </c>
      <c r="E57" t="s">
        <v>2614</v>
      </c>
      <c r="F57" s="49">
        <f t="shared" si="3"/>
        <v>56</v>
      </c>
      <c r="J57" s="49">
        <f t="shared" si="0"/>
        <v>3.5559400000000001</v>
      </c>
      <c r="K57" s="49">
        <f t="shared" si="1"/>
        <v>32.724699999999999</v>
      </c>
      <c r="L57" s="49">
        <f t="shared" si="2"/>
        <v>9.2028268193501575</v>
      </c>
    </row>
    <row r="58" spans="1:12">
      <c r="A58" s="49">
        <v>0.35620400000000002</v>
      </c>
      <c r="B58" s="49">
        <v>0.32808500000000002</v>
      </c>
      <c r="C58">
        <v>22.7226</v>
      </c>
      <c r="D58">
        <v>0</v>
      </c>
      <c r="E58" t="s">
        <v>2615</v>
      </c>
      <c r="F58" s="49">
        <f t="shared" si="3"/>
        <v>57</v>
      </c>
      <c r="J58" s="49">
        <f t="shared" si="0"/>
        <v>3.5620400000000001</v>
      </c>
      <c r="K58" s="49">
        <f t="shared" si="1"/>
        <v>32.808500000000002</v>
      </c>
      <c r="L58" s="49">
        <f t="shared" si="2"/>
        <v>9.2105928063693838</v>
      </c>
    </row>
    <row r="59" spans="1:12">
      <c r="A59" s="49">
        <v>0.35720499999999999</v>
      </c>
      <c r="B59" s="49">
        <v>0.32967200000000002</v>
      </c>
      <c r="C59">
        <v>23.1251</v>
      </c>
      <c r="D59">
        <v>0</v>
      </c>
      <c r="E59" t="s">
        <v>2616</v>
      </c>
      <c r="F59" s="49">
        <f t="shared" si="3"/>
        <v>58</v>
      </c>
      <c r="J59" s="49">
        <f t="shared" si="0"/>
        <v>3.5720499999999999</v>
      </c>
      <c r="K59" s="49">
        <f t="shared" si="1"/>
        <v>32.967200000000005</v>
      </c>
      <c r="L59" s="49">
        <f t="shared" si="2"/>
        <v>9.2292101174395675</v>
      </c>
    </row>
    <row r="60" spans="1:12">
      <c r="A60" s="49">
        <v>0.35856100000000002</v>
      </c>
      <c r="B60" s="49">
        <v>0.33072499999999999</v>
      </c>
      <c r="C60">
        <v>23.5321</v>
      </c>
      <c r="D60">
        <v>0</v>
      </c>
      <c r="E60" t="s">
        <v>2617</v>
      </c>
      <c r="F60" s="49">
        <f t="shared" si="3"/>
        <v>59</v>
      </c>
      <c r="J60" s="49">
        <f t="shared" si="0"/>
        <v>3.58561</v>
      </c>
      <c r="K60" s="49">
        <f t="shared" si="1"/>
        <v>33.072499999999998</v>
      </c>
      <c r="L60" s="49">
        <f t="shared" si="2"/>
        <v>9.2236746327682031</v>
      </c>
    </row>
    <row r="61" spans="1:12">
      <c r="A61" s="49">
        <v>0.359904</v>
      </c>
      <c r="B61" s="49">
        <v>0.33299299999999998</v>
      </c>
      <c r="C61">
        <v>23.947700000000001</v>
      </c>
      <c r="D61">
        <v>0</v>
      </c>
      <c r="E61" t="s">
        <v>2618</v>
      </c>
      <c r="F61" s="49">
        <f t="shared" si="3"/>
        <v>60</v>
      </c>
      <c r="J61" s="49">
        <f t="shared" si="0"/>
        <v>3.59904</v>
      </c>
      <c r="K61" s="49">
        <f t="shared" si="1"/>
        <v>33.299299999999995</v>
      </c>
      <c r="L61" s="49">
        <f t="shared" si="2"/>
        <v>9.2522728283097706</v>
      </c>
    </row>
    <row r="62" spans="1:12">
      <c r="A62" s="49">
        <v>0.36120000000000002</v>
      </c>
      <c r="B62" s="49">
        <v>0.334868</v>
      </c>
      <c r="C62">
        <v>24.361699999999999</v>
      </c>
      <c r="D62">
        <v>0</v>
      </c>
      <c r="E62" t="s">
        <v>2619</v>
      </c>
      <c r="F62" s="49">
        <f t="shared" si="3"/>
        <v>61</v>
      </c>
      <c r="J62" s="49">
        <f t="shared" si="0"/>
        <v>3.6120000000000001</v>
      </c>
      <c r="K62" s="49">
        <f t="shared" si="1"/>
        <v>33.486800000000002</v>
      </c>
      <c r="L62" s="49">
        <f t="shared" si="2"/>
        <v>9.2709856035437443</v>
      </c>
    </row>
    <row r="63" spans="1:12">
      <c r="A63" s="49">
        <v>0.36240299999999998</v>
      </c>
      <c r="B63" s="49">
        <v>0.33774399999999999</v>
      </c>
      <c r="C63">
        <v>24.748200000000001</v>
      </c>
      <c r="D63">
        <v>0</v>
      </c>
      <c r="E63" t="s">
        <v>2620</v>
      </c>
      <c r="F63" s="49">
        <f t="shared" si="3"/>
        <v>62</v>
      </c>
      <c r="J63" s="49">
        <f t="shared" si="0"/>
        <v>3.6240299999999999</v>
      </c>
      <c r="K63" s="49">
        <f t="shared" si="1"/>
        <v>33.7744</v>
      </c>
      <c r="L63" s="49">
        <f t="shared" si="2"/>
        <v>9.3195696503616148</v>
      </c>
    </row>
    <row r="64" spans="1:12">
      <c r="A64" s="49">
        <v>0.36368099999999998</v>
      </c>
      <c r="B64" s="49">
        <v>0.34098699999999998</v>
      </c>
      <c r="C64">
        <v>25.149100000000001</v>
      </c>
      <c r="D64">
        <v>0</v>
      </c>
      <c r="E64" t="s">
        <v>2621</v>
      </c>
      <c r="F64" s="49">
        <f t="shared" si="3"/>
        <v>63</v>
      </c>
      <c r="J64" s="49">
        <f t="shared" si="0"/>
        <v>3.6368099999999997</v>
      </c>
      <c r="K64" s="49">
        <f t="shared" si="1"/>
        <v>34.098700000000001</v>
      </c>
      <c r="L64" s="49">
        <f t="shared" si="2"/>
        <v>9.3759915970314651</v>
      </c>
    </row>
    <row r="65" spans="1:12">
      <c r="A65" s="49">
        <v>0.36524800000000002</v>
      </c>
      <c r="B65" s="49">
        <v>0.34329399999999999</v>
      </c>
      <c r="C65">
        <v>25.560700000000001</v>
      </c>
      <c r="D65">
        <v>0</v>
      </c>
      <c r="E65" t="s">
        <v>2622</v>
      </c>
      <c r="F65" s="49">
        <f t="shared" si="3"/>
        <v>64</v>
      </c>
      <c r="J65" s="49">
        <f t="shared" si="0"/>
        <v>3.6524800000000002</v>
      </c>
      <c r="K65" s="49">
        <f t="shared" si="1"/>
        <v>34.3294</v>
      </c>
      <c r="L65" s="49">
        <f t="shared" si="2"/>
        <v>9.3989289469073061</v>
      </c>
    </row>
    <row r="66" spans="1:12">
      <c r="A66" s="49">
        <v>0.36712400000000001</v>
      </c>
      <c r="B66" s="49">
        <v>0.34540399999999999</v>
      </c>
      <c r="C66">
        <v>25.962599999999998</v>
      </c>
      <c r="D66">
        <v>0</v>
      </c>
      <c r="E66" t="s">
        <v>2623</v>
      </c>
      <c r="F66" s="49">
        <f t="shared" si="3"/>
        <v>65</v>
      </c>
      <c r="J66" s="49">
        <f t="shared" si="0"/>
        <v>3.6712400000000001</v>
      </c>
      <c r="K66" s="49">
        <f t="shared" si="1"/>
        <v>34.540399999999998</v>
      </c>
      <c r="L66" s="49">
        <f t="shared" si="2"/>
        <v>9.4083742822588547</v>
      </c>
    </row>
    <row r="67" spans="1:12">
      <c r="A67" s="49">
        <v>0.36949700000000002</v>
      </c>
      <c r="B67" s="49">
        <v>0.34767300000000001</v>
      </c>
      <c r="C67">
        <v>26.371700000000001</v>
      </c>
      <c r="D67">
        <v>0</v>
      </c>
      <c r="E67" t="s">
        <v>2624</v>
      </c>
      <c r="F67" s="49">
        <f t="shared" si="3"/>
        <v>66</v>
      </c>
      <c r="J67" s="49">
        <f t="shared" ref="J67:J130" si="4">IF(A67&lt;&gt;"",A67*10,"")</f>
        <v>3.6949700000000001</v>
      </c>
      <c r="K67" s="49">
        <f t="shared" ref="K67:K130" si="5">IF(B67&lt;&gt;"",B67*100,"")</f>
        <v>34.767299999999999</v>
      </c>
      <c r="L67" s="49">
        <f t="shared" ref="L67:L130" si="6">IF(F67&lt;&gt;"",IF(K67&lt;&gt;0,K67/J67,0),"")</f>
        <v>9.4093592099529904</v>
      </c>
    </row>
    <row r="68" spans="1:12">
      <c r="A68" s="49">
        <v>0.37217899999999998</v>
      </c>
      <c r="B68" s="49">
        <v>0.35026600000000002</v>
      </c>
      <c r="C68">
        <v>26.782900000000001</v>
      </c>
      <c r="D68">
        <v>0</v>
      </c>
      <c r="E68" t="s">
        <v>2625</v>
      </c>
      <c r="F68" s="49">
        <f t="shared" ref="F68:F131" si="7">IF(A68&lt;&gt;"",F67+1,"")</f>
        <v>67</v>
      </c>
      <c r="J68" s="49">
        <f t="shared" si="4"/>
        <v>3.7217899999999999</v>
      </c>
      <c r="K68" s="49">
        <f t="shared" si="5"/>
        <v>35.026600000000002</v>
      </c>
      <c r="L68" s="49">
        <f t="shared" si="6"/>
        <v>9.4112241690154477</v>
      </c>
    </row>
    <row r="69" spans="1:12">
      <c r="A69" s="49">
        <v>0.37478699999999998</v>
      </c>
      <c r="B69" s="49">
        <v>0.35322599999999998</v>
      </c>
      <c r="C69">
        <v>27.191299999999998</v>
      </c>
      <c r="D69">
        <v>0</v>
      </c>
      <c r="E69" t="s">
        <v>2626</v>
      </c>
      <c r="F69" s="49">
        <f t="shared" si="7"/>
        <v>68</v>
      </c>
      <c r="J69" s="49">
        <f t="shared" si="4"/>
        <v>3.7478699999999998</v>
      </c>
      <c r="K69" s="49">
        <f t="shared" si="5"/>
        <v>35.322600000000001</v>
      </c>
      <c r="L69" s="49">
        <f t="shared" si="6"/>
        <v>9.4247132371186844</v>
      </c>
    </row>
    <row r="70" spans="1:12">
      <c r="A70" s="49">
        <v>0.37735200000000002</v>
      </c>
      <c r="B70" s="49">
        <v>0.35642400000000002</v>
      </c>
      <c r="C70">
        <v>27.595600000000001</v>
      </c>
      <c r="D70">
        <v>0</v>
      </c>
      <c r="E70" t="s">
        <v>2627</v>
      </c>
      <c r="F70" s="49">
        <f t="shared" si="7"/>
        <v>69</v>
      </c>
      <c r="J70" s="49">
        <f t="shared" si="4"/>
        <v>3.7735200000000004</v>
      </c>
      <c r="K70" s="49">
        <f t="shared" si="5"/>
        <v>35.642400000000002</v>
      </c>
      <c r="L70" s="49">
        <f t="shared" si="6"/>
        <v>9.4453984608535269</v>
      </c>
    </row>
    <row r="71" spans="1:12">
      <c r="A71" s="49">
        <v>0.38000299999999998</v>
      </c>
      <c r="B71" s="49">
        <v>0.35927599999999998</v>
      </c>
      <c r="C71">
        <v>28.0032</v>
      </c>
      <c r="D71">
        <v>0</v>
      </c>
      <c r="E71" t="s">
        <v>2628</v>
      </c>
      <c r="F71" s="49">
        <f t="shared" si="7"/>
        <v>70</v>
      </c>
      <c r="J71" s="49">
        <f t="shared" si="4"/>
        <v>3.8000299999999996</v>
      </c>
      <c r="K71" s="49">
        <f t="shared" si="5"/>
        <v>35.927599999999998</v>
      </c>
      <c r="L71" s="49">
        <f t="shared" si="6"/>
        <v>9.4545569377083876</v>
      </c>
    </row>
    <row r="72" spans="1:12">
      <c r="A72" s="49">
        <v>0.38269900000000001</v>
      </c>
      <c r="B72" s="49">
        <v>0.362064</v>
      </c>
      <c r="C72">
        <v>28.419699999999999</v>
      </c>
      <c r="D72">
        <v>0</v>
      </c>
      <c r="E72" t="s">
        <v>2629</v>
      </c>
      <c r="F72" s="49">
        <f t="shared" si="7"/>
        <v>71</v>
      </c>
      <c r="J72" s="49">
        <f t="shared" si="4"/>
        <v>3.8269900000000003</v>
      </c>
      <c r="K72" s="49">
        <f t="shared" si="5"/>
        <v>36.206400000000002</v>
      </c>
      <c r="L72" s="49">
        <f t="shared" si="6"/>
        <v>9.460803399015937</v>
      </c>
    </row>
    <row r="73" spans="1:12">
      <c r="A73" s="49">
        <v>0.38528400000000002</v>
      </c>
      <c r="B73" s="49">
        <v>0.36459900000000001</v>
      </c>
      <c r="C73">
        <v>28.8171</v>
      </c>
      <c r="D73">
        <v>0</v>
      </c>
      <c r="E73" t="s">
        <v>2630</v>
      </c>
      <c r="F73" s="49">
        <f t="shared" si="7"/>
        <v>72</v>
      </c>
      <c r="J73" s="49">
        <f t="shared" si="4"/>
        <v>3.85284</v>
      </c>
      <c r="K73" s="49">
        <f t="shared" si="5"/>
        <v>36.459899999999998</v>
      </c>
      <c r="L73" s="49">
        <f t="shared" si="6"/>
        <v>9.4631233064440767</v>
      </c>
    </row>
    <row r="74" spans="1:12">
      <c r="A74" s="49">
        <v>0.38791100000000001</v>
      </c>
      <c r="B74" s="49">
        <v>0.36675600000000003</v>
      </c>
      <c r="C74">
        <v>29.2256</v>
      </c>
      <c r="D74">
        <v>0</v>
      </c>
      <c r="E74" t="s">
        <v>2631</v>
      </c>
      <c r="F74" s="49">
        <f t="shared" si="7"/>
        <v>73</v>
      </c>
      <c r="J74" s="49">
        <f t="shared" si="4"/>
        <v>3.8791099999999998</v>
      </c>
      <c r="K74" s="49">
        <f t="shared" si="5"/>
        <v>36.675600000000003</v>
      </c>
      <c r="L74" s="49">
        <f t="shared" si="6"/>
        <v>9.4546429464490576</v>
      </c>
    </row>
    <row r="75" spans="1:12">
      <c r="A75" s="49">
        <v>0.39018599999999998</v>
      </c>
      <c r="B75" s="49">
        <v>0.36773699999999998</v>
      </c>
      <c r="C75">
        <v>29.6267</v>
      </c>
      <c r="D75">
        <v>0</v>
      </c>
      <c r="E75" t="s">
        <v>2632</v>
      </c>
      <c r="F75" s="49">
        <f t="shared" si="7"/>
        <v>74</v>
      </c>
      <c r="J75" s="49">
        <f t="shared" si="4"/>
        <v>3.9018599999999997</v>
      </c>
      <c r="K75" s="49">
        <f t="shared" si="5"/>
        <v>36.773699999999998</v>
      </c>
      <c r="L75" s="49">
        <f t="shared" si="6"/>
        <v>9.4246590087804289</v>
      </c>
    </row>
    <row r="76" spans="1:12">
      <c r="A76" s="49">
        <v>0.39157199999999998</v>
      </c>
      <c r="B76" s="49">
        <v>0.36813200000000001</v>
      </c>
      <c r="C76">
        <v>30.026599999999998</v>
      </c>
      <c r="D76">
        <v>0</v>
      </c>
      <c r="E76" t="s">
        <v>2633</v>
      </c>
      <c r="F76" s="49">
        <f t="shared" si="7"/>
        <v>75</v>
      </c>
      <c r="J76" s="49">
        <f t="shared" si="4"/>
        <v>3.9157199999999999</v>
      </c>
      <c r="K76" s="49">
        <f t="shared" si="5"/>
        <v>36.813200000000002</v>
      </c>
      <c r="L76" s="49">
        <f t="shared" si="6"/>
        <v>9.4013872289132028</v>
      </c>
    </row>
    <row r="77" spans="1:12">
      <c r="A77" s="49">
        <v>0.39218599999999998</v>
      </c>
      <c r="B77" s="49">
        <v>0.36932199999999998</v>
      </c>
      <c r="C77">
        <v>30.444199999999999</v>
      </c>
      <c r="D77">
        <v>0</v>
      </c>
      <c r="E77" t="s">
        <v>2634</v>
      </c>
      <c r="F77" s="49">
        <f t="shared" si="7"/>
        <v>76</v>
      </c>
      <c r="J77" s="49">
        <f t="shared" si="4"/>
        <v>3.9218599999999997</v>
      </c>
      <c r="K77" s="49">
        <f t="shared" si="5"/>
        <v>36.932200000000002</v>
      </c>
      <c r="L77" s="49">
        <f t="shared" si="6"/>
        <v>9.4170113160592184</v>
      </c>
    </row>
    <row r="78" spans="1:12">
      <c r="A78" s="49">
        <v>0.39282099999999998</v>
      </c>
      <c r="B78" s="49">
        <v>0.37106499999999998</v>
      </c>
      <c r="C78">
        <v>30.8415</v>
      </c>
      <c r="D78">
        <v>0</v>
      </c>
      <c r="E78" t="s">
        <v>2635</v>
      </c>
      <c r="F78" s="49">
        <f t="shared" si="7"/>
        <v>77</v>
      </c>
      <c r="J78" s="49">
        <f t="shared" si="4"/>
        <v>3.92821</v>
      </c>
      <c r="K78" s="49">
        <f t="shared" si="5"/>
        <v>37.106499999999997</v>
      </c>
      <c r="L78" s="49">
        <f t="shared" si="6"/>
        <v>9.4461599558068432</v>
      </c>
    </row>
    <row r="79" spans="1:12">
      <c r="A79" s="49">
        <v>0.39358799999999999</v>
      </c>
      <c r="B79" s="49">
        <v>0.37323099999999998</v>
      </c>
      <c r="C79">
        <v>31.251899999999999</v>
      </c>
      <c r="D79">
        <v>0</v>
      </c>
      <c r="E79" t="s">
        <v>2636</v>
      </c>
      <c r="F79" s="49">
        <f t="shared" si="7"/>
        <v>78</v>
      </c>
      <c r="J79" s="49">
        <f t="shared" si="4"/>
        <v>3.93588</v>
      </c>
      <c r="K79" s="49">
        <f t="shared" si="5"/>
        <v>37.323099999999997</v>
      </c>
      <c r="L79" s="49">
        <f t="shared" si="6"/>
        <v>9.4827840279683322</v>
      </c>
    </row>
    <row r="80" spans="1:12">
      <c r="A80" s="49">
        <v>0.394293</v>
      </c>
      <c r="B80" s="49">
        <v>0.375774</v>
      </c>
      <c r="C80">
        <v>31.659199999999998</v>
      </c>
      <c r="D80">
        <v>0</v>
      </c>
      <c r="E80" t="s">
        <v>2637</v>
      </c>
      <c r="F80" s="49">
        <f t="shared" si="7"/>
        <v>79</v>
      </c>
      <c r="J80" s="49">
        <f t="shared" si="4"/>
        <v>3.94293</v>
      </c>
      <c r="K80" s="49">
        <f t="shared" si="5"/>
        <v>37.577399999999997</v>
      </c>
      <c r="L80" s="49">
        <f t="shared" si="6"/>
        <v>9.5303238961888734</v>
      </c>
    </row>
    <row r="81" spans="1:12">
      <c r="A81" s="49">
        <v>0.39506599999999997</v>
      </c>
      <c r="B81" s="49">
        <v>0.37816899999999998</v>
      </c>
      <c r="C81">
        <v>32.061300000000003</v>
      </c>
      <c r="D81">
        <v>0</v>
      </c>
      <c r="E81" t="s">
        <v>2638</v>
      </c>
      <c r="F81" s="49">
        <f t="shared" si="7"/>
        <v>80</v>
      </c>
      <c r="J81" s="49">
        <f t="shared" si="4"/>
        <v>3.9506599999999996</v>
      </c>
      <c r="K81" s="49">
        <f t="shared" si="5"/>
        <v>37.816899999999997</v>
      </c>
      <c r="L81" s="49">
        <f t="shared" si="6"/>
        <v>9.5722993120136888</v>
      </c>
    </row>
    <row r="82" spans="1:12">
      <c r="A82" s="49">
        <v>0.39594200000000002</v>
      </c>
      <c r="B82" s="49">
        <v>0.38061499999999998</v>
      </c>
      <c r="C82">
        <v>32.478299999999997</v>
      </c>
      <c r="D82">
        <v>0</v>
      </c>
      <c r="E82" t="s">
        <v>2639</v>
      </c>
      <c r="F82" s="49">
        <f t="shared" si="7"/>
        <v>81</v>
      </c>
      <c r="J82" s="49">
        <f t="shared" si="4"/>
        <v>3.9594200000000002</v>
      </c>
      <c r="K82" s="49">
        <f t="shared" si="5"/>
        <v>38.061499999999995</v>
      </c>
      <c r="L82" s="49">
        <f t="shared" si="6"/>
        <v>9.6128978486748036</v>
      </c>
    </row>
    <row r="83" spans="1:12">
      <c r="A83" s="49">
        <v>0.39683200000000002</v>
      </c>
      <c r="B83" s="49">
        <v>0.38295200000000001</v>
      </c>
      <c r="C83">
        <v>32.876800000000003</v>
      </c>
      <c r="D83">
        <v>0</v>
      </c>
      <c r="E83" t="s">
        <v>2640</v>
      </c>
      <c r="F83" s="49">
        <f t="shared" si="7"/>
        <v>82</v>
      </c>
      <c r="J83" s="49">
        <f t="shared" si="4"/>
        <v>3.9683200000000003</v>
      </c>
      <c r="K83" s="49">
        <f t="shared" si="5"/>
        <v>38.295200000000001</v>
      </c>
      <c r="L83" s="49">
        <f t="shared" si="6"/>
        <v>9.6502298201757917</v>
      </c>
    </row>
    <row r="84" spans="1:12">
      <c r="A84" s="49">
        <v>0.397758</v>
      </c>
      <c r="B84" s="49">
        <v>0.38465700000000003</v>
      </c>
      <c r="C84">
        <v>33.279499999999999</v>
      </c>
      <c r="D84">
        <v>0</v>
      </c>
      <c r="E84" t="s">
        <v>2641</v>
      </c>
      <c r="F84" s="49">
        <f t="shared" si="7"/>
        <v>83</v>
      </c>
      <c r="J84" s="49">
        <f t="shared" si="4"/>
        <v>3.9775800000000001</v>
      </c>
      <c r="K84" s="49">
        <f t="shared" si="5"/>
        <v>38.465700000000005</v>
      </c>
      <c r="L84" s="49">
        <f t="shared" si="6"/>
        <v>9.6706288748434996</v>
      </c>
    </row>
    <row r="85" spans="1:12">
      <c r="A85" s="49">
        <v>0.39871099999999998</v>
      </c>
      <c r="B85" s="49">
        <v>0.386569</v>
      </c>
      <c r="C85">
        <v>33.6873</v>
      </c>
      <c r="D85">
        <v>0</v>
      </c>
      <c r="E85" t="s">
        <v>2642</v>
      </c>
      <c r="F85" s="49">
        <f t="shared" si="7"/>
        <v>84</v>
      </c>
      <c r="J85" s="49">
        <f t="shared" si="4"/>
        <v>3.9871099999999999</v>
      </c>
      <c r="K85" s="49">
        <f t="shared" si="5"/>
        <v>38.6569</v>
      </c>
      <c r="L85" s="49">
        <f t="shared" si="6"/>
        <v>9.69546864771727</v>
      </c>
    </row>
    <row r="86" spans="1:12">
      <c r="A86" s="49">
        <v>0.39975899999999998</v>
      </c>
      <c r="B86" s="49">
        <v>0.387957</v>
      </c>
      <c r="C86">
        <v>34.098300000000002</v>
      </c>
      <c r="D86">
        <v>0</v>
      </c>
      <c r="E86" t="s">
        <v>2643</v>
      </c>
      <c r="F86" s="49">
        <f t="shared" si="7"/>
        <v>85</v>
      </c>
      <c r="J86" s="49">
        <f t="shared" si="4"/>
        <v>3.9975899999999998</v>
      </c>
      <c r="K86" s="49">
        <f t="shared" si="5"/>
        <v>38.795699999999997</v>
      </c>
      <c r="L86" s="49">
        <f t="shared" si="6"/>
        <v>9.7047721252054355</v>
      </c>
    </row>
    <row r="87" spans="1:12">
      <c r="A87" s="49">
        <v>0.40104200000000001</v>
      </c>
      <c r="B87" s="49">
        <v>0.389768</v>
      </c>
      <c r="C87">
        <v>34.504800000000003</v>
      </c>
      <c r="D87">
        <v>0</v>
      </c>
      <c r="E87" t="s">
        <v>2644</v>
      </c>
      <c r="F87" s="49">
        <f t="shared" si="7"/>
        <v>86</v>
      </c>
      <c r="J87" s="49">
        <f t="shared" si="4"/>
        <v>4.0104199999999999</v>
      </c>
      <c r="K87" s="49">
        <f t="shared" si="5"/>
        <v>38.976799999999997</v>
      </c>
      <c r="L87" s="49">
        <f t="shared" si="6"/>
        <v>9.7188823115783389</v>
      </c>
    </row>
    <row r="88" spans="1:12">
      <c r="A88" s="49">
        <v>0.40251799999999999</v>
      </c>
      <c r="B88" s="49">
        <v>0.39094200000000001</v>
      </c>
      <c r="C88">
        <v>34.906799999999997</v>
      </c>
      <c r="D88">
        <v>0</v>
      </c>
      <c r="E88" t="s">
        <v>2645</v>
      </c>
      <c r="F88" s="49">
        <f t="shared" si="7"/>
        <v>87</v>
      </c>
      <c r="J88" s="49">
        <f t="shared" si="4"/>
        <v>4.0251799999999998</v>
      </c>
      <c r="K88" s="49">
        <f t="shared" si="5"/>
        <v>39.094200000000001</v>
      </c>
      <c r="L88" s="49">
        <f t="shared" si="6"/>
        <v>9.7124103766788075</v>
      </c>
    </row>
    <row r="89" spans="1:12">
      <c r="A89" s="49">
        <v>0.40396799999999999</v>
      </c>
      <c r="B89" s="49">
        <v>0.39172899999999999</v>
      </c>
      <c r="C89">
        <v>35.314799999999998</v>
      </c>
      <c r="D89">
        <v>0</v>
      </c>
      <c r="E89" t="s">
        <v>2646</v>
      </c>
      <c r="F89" s="49">
        <f t="shared" si="7"/>
        <v>88</v>
      </c>
      <c r="J89" s="49">
        <f t="shared" si="4"/>
        <v>4.0396799999999997</v>
      </c>
      <c r="K89" s="49">
        <f t="shared" si="5"/>
        <v>39.172899999999998</v>
      </c>
      <c r="L89" s="49">
        <f t="shared" si="6"/>
        <v>9.6970304578580482</v>
      </c>
    </row>
    <row r="90" spans="1:12">
      <c r="A90" s="49">
        <v>0.405306</v>
      </c>
      <c r="B90" s="49">
        <v>0.39287899999999998</v>
      </c>
      <c r="C90">
        <v>35.727600000000002</v>
      </c>
      <c r="D90">
        <v>0</v>
      </c>
      <c r="E90" t="s">
        <v>2647</v>
      </c>
      <c r="F90" s="49">
        <f t="shared" si="7"/>
        <v>89</v>
      </c>
      <c r="J90" s="49">
        <f t="shared" si="4"/>
        <v>4.0530600000000003</v>
      </c>
      <c r="K90" s="49">
        <f t="shared" si="5"/>
        <v>39.2879</v>
      </c>
      <c r="L90" s="49">
        <f t="shared" si="6"/>
        <v>9.6933921530892704</v>
      </c>
    </row>
    <row r="91" spans="1:12">
      <c r="A91" s="49">
        <v>0.40652100000000002</v>
      </c>
      <c r="B91" s="49">
        <v>0.39396999999999999</v>
      </c>
      <c r="C91">
        <v>36.137500000000003</v>
      </c>
      <c r="D91">
        <v>0</v>
      </c>
      <c r="E91" t="s">
        <v>2648</v>
      </c>
      <c r="F91" s="49">
        <f t="shared" si="7"/>
        <v>90</v>
      </c>
      <c r="J91" s="49">
        <f t="shared" si="4"/>
        <v>4.0652100000000004</v>
      </c>
      <c r="K91" s="49">
        <f t="shared" si="5"/>
        <v>39.396999999999998</v>
      </c>
      <c r="L91" s="49">
        <f t="shared" si="6"/>
        <v>9.6912582621807957</v>
      </c>
    </row>
    <row r="92" spans="1:12">
      <c r="A92" s="49">
        <v>0.40765699999999999</v>
      </c>
      <c r="B92" s="49">
        <v>0.39460299999999998</v>
      </c>
      <c r="C92">
        <v>36.5456</v>
      </c>
      <c r="D92">
        <v>0</v>
      </c>
      <c r="E92" t="s">
        <v>2649</v>
      </c>
      <c r="F92" s="49">
        <f t="shared" si="7"/>
        <v>91</v>
      </c>
      <c r="J92" s="49">
        <f t="shared" si="4"/>
        <v>4.0765700000000002</v>
      </c>
      <c r="K92" s="49">
        <f t="shared" si="5"/>
        <v>39.460299999999997</v>
      </c>
      <c r="L92" s="49">
        <f t="shared" si="6"/>
        <v>9.6797798148934024</v>
      </c>
    </row>
    <row r="93" spans="1:12">
      <c r="A93" s="49">
        <v>0.40866599999999997</v>
      </c>
      <c r="B93" s="49">
        <v>0.39467799999999997</v>
      </c>
      <c r="C93">
        <v>36.9497</v>
      </c>
      <c r="D93">
        <v>0</v>
      </c>
      <c r="E93" t="s">
        <v>2650</v>
      </c>
      <c r="F93" s="49">
        <f t="shared" si="7"/>
        <v>92</v>
      </c>
      <c r="J93" s="49">
        <f t="shared" si="4"/>
        <v>4.0866600000000002</v>
      </c>
      <c r="K93" s="49">
        <f t="shared" si="5"/>
        <v>39.467799999999997</v>
      </c>
      <c r="L93" s="49">
        <f t="shared" si="6"/>
        <v>9.6577155917056956</v>
      </c>
    </row>
    <row r="94" spans="1:12">
      <c r="A94" s="49">
        <v>0.409744</v>
      </c>
      <c r="B94" s="49">
        <v>0.39401900000000001</v>
      </c>
      <c r="C94">
        <v>37.358899999999998</v>
      </c>
      <c r="D94">
        <v>0</v>
      </c>
      <c r="E94" t="s">
        <v>2651</v>
      </c>
      <c r="F94" s="49">
        <f t="shared" si="7"/>
        <v>93</v>
      </c>
      <c r="J94" s="49">
        <f t="shared" si="4"/>
        <v>4.0974399999999997</v>
      </c>
      <c r="K94" s="49">
        <f t="shared" si="5"/>
        <v>39.401899999999998</v>
      </c>
      <c r="L94" s="49">
        <f t="shared" si="6"/>
        <v>9.6162237885118511</v>
      </c>
    </row>
    <row r="95" spans="1:12">
      <c r="A95" s="49">
        <v>0.41110799999999997</v>
      </c>
      <c r="B95" s="49">
        <v>0.39286900000000002</v>
      </c>
      <c r="C95">
        <v>37.765300000000003</v>
      </c>
      <c r="D95">
        <v>0</v>
      </c>
      <c r="E95" t="s">
        <v>2652</v>
      </c>
      <c r="F95" s="49">
        <f t="shared" si="7"/>
        <v>94</v>
      </c>
      <c r="J95" s="49">
        <f t="shared" si="4"/>
        <v>4.1110799999999994</v>
      </c>
      <c r="K95" s="49">
        <f t="shared" si="5"/>
        <v>39.286900000000003</v>
      </c>
      <c r="L95" s="49">
        <f t="shared" si="6"/>
        <v>9.5563452912616658</v>
      </c>
    </row>
    <row r="96" spans="1:12">
      <c r="A96" s="49">
        <v>0.41248000000000001</v>
      </c>
      <c r="B96" s="49">
        <v>0.391843</v>
      </c>
      <c r="C96">
        <v>38.163600000000002</v>
      </c>
      <c r="D96">
        <v>0</v>
      </c>
      <c r="E96" t="s">
        <v>2653</v>
      </c>
      <c r="F96" s="49">
        <f t="shared" si="7"/>
        <v>95</v>
      </c>
      <c r="J96" s="49">
        <f t="shared" si="4"/>
        <v>4.1248000000000005</v>
      </c>
      <c r="K96" s="49">
        <f t="shared" si="5"/>
        <v>39.1843</v>
      </c>
      <c r="L96" s="49">
        <f t="shared" si="6"/>
        <v>9.499684833204034</v>
      </c>
    </row>
    <row r="97" spans="1:12">
      <c r="A97" s="49">
        <v>0.41420200000000001</v>
      </c>
      <c r="B97" s="49">
        <v>0.39050499999999999</v>
      </c>
      <c r="C97">
        <v>38.559199999999997</v>
      </c>
      <c r="D97">
        <v>0</v>
      </c>
      <c r="E97" t="s">
        <v>2654</v>
      </c>
      <c r="F97" s="49">
        <f t="shared" si="7"/>
        <v>96</v>
      </c>
      <c r="J97" s="49">
        <f t="shared" si="4"/>
        <v>4.1420200000000005</v>
      </c>
      <c r="K97" s="49">
        <f t="shared" si="5"/>
        <v>39.0505</v>
      </c>
      <c r="L97" s="49">
        <f t="shared" si="6"/>
        <v>9.4278878421639671</v>
      </c>
    </row>
    <row r="98" spans="1:12">
      <c r="A98" s="49">
        <v>0.41684100000000002</v>
      </c>
      <c r="B98" s="49">
        <v>0.38850200000000001</v>
      </c>
      <c r="C98">
        <v>38.970500000000001</v>
      </c>
      <c r="D98">
        <v>0</v>
      </c>
      <c r="E98" t="s">
        <v>2655</v>
      </c>
      <c r="F98" s="49">
        <f t="shared" si="7"/>
        <v>97</v>
      </c>
      <c r="J98" s="49">
        <f t="shared" si="4"/>
        <v>4.1684099999999997</v>
      </c>
      <c r="K98" s="49">
        <f t="shared" si="5"/>
        <v>38.850200000000001</v>
      </c>
      <c r="L98" s="49">
        <f t="shared" si="6"/>
        <v>9.3201484498885669</v>
      </c>
    </row>
    <row r="99" spans="1:12">
      <c r="A99" s="49">
        <v>0.42019299999999998</v>
      </c>
      <c r="B99" s="49">
        <v>0.385214</v>
      </c>
      <c r="C99">
        <v>39.3735</v>
      </c>
      <c r="D99">
        <v>0</v>
      </c>
      <c r="E99" t="s">
        <v>2656</v>
      </c>
      <c r="F99" s="49">
        <f t="shared" si="7"/>
        <v>98</v>
      </c>
      <c r="J99" s="49">
        <f t="shared" si="4"/>
        <v>4.2019299999999999</v>
      </c>
      <c r="K99" s="49">
        <f t="shared" si="5"/>
        <v>38.5214</v>
      </c>
      <c r="L99" s="49">
        <f t="shared" si="6"/>
        <v>9.1675491976306134</v>
      </c>
    </row>
    <row r="100" spans="1:12">
      <c r="A100" s="49">
        <v>0.42388100000000001</v>
      </c>
      <c r="B100" s="49">
        <v>0.38122600000000001</v>
      </c>
      <c r="C100">
        <v>39.779000000000003</v>
      </c>
      <c r="D100">
        <v>0</v>
      </c>
      <c r="E100" t="s">
        <v>2657</v>
      </c>
      <c r="F100" s="49">
        <f t="shared" si="7"/>
        <v>99</v>
      </c>
      <c r="J100" s="49">
        <f t="shared" si="4"/>
        <v>4.23881</v>
      </c>
      <c r="K100" s="49">
        <f t="shared" si="5"/>
        <v>38.122599999999998</v>
      </c>
      <c r="L100" s="49">
        <f t="shared" si="6"/>
        <v>8.9937034214791414</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45854.571585648147</v>
      </c>
      <c r="B2" t="s">
        <v>2658</v>
      </c>
      <c r="C2" s="49"/>
      <c r="D2" s="49"/>
      <c r="E2" s="49">
        <v>4.9234099999999996</v>
      </c>
      <c r="F2" s="49">
        <v>1.87862</v>
      </c>
      <c r="G2" s="49">
        <v>0.71598300000000004</v>
      </c>
      <c r="H2" s="49">
        <v>0</v>
      </c>
      <c r="I2" s="49">
        <v>8.88748</v>
      </c>
      <c r="J2" s="49">
        <v>98</v>
      </c>
      <c r="K2" s="49">
        <v>98</v>
      </c>
      <c r="L2" s="49">
        <v>100</v>
      </c>
      <c r="M2" s="521" t="s">
        <v>1549</v>
      </c>
      <c r="O2" s="565" t="str">
        <f>IF(FH_info!B2="","",TRIM(MID(SUBSTITUTE(FH_info!B2,"^",REPT(" ",LEN(FH_info!B2))),LEN(FH_info!B2)*2-LEN(FH_info!B2)+1,LEN(FH_info!B2))))</f>
        <v>geUC</v>
      </c>
      <c r="P2" s="565" t="str">
        <f>IF(FH_info!O2="","",TRIM(MID(SUBSTITUTE(FH_info!O2," ",REPT(" ",LEN(FH_info!O2))),LEN(FH_info!O2)*1-LEN(FH_info!O2)+1,LEN(FH_info!O2))))</f>
        <v>geUC</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8.8874750000000002</v>
      </c>
      <c r="D2">
        <f>MAX(B2:B257)</f>
        <v>173.99475100000001</v>
      </c>
      <c r="G2" t="s">
        <v>1590</v>
      </c>
      <c r="H2">
        <v>4.9234140000000002</v>
      </c>
      <c r="I2">
        <v>8.8874750000000002</v>
      </c>
      <c r="J2">
        <v>0</v>
      </c>
      <c r="K2">
        <v>98</v>
      </c>
      <c r="L2">
        <v>98</v>
      </c>
      <c r="M2">
        <v>1.878622</v>
      </c>
      <c r="N2">
        <v>0.71598300000000004</v>
      </c>
      <c r="O2">
        <v>0.51263199999999998</v>
      </c>
    </row>
    <row r="3" spans="1:15">
      <c r="A3">
        <v>0</v>
      </c>
      <c r="B3">
        <v>0</v>
      </c>
      <c r="G3" t="s">
        <v>1591</v>
      </c>
      <c r="H3">
        <v>4.9234140000000002</v>
      </c>
      <c r="I3">
        <v>173.99475100000001</v>
      </c>
      <c r="J3">
        <v>0</v>
      </c>
      <c r="K3">
        <v>6</v>
      </c>
      <c r="L3">
        <v>6</v>
      </c>
      <c r="M3">
        <v>0.68055399999999999</v>
      </c>
      <c r="N3">
        <v>0.585538</v>
      </c>
      <c r="O3">
        <v>0.34285500000000002</v>
      </c>
    </row>
    <row r="4" spans="1:15">
      <c r="A4">
        <v>0</v>
      </c>
      <c r="B4">
        <v>0</v>
      </c>
    </row>
    <row r="5" spans="1:15">
      <c r="A5">
        <v>4.1211999999999999E-2</v>
      </c>
      <c r="B5">
        <v>153.754547</v>
      </c>
    </row>
    <row r="6" spans="1:15">
      <c r="A6">
        <v>0</v>
      </c>
      <c r="B6">
        <v>0</v>
      </c>
    </row>
    <row r="7" spans="1:15">
      <c r="A7">
        <v>0</v>
      </c>
      <c r="B7">
        <v>0</v>
      </c>
    </row>
    <row r="8" spans="1:15">
      <c r="A8">
        <v>9.0706999999999996E-2</v>
      </c>
      <c r="B8">
        <v>173.99475100000001</v>
      </c>
    </row>
    <row r="9" spans="1:15">
      <c r="A9">
        <v>0</v>
      </c>
      <c r="B9">
        <v>0</v>
      </c>
    </row>
    <row r="10" spans="1:15">
      <c r="A10">
        <v>0.17959600000000001</v>
      </c>
      <c r="B10">
        <v>121.093941</v>
      </c>
    </row>
    <row r="11" spans="1:15">
      <c r="A11">
        <v>0</v>
      </c>
      <c r="B11">
        <v>0</v>
      </c>
    </row>
    <row r="12" spans="1:15">
      <c r="A12">
        <v>0</v>
      </c>
      <c r="B12">
        <v>0</v>
      </c>
    </row>
    <row r="13" spans="1:15">
      <c r="A13">
        <v>0.56121200000000004</v>
      </c>
      <c r="B13">
        <v>100.320808</v>
      </c>
    </row>
    <row r="14" spans="1:15">
      <c r="A14">
        <v>0</v>
      </c>
      <c r="B14">
        <v>0</v>
      </c>
    </row>
    <row r="15" spans="1:15">
      <c r="A15">
        <v>0.560303</v>
      </c>
      <c r="B15">
        <v>82.950096000000002</v>
      </c>
    </row>
    <row r="16" spans="1:15">
      <c r="A16">
        <v>0</v>
      </c>
      <c r="B16">
        <v>0</v>
      </c>
    </row>
    <row r="17" spans="1:2">
      <c r="A17">
        <v>0</v>
      </c>
      <c r="B17">
        <v>0</v>
      </c>
    </row>
    <row r="18" spans="1:2">
      <c r="A18">
        <v>0.32080799999999998</v>
      </c>
      <c r="B18">
        <v>76.469795000000005</v>
      </c>
    </row>
    <row r="19" spans="1:2">
      <c r="A19">
        <v>0</v>
      </c>
      <c r="B19">
        <v>0</v>
      </c>
    </row>
    <row r="20" spans="1:2">
      <c r="A20">
        <v>0</v>
      </c>
      <c r="B20">
        <v>0</v>
      </c>
    </row>
    <row r="21" spans="1:2">
      <c r="A21">
        <v>0.37626300000000001</v>
      </c>
      <c r="B21">
        <v>70.669189000000003</v>
      </c>
    </row>
    <row r="22" spans="1:2">
      <c r="A22">
        <v>0</v>
      </c>
      <c r="B22">
        <v>0</v>
      </c>
    </row>
    <row r="23" spans="1:2">
      <c r="A23">
        <v>0.493535</v>
      </c>
      <c r="B23">
        <v>65.303635</v>
      </c>
    </row>
    <row r="24" spans="1:2">
      <c r="A24">
        <v>0</v>
      </c>
      <c r="B24">
        <v>0</v>
      </c>
    </row>
    <row r="25" spans="1:2">
      <c r="A25">
        <v>0</v>
      </c>
      <c r="B25">
        <v>0</v>
      </c>
    </row>
    <row r="26" spans="1:2">
      <c r="A26">
        <v>0.70979800000000004</v>
      </c>
      <c r="B26">
        <v>60.053531999999997</v>
      </c>
    </row>
    <row r="27" spans="1:2">
      <c r="A27">
        <v>0</v>
      </c>
      <c r="B27">
        <v>0</v>
      </c>
    </row>
    <row r="28" spans="1:2">
      <c r="A28">
        <v>0.87313099999999999</v>
      </c>
      <c r="B28">
        <v>57.434345</v>
      </c>
    </row>
    <row r="29" spans="1:2">
      <c r="A29">
        <v>0</v>
      </c>
      <c r="B29">
        <v>0</v>
      </c>
    </row>
    <row r="30" spans="1:2">
      <c r="A30">
        <v>0</v>
      </c>
      <c r="B30">
        <v>0</v>
      </c>
    </row>
    <row r="31" spans="1:2">
      <c r="A31">
        <v>0.878687</v>
      </c>
      <c r="B31">
        <v>54.913639000000003</v>
      </c>
    </row>
    <row r="32" spans="1:2">
      <c r="A32">
        <v>0</v>
      </c>
      <c r="B32">
        <v>0</v>
      </c>
    </row>
    <row r="33" spans="1:2">
      <c r="A33">
        <v>1.0987880000000001</v>
      </c>
      <c r="B33">
        <v>52.600304000000001</v>
      </c>
    </row>
    <row r="34" spans="1:2">
      <c r="A34">
        <v>0</v>
      </c>
      <c r="B34">
        <v>0</v>
      </c>
    </row>
    <row r="35" spans="1:2">
      <c r="A35">
        <v>0</v>
      </c>
      <c r="B35">
        <v>0</v>
      </c>
    </row>
    <row r="36" spans="1:2">
      <c r="A36">
        <v>1.7644439999999999</v>
      </c>
      <c r="B36">
        <v>50.476664999999997</v>
      </c>
    </row>
    <row r="37" spans="1:2">
      <c r="A37">
        <v>0</v>
      </c>
      <c r="B37">
        <v>0</v>
      </c>
    </row>
    <row r="38" spans="1:2">
      <c r="A38">
        <v>0</v>
      </c>
      <c r="B38">
        <v>0</v>
      </c>
    </row>
    <row r="39" spans="1:2">
      <c r="A39">
        <v>3.3783840000000001</v>
      </c>
      <c r="B39">
        <v>48.788181000000002</v>
      </c>
    </row>
    <row r="40" spans="1:2">
      <c r="A40">
        <v>0</v>
      </c>
      <c r="B40">
        <v>0</v>
      </c>
    </row>
    <row r="41" spans="1:2">
      <c r="A41">
        <v>4.164949</v>
      </c>
      <c r="B41">
        <v>46.657677</v>
      </c>
    </row>
    <row r="42" spans="1:2">
      <c r="A42">
        <v>0</v>
      </c>
      <c r="B42">
        <v>0</v>
      </c>
    </row>
    <row r="43" spans="1:2">
      <c r="A43">
        <v>0</v>
      </c>
      <c r="B43">
        <v>0</v>
      </c>
    </row>
    <row r="44" spans="1:2">
      <c r="A44">
        <v>4.2658589999999998</v>
      </c>
      <c r="B44">
        <v>44.325958</v>
      </c>
    </row>
    <row r="45" spans="1:2">
      <c r="A45">
        <v>0</v>
      </c>
      <c r="B45">
        <v>0</v>
      </c>
    </row>
    <row r="46" spans="1:2">
      <c r="A46">
        <v>4.7462629999999999</v>
      </c>
      <c r="B46">
        <v>42.338481999999999</v>
      </c>
    </row>
    <row r="47" spans="1:2">
      <c r="A47">
        <v>0</v>
      </c>
      <c r="B47">
        <v>0</v>
      </c>
    </row>
    <row r="48" spans="1:2">
      <c r="A48">
        <v>0</v>
      </c>
      <c r="B48">
        <v>0</v>
      </c>
    </row>
    <row r="49" spans="1:2">
      <c r="A49">
        <v>5.8739400000000002</v>
      </c>
      <c r="B49">
        <v>39.868484000000002</v>
      </c>
    </row>
    <row r="50" spans="1:2">
      <c r="A50">
        <v>0</v>
      </c>
      <c r="B50">
        <v>0</v>
      </c>
    </row>
    <row r="51" spans="1:2">
      <c r="A51">
        <v>6.6783830000000002</v>
      </c>
      <c r="B51">
        <v>37.805152999999997</v>
      </c>
    </row>
    <row r="52" spans="1:2">
      <c r="A52">
        <v>0</v>
      </c>
      <c r="B52">
        <v>0</v>
      </c>
    </row>
    <row r="53" spans="1:2">
      <c r="A53">
        <v>0</v>
      </c>
      <c r="B53">
        <v>0</v>
      </c>
    </row>
    <row r="54" spans="1:2">
      <c r="A54">
        <v>7.7533339999999997</v>
      </c>
      <c r="B54">
        <v>35.763435000000001</v>
      </c>
    </row>
    <row r="55" spans="1:2">
      <c r="A55">
        <v>0</v>
      </c>
      <c r="B55">
        <v>0</v>
      </c>
    </row>
    <row r="56" spans="1:2">
      <c r="A56">
        <v>0</v>
      </c>
      <c r="B56">
        <v>0</v>
      </c>
    </row>
    <row r="57" spans="1:2">
      <c r="A57">
        <v>6.4689899999999998</v>
      </c>
      <c r="B57">
        <v>33.574345000000001</v>
      </c>
    </row>
    <row r="58" spans="1:2">
      <c r="A58">
        <v>0</v>
      </c>
      <c r="B58">
        <v>0</v>
      </c>
    </row>
    <row r="59" spans="1:2">
      <c r="A59">
        <v>6.3751519999999999</v>
      </c>
      <c r="B59">
        <v>31.834344999999999</v>
      </c>
    </row>
    <row r="60" spans="1:2">
      <c r="A60">
        <v>0</v>
      </c>
      <c r="B60">
        <v>0</v>
      </c>
    </row>
    <row r="61" spans="1:2">
      <c r="A61">
        <v>0</v>
      </c>
      <c r="B61">
        <v>0</v>
      </c>
    </row>
    <row r="62" spans="1:2">
      <c r="A62">
        <v>4.9945449999999996</v>
      </c>
      <c r="B62">
        <v>30.327171</v>
      </c>
    </row>
    <row r="63" spans="1:2">
      <c r="A63">
        <v>0</v>
      </c>
      <c r="B63">
        <v>0</v>
      </c>
    </row>
    <row r="64" spans="1:2">
      <c r="A64">
        <v>5.2058590000000002</v>
      </c>
      <c r="B64">
        <v>28.577878999999999</v>
      </c>
    </row>
    <row r="65" spans="1:2">
      <c r="A65">
        <v>0</v>
      </c>
      <c r="B65">
        <v>0</v>
      </c>
    </row>
    <row r="66" spans="1:2">
      <c r="A66">
        <v>0</v>
      </c>
      <c r="B66">
        <v>0</v>
      </c>
    </row>
    <row r="67" spans="1:2">
      <c r="A67">
        <v>4.8862620000000003</v>
      </c>
      <c r="B67">
        <v>27.300404</v>
      </c>
    </row>
    <row r="68" spans="1:2">
      <c r="A68">
        <v>0</v>
      </c>
      <c r="B68">
        <v>0</v>
      </c>
    </row>
    <row r="69" spans="1:2">
      <c r="A69">
        <v>5.1814140000000002</v>
      </c>
      <c r="B69">
        <v>26.013435000000001</v>
      </c>
    </row>
    <row r="70" spans="1:2">
      <c r="A70">
        <v>0</v>
      </c>
      <c r="B70">
        <v>0</v>
      </c>
    </row>
    <row r="71" spans="1:2">
      <c r="A71">
        <v>0</v>
      </c>
      <c r="B71">
        <v>0</v>
      </c>
    </row>
    <row r="72" spans="1:2">
      <c r="A72">
        <v>5.3075760000000001</v>
      </c>
      <c r="B72">
        <v>24.365555000000001</v>
      </c>
    </row>
    <row r="73" spans="1:2">
      <c r="A73">
        <v>0</v>
      </c>
      <c r="B73">
        <v>0</v>
      </c>
    </row>
    <row r="74" spans="1:2">
      <c r="A74">
        <v>0</v>
      </c>
      <c r="B74">
        <v>0</v>
      </c>
    </row>
    <row r="75" spans="1:2">
      <c r="A75">
        <v>5.41899</v>
      </c>
      <c r="B75">
        <v>22.933230999999999</v>
      </c>
    </row>
    <row r="76" spans="1:2">
      <c r="A76">
        <v>0</v>
      </c>
      <c r="B76">
        <v>0</v>
      </c>
    </row>
    <row r="77" spans="1:2">
      <c r="A77">
        <v>5.3983840000000001</v>
      </c>
      <c r="B77">
        <v>21.505051000000002</v>
      </c>
    </row>
    <row r="78" spans="1:2">
      <c r="A78">
        <v>0</v>
      </c>
      <c r="B78">
        <v>0</v>
      </c>
    </row>
    <row r="79" spans="1:2">
      <c r="A79">
        <v>0</v>
      </c>
      <c r="B79">
        <v>0</v>
      </c>
    </row>
    <row r="80" spans="1:2">
      <c r="A80">
        <v>6.1478789999999996</v>
      </c>
      <c r="B80">
        <v>20.098181</v>
      </c>
    </row>
    <row r="81" spans="1:2">
      <c r="A81">
        <v>0</v>
      </c>
      <c r="B81">
        <v>0</v>
      </c>
    </row>
    <row r="82" spans="1:2">
      <c r="A82">
        <v>6.9181819999999998</v>
      </c>
      <c r="B82">
        <v>18.69697</v>
      </c>
    </row>
    <row r="83" spans="1:2">
      <c r="A83">
        <v>0</v>
      </c>
      <c r="B83">
        <v>0</v>
      </c>
    </row>
    <row r="84" spans="1:2">
      <c r="A84">
        <v>0</v>
      </c>
      <c r="B84">
        <v>0</v>
      </c>
    </row>
    <row r="85" spans="1:2">
      <c r="A85">
        <v>7.3305049999999996</v>
      </c>
      <c r="B85">
        <v>17.312525000000001</v>
      </c>
    </row>
    <row r="86" spans="1:2">
      <c r="A86">
        <v>0</v>
      </c>
      <c r="B86">
        <v>0</v>
      </c>
    </row>
    <row r="87" spans="1:2">
      <c r="A87">
        <v>0</v>
      </c>
      <c r="B87">
        <v>0</v>
      </c>
    </row>
    <row r="88" spans="1:2">
      <c r="A88">
        <v>8.0891920000000006</v>
      </c>
      <c r="B88">
        <v>16.031616</v>
      </c>
    </row>
    <row r="89" spans="1:2">
      <c r="A89">
        <v>0</v>
      </c>
      <c r="B89">
        <v>0</v>
      </c>
    </row>
    <row r="90" spans="1:2">
      <c r="A90">
        <v>8.002929</v>
      </c>
      <c r="B90">
        <v>14.747576</v>
      </c>
    </row>
    <row r="91" spans="1:2">
      <c r="A91">
        <v>0</v>
      </c>
      <c r="B91">
        <v>0</v>
      </c>
    </row>
    <row r="92" spans="1:2">
      <c r="A92">
        <v>0</v>
      </c>
      <c r="B92">
        <v>0</v>
      </c>
    </row>
    <row r="93" spans="1:2">
      <c r="A93">
        <v>7.9947470000000003</v>
      </c>
      <c r="B93">
        <v>13.521312999999999</v>
      </c>
    </row>
    <row r="94" spans="1:2">
      <c r="A94">
        <v>0</v>
      </c>
      <c r="B94">
        <v>0</v>
      </c>
    </row>
    <row r="95" spans="1:2">
      <c r="A95">
        <v>8.4521219999999992</v>
      </c>
      <c r="B95">
        <v>12.391515</v>
      </c>
    </row>
    <row r="96" spans="1:2">
      <c r="A96">
        <v>0</v>
      </c>
      <c r="B96">
        <v>0</v>
      </c>
    </row>
    <row r="97" spans="1:2">
      <c r="A97">
        <v>0</v>
      </c>
      <c r="B97">
        <v>0</v>
      </c>
    </row>
    <row r="98" spans="1:2">
      <c r="A98">
        <v>8.3212119999999992</v>
      </c>
      <c r="B98">
        <v>11.210101</v>
      </c>
    </row>
    <row r="99" spans="1:2">
      <c r="A99">
        <v>0</v>
      </c>
      <c r="B99">
        <v>0</v>
      </c>
    </row>
    <row r="100" spans="1:2">
      <c r="A100">
        <v>8.8874750000000002</v>
      </c>
      <c r="B100">
        <v>10.213433999999999</v>
      </c>
    </row>
    <row r="101" spans="1:2">
      <c r="A101">
        <v>0</v>
      </c>
      <c r="B101">
        <v>0</v>
      </c>
    </row>
    <row r="102" spans="1:2">
      <c r="A102">
        <v>0</v>
      </c>
      <c r="B102">
        <v>0</v>
      </c>
    </row>
    <row r="103" spans="1:2">
      <c r="A103">
        <v>8.5767670000000003</v>
      </c>
      <c r="B103">
        <v>9.2053539999999998</v>
      </c>
    </row>
    <row r="104" spans="1:2">
      <c r="A104">
        <v>0</v>
      </c>
      <c r="B104">
        <v>0</v>
      </c>
    </row>
    <row r="105" spans="1:2">
      <c r="A105">
        <v>0</v>
      </c>
      <c r="B105">
        <v>0</v>
      </c>
    </row>
    <row r="106" spans="1:2">
      <c r="A106">
        <v>7.9947470000000003</v>
      </c>
      <c r="B106">
        <v>8.3342430000000007</v>
      </c>
    </row>
    <row r="107" spans="1:2">
      <c r="A107">
        <v>0</v>
      </c>
      <c r="B107">
        <v>0</v>
      </c>
    </row>
    <row r="108" spans="1:2">
      <c r="A108">
        <v>7.506869</v>
      </c>
      <c r="B108">
        <v>7.4963639999999998</v>
      </c>
    </row>
    <row r="109" spans="1:2">
      <c r="A109">
        <v>0</v>
      </c>
      <c r="B109">
        <v>0</v>
      </c>
    </row>
    <row r="110" spans="1:2">
      <c r="A110">
        <v>0</v>
      </c>
      <c r="B110">
        <v>0</v>
      </c>
    </row>
    <row r="111" spans="1:2">
      <c r="A111">
        <v>7.1661619999999999</v>
      </c>
      <c r="B111">
        <v>6.8636359999999996</v>
      </c>
    </row>
    <row r="112" spans="1:2">
      <c r="A112">
        <v>0</v>
      </c>
      <c r="B112">
        <v>0</v>
      </c>
    </row>
    <row r="113" spans="1:2">
      <c r="A113">
        <v>6.9031310000000001</v>
      </c>
      <c r="B113">
        <v>6.1575759999999997</v>
      </c>
    </row>
    <row r="114" spans="1:2">
      <c r="A114">
        <v>0</v>
      </c>
      <c r="B114">
        <v>0</v>
      </c>
    </row>
    <row r="115" spans="1:2">
      <c r="A115">
        <v>0</v>
      </c>
      <c r="B115">
        <v>0</v>
      </c>
    </row>
    <row r="116" spans="1:2">
      <c r="A116">
        <v>6.1320199999999998</v>
      </c>
      <c r="B116">
        <v>5.6087879999999997</v>
      </c>
    </row>
    <row r="117" spans="1:2">
      <c r="A117">
        <v>0</v>
      </c>
      <c r="B117">
        <v>0</v>
      </c>
    </row>
    <row r="118" spans="1:2">
      <c r="A118">
        <v>5.973738</v>
      </c>
      <c r="B118">
        <v>5.0296969999999996</v>
      </c>
    </row>
    <row r="119" spans="1:2">
      <c r="A119">
        <v>0</v>
      </c>
      <c r="B119">
        <v>0</v>
      </c>
    </row>
    <row r="120" spans="1:2">
      <c r="A120">
        <v>0</v>
      </c>
      <c r="B120">
        <v>0</v>
      </c>
    </row>
    <row r="121" spans="1:2">
      <c r="A121">
        <v>5.9822220000000002</v>
      </c>
      <c r="B121">
        <v>4.4608080000000001</v>
      </c>
    </row>
    <row r="122" spans="1:2">
      <c r="A122">
        <v>0</v>
      </c>
      <c r="B122">
        <v>0</v>
      </c>
    </row>
    <row r="123" spans="1:2">
      <c r="A123">
        <v>0</v>
      </c>
      <c r="B123">
        <v>0</v>
      </c>
    </row>
    <row r="124" spans="1:2">
      <c r="A124">
        <v>5.8938379999999997</v>
      </c>
      <c r="B124">
        <v>3.9440400000000002</v>
      </c>
    </row>
    <row r="125" spans="1:2">
      <c r="A125">
        <v>0</v>
      </c>
      <c r="B125">
        <v>0</v>
      </c>
    </row>
    <row r="126" spans="1:2">
      <c r="A126">
        <v>5.9524239999999997</v>
      </c>
      <c r="B126">
        <v>3.4910100000000002</v>
      </c>
    </row>
    <row r="127" spans="1:2">
      <c r="A127">
        <v>0</v>
      </c>
      <c r="B127">
        <v>0</v>
      </c>
    </row>
    <row r="128" spans="1:2">
      <c r="A128">
        <v>0</v>
      </c>
      <c r="B128">
        <v>0</v>
      </c>
    </row>
    <row r="129" spans="1:2">
      <c r="A129">
        <v>6.3123230000000001</v>
      </c>
      <c r="B129">
        <v>3.0698989999999999</v>
      </c>
    </row>
    <row r="130" spans="1:2">
      <c r="A130">
        <v>0</v>
      </c>
      <c r="B130">
        <v>0</v>
      </c>
    </row>
    <row r="131" spans="1:2">
      <c r="A131">
        <v>5.2269690000000004</v>
      </c>
      <c r="B131">
        <v>2.7010100000000001</v>
      </c>
    </row>
    <row r="132" spans="1:2">
      <c r="A132">
        <v>0</v>
      </c>
      <c r="B132">
        <v>0</v>
      </c>
    </row>
    <row r="133" spans="1:2">
      <c r="A133">
        <v>0</v>
      </c>
      <c r="B133">
        <v>0</v>
      </c>
    </row>
    <row r="134" spans="1:2">
      <c r="A134">
        <v>5.1717170000000001</v>
      </c>
      <c r="B134">
        <v>2.3366669999999998</v>
      </c>
    </row>
    <row r="135" spans="1:2">
      <c r="A135">
        <v>0</v>
      </c>
      <c r="B135">
        <v>0</v>
      </c>
    </row>
    <row r="136" spans="1:2">
      <c r="A136">
        <v>5.1208080000000002</v>
      </c>
      <c r="B136">
        <v>2.0362629999999999</v>
      </c>
    </row>
    <row r="137" spans="1:2">
      <c r="A137">
        <v>0</v>
      </c>
      <c r="B137">
        <v>0</v>
      </c>
    </row>
    <row r="138" spans="1:2">
      <c r="A138">
        <v>0</v>
      </c>
      <c r="B138">
        <v>0</v>
      </c>
    </row>
    <row r="139" spans="1:2">
      <c r="A139">
        <v>4.8126259999999998</v>
      </c>
      <c r="B139">
        <v>1.737071</v>
      </c>
    </row>
    <row r="140" spans="1:2">
      <c r="A140">
        <v>0</v>
      </c>
      <c r="B140">
        <v>0</v>
      </c>
    </row>
    <row r="141" spans="1:2">
      <c r="A141">
        <v>0</v>
      </c>
      <c r="B141">
        <v>0</v>
      </c>
    </row>
    <row r="142" spans="1:2">
      <c r="A142">
        <v>4.6212119999999999</v>
      </c>
      <c r="B142">
        <v>1.481717</v>
      </c>
    </row>
    <row r="143" spans="1:2">
      <c r="A143">
        <v>0</v>
      </c>
      <c r="B143">
        <v>0</v>
      </c>
    </row>
    <row r="144" spans="1:2">
      <c r="A144">
        <v>4.3507069999999999</v>
      </c>
      <c r="B144">
        <v>1.217374</v>
      </c>
    </row>
    <row r="145" spans="1:2">
      <c r="A145">
        <v>0</v>
      </c>
      <c r="B145">
        <v>0</v>
      </c>
    </row>
    <row r="146" spans="1:2">
      <c r="A146">
        <v>0</v>
      </c>
      <c r="B146">
        <v>0</v>
      </c>
    </row>
    <row r="147" spans="1:2">
      <c r="A147">
        <v>3.7561610000000001</v>
      </c>
      <c r="B147">
        <v>1.0004040000000001</v>
      </c>
    </row>
    <row r="148" spans="1:2">
      <c r="A148">
        <v>0</v>
      </c>
      <c r="B148">
        <v>0</v>
      </c>
    </row>
    <row r="149" spans="1:2">
      <c r="A149">
        <v>3.7066659999999998</v>
      </c>
      <c r="B149">
        <v>0.837677</v>
      </c>
    </row>
    <row r="150" spans="1:2">
      <c r="A150">
        <v>0</v>
      </c>
      <c r="B150">
        <v>0</v>
      </c>
    </row>
    <row r="151" spans="1:2">
      <c r="A151">
        <v>0</v>
      </c>
      <c r="B151">
        <v>0</v>
      </c>
    </row>
    <row r="152" spans="1:2">
      <c r="A152">
        <v>3.9323229999999998</v>
      </c>
      <c r="B152">
        <v>0.69121200000000005</v>
      </c>
    </row>
    <row r="153" spans="1:2">
      <c r="A153">
        <v>0</v>
      </c>
      <c r="B153">
        <v>0</v>
      </c>
    </row>
    <row r="154" spans="1:2">
      <c r="A154">
        <v>3.5594950000000001</v>
      </c>
      <c r="B154">
        <v>0.54292899999999999</v>
      </c>
    </row>
    <row r="155" spans="1:2">
      <c r="A155">
        <v>0</v>
      </c>
      <c r="B155">
        <v>0</v>
      </c>
    </row>
    <row r="156" spans="1:2">
      <c r="A156">
        <v>0</v>
      </c>
      <c r="B156">
        <v>0</v>
      </c>
    </row>
    <row r="157" spans="1:2">
      <c r="A157">
        <v>4.1570710000000002</v>
      </c>
      <c r="B157">
        <v>0.41414099999999998</v>
      </c>
    </row>
    <row r="158" spans="1:2">
      <c r="A158">
        <v>0</v>
      </c>
      <c r="B158">
        <v>0</v>
      </c>
    </row>
    <row r="159" spans="1:2">
      <c r="A159">
        <v>0</v>
      </c>
      <c r="B159">
        <v>0</v>
      </c>
    </row>
    <row r="160" spans="1:2">
      <c r="A160">
        <v>3.4555560000000001</v>
      </c>
      <c r="B160">
        <v>0.312525</v>
      </c>
    </row>
    <row r="161" spans="1:2">
      <c r="A161">
        <v>0</v>
      </c>
      <c r="B161">
        <v>0</v>
      </c>
    </row>
    <row r="162" spans="1:2">
      <c r="A162">
        <v>2.9605049999999999</v>
      </c>
      <c r="B162">
        <v>0.24565699999999999</v>
      </c>
    </row>
    <row r="163" spans="1:2">
      <c r="A163">
        <v>0</v>
      </c>
      <c r="B163">
        <v>0</v>
      </c>
    </row>
    <row r="164" spans="1:2">
      <c r="A164">
        <v>0</v>
      </c>
      <c r="B164">
        <v>0</v>
      </c>
    </row>
    <row r="165" spans="1:2">
      <c r="A165">
        <v>2.8147479999999998</v>
      </c>
      <c r="B165">
        <v>0.180505</v>
      </c>
    </row>
    <row r="166" spans="1:2">
      <c r="A166">
        <v>0</v>
      </c>
      <c r="B166">
        <v>0</v>
      </c>
    </row>
    <row r="167" spans="1:2">
      <c r="A167">
        <v>2.662121</v>
      </c>
      <c r="B167">
        <v>0.125253</v>
      </c>
    </row>
    <row r="168" spans="1:2">
      <c r="A168">
        <v>0</v>
      </c>
      <c r="B168">
        <v>0</v>
      </c>
    </row>
    <row r="169" spans="1:2">
      <c r="A169">
        <v>0</v>
      </c>
      <c r="B169">
        <v>0</v>
      </c>
    </row>
    <row r="170" spans="1:2">
      <c r="A170">
        <v>2.5094949999999998</v>
      </c>
      <c r="B170">
        <v>8.7273000000000003E-2</v>
      </c>
    </row>
    <row r="171" spans="1:2">
      <c r="A171">
        <v>0</v>
      </c>
      <c r="B171">
        <v>0</v>
      </c>
    </row>
    <row r="172" spans="1:2">
      <c r="A172">
        <v>0</v>
      </c>
      <c r="B172">
        <v>5.0201999999999997E-2</v>
      </c>
    </row>
    <row r="173" spans="1:2">
      <c r="A173">
        <v>1.685354</v>
      </c>
      <c r="B173">
        <v>0</v>
      </c>
    </row>
    <row r="174" spans="1:2">
      <c r="A174">
        <v>0</v>
      </c>
      <c r="B174">
        <v>0</v>
      </c>
    </row>
    <row r="175" spans="1:2">
      <c r="A175">
        <v>1.186566</v>
      </c>
      <c r="B175">
        <v>3.202E-2</v>
      </c>
    </row>
    <row r="176" spans="1:2">
      <c r="A176">
        <v>0</v>
      </c>
      <c r="B176">
        <v>0</v>
      </c>
    </row>
    <row r="177" spans="1:2">
      <c r="A177">
        <v>0</v>
      </c>
      <c r="B177">
        <v>0</v>
      </c>
    </row>
    <row r="178" spans="1:2">
      <c r="A178">
        <v>1.028081</v>
      </c>
      <c r="B178">
        <v>1.9091E-2</v>
      </c>
    </row>
    <row r="179" spans="1:2">
      <c r="A179">
        <v>0</v>
      </c>
      <c r="B179">
        <v>0</v>
      </c>
    </row>
    <row r="180" spans="1:2">
      <c r="A180">
        <v>0.74757600000000002</v>
      </c>
      <c r="B180">
        <v>1.2423999999999999E-2</v>
      </c>
    </row>
    <row r="181" spans="1:2">
      <c r="A181">
        <v>0</v>
      </c>
      <c r="B181">
        <v>0</v>
      </c>
    </row>
    <row r="182" spans="1:2">
      <c r="A182">
        <v>0</v>
      </c>
      <c r="B182">
        <v>0</v>
      </c>
    </row>
    <row r="183" spans="1:2">
      <c r="A183">
        <v>0.440909</v>
      </c>
      <c r="B183">
        <v>5.0509999999999999E-3</v>
      </c>
    </row>
    <row r="184" spans="1:2">
      <c r="A184">
        <v>0</v>
      </c>
      <c r="B184">
        <v>0</v>
      </c>
    </row>
    <row r="185" spans="1:2">
      <c r="A185">
        <v>0.35313099999999997</v>
      </c>
      <c r="B185">
        <v>3.6359999999999999E-3</v>
      </c>
    </row>
    <row r="186" spans="1:2">
      <c r="A186">
        <v>0</v>
      </c>
      <c r="B186">
        <v>0</v>
      </c>
    </row>
    <row r="187" spans="1:2">
      <c r="A187">
        <v>0</v>
      </c>
      <c r="B187">
        <v>0</v>
      </c>
    </row>
    <row r="188" spans="1:2">
      <c r="A188">
        <v>0.26171699999999998</v>
      </c>
      <c r="B188">
        <v>2.5249999999999999E-3</v>
      </c>
    </row>
    <row r="189" spans="1:2">
      <c r="A189">
        <v>0</v>
      </c>
      <c r="B189">
        <v>0</v>
      </c>
    </row>
    <row r="190" spans="1:2">
      <c r="A190">
        <v>0</v>
      </c>
      <c r="B190">
        <v>0</v>
      </c>
    </row>
    <row r="191" spans="1:2">
      <c r="A191">
        <v>0.14565700000000001</v>
      </c>
      <c r="B191">
        <v>1.01E-3</v>
      </c>
    </row>
    <row r="192" spans="1:2">
      <c r="A192">
        <v>0</v>
      </c>
      <c r="B192">
        <v>0</v>
      </c>
    </row>
    <row r="193" spans="1:2">
      <c r="A193">
        <v>5.4141000000000002E-2</v>
      </c>
      <c r="B193">
        <v>4.0400000000000001E-4</v>
      </c>
    </row>
    <row r="194" spans="1:2">
      <c r="A194">
        <v>0</v>
      </c>
      <c r="B194">
        <v>0</v>
      </c>
    </row>
    <row r="195" spans="1:2">
      <c r="A195">
        <v>0</v>
      </c>
      <c r="B195">
        <v>0</v>
      </c>
    </row>
    <row r="196" spans="1:2">
      <c r="A196">
        <v>3.5353999999999997E-2</v>
      </c>
      <c r="B196">
        <v>2.02E-4</v>
      </c>
    </row>
    <row r="197" spans="1:2">
      <c r="A197">
        <v>0</v>
      </c>
      <c r="B197">
        <v>0</v>
      </c>
    </row>
    <row r="198" spans="1:2">
      <c r="A198">
        <v>1.8182E-2</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-1.44161994310716
-1.44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-1.4416199431071599</v>
      </c>
      <c r="I4" s="322">
        <f>IF(Measurement!AQ7&lt;&gt;"",NORMSDIST((H6-$B$2)/$B$3)*100,"")</f>
        <v>32.925350154541491</v>
      </c>
      <c r="J4" t="str">
        <f>Measurement!AR7</f>
        <v>주의</v>
      </c>
    </row>
    <row r="5" spans="1:11">
      <c r="B5" s="171">
        <v>-10</v>
      </c>
      <c r="C5" s="171">
        <f>NORMSDIST(($B5-$B$2)/$B$3)*100</f>
        <v>7.1097265868555281E-5</v>
      </c>
      <c r="G5" t="s">
        <v>1539</v>
      </c>
      <c r="H5" s="320">
        <f>IF(Measurement!AQ7&lt;-7,-7,Measurement!AQ7)</f>
        <v>-1.4416199431071599</v>
      </c>
      <c r="I5" s="321">
        <f>IF(Measurement!AQ7&lt;&gt;"",0,"")</f>
        <v>0</v>
      </c>
    </row>
    <row r="6" spans="1:11">
      <c r="B6" s="171">
        <f>B5+0.1</f>
        <v>-9.9</v>
      </c>
      <c r="C6" s="171">
        <f t="shared" ref="C6:C57" si="0">NORMSDIST(($B6-$B$2)/$B$3)*100</f>
        <v>9.1781224195367343E-5</v>
      </c>
      <c r="H6" s="320">
        <f>IF(Measurement!AQ7&lt;-7,-7,Measurement!AQ7)</f>
        <v>-1.4416199431071599</v>
      </c>
      <c r="I6" s="321">
        <f>IF(Measurement!AQ7&lt;&gt;"",NORMSDIST((H6-$B$2)/$B$3)*100,"")</f>
        <v>32.925350154541491</v>
      </c>
    </row>
    <row r="7" spans="1:11">
      <c r="B7" s="171">
        <f t="shared" ref="B7:B70" si="1">B6+0.1</f>
        <v>-9.8000000000000007</v>
      </c>
      <c r="C7" s="171">
        <f t="shared" si="0"/>
        <v>1.1818368021892541E-4</v>
      </c>
      <c r="D7" s="171"/>
      <c r="H7" s="320">
        <f>IF(Measurement!AQ7&lt;&gt;"",-7,"")</f>
        <v>-7</v>
      </c>
      <c r="I7" s="321">
        <f>IF(Measurement!AQ7&lt;&gt;"",NORMSDIST((H6-$B$2)/$B$3)*100,"")</f>
        <v>32.925350154541491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28.4</v>
      </c>
      <c r="V4" t="s">
        <v>1218</v>
      </c>
    </row>
    <row r="5" spans="1:29">
      <c r="B5" s="171">
        <v>0</v>
      </c>
      <c r="C5" s="171">
        <f>NORMSDIST(($B5-$B$2)/$B$3)*100</f>
        <v>1.2153167836658598</v>
      </c>
      <c r="H5">
        <f>info!W36</f>
        <v>28.401699999999998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28.401699999999998</v>
      </c>
      <c r="I6" s="171">
        <f>NORMSDIST((H6-$B$2)/$B$3)*100</f>
        <v>16.530239808456081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16.530239808456081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1.87862</v>
      </c>
    </row>
    <row r="3" spans="1:11" ht="18">
      <c r="A3" s="71" t="s">
        <v>1065</v>
      </c>
      <c r="B3" s="557">
        <v>0.71290976993199895</v>
      </c>
      <c r="C3" s="523"/>
      <c r="H3" s="561" t="s">
        <v>2223</v>
      </c>
      <c r="I3" s="562">
        <f>IF(I2=0,0,NORMSDIST((I2-$B$2)/$B$3)*100)</f>
        <v>48.803760594727144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1.88</v>
      </c>
    </row>
    <row r="6" spans="1:11">
      <c r="B6" s="23">
        <v>0</v>
      </c>
      <c r="C6" s="23">
        <f>NORMSDIST(($B6-$B$2)/$B$3)*100</f>
        <v>0.38478836223957635</v>
      </c>
      <c r="H6" s="205">
        <f>IF(info!V36&gt;I1,I1,info!V36)</f>
        <v>1.87862</v>
      </c>
      <c r="I6" s="560">
        <v>0</v>
      </c>
    </row>
    <row r="7" spans="1:11">
      <c r="B7" s="23">
        <f>B5+0.05</f>
        <v>0</v>
      </c>
      <c r="C7" s="23">
        <f t="shared" ref="C7:E58" si="0">NORMSDIST(($B7-$B$2)/$B$3)*100</f>
        <v>0.38478836223957635</v>
      </c>
      <c r="H7" s="205">
        <f>IF(info!V36&gt;I1,I1,info!V36)</f>
        <v>1.87862</v>
      </c>
      <c r="I7" s="560">
        <f>NORMSDIST((H7-$B$2)/$B$3)*100</f>
        <v>48.803760594727144</v>
      </c>
    </row>
    <row r="8" spans="1:11">
      <c r="B8" s="23">
        <f t="shared" ref="B8:B71" si="1">B7+0.05</f>
        <v>0.05</v>
      </c>
      <c r="C8" s="23">
        <f t="shared" si="0"/>
        <v>0.47295624138584591</v>
      </c>
      <c r="D8" s="171"/>
      <c r="H8" s="205">
        <v>0</v>
      </c>
      <c r="I8" s="560">
        <f>NORMSDIST((H7-$B$2)/$B$3)*100</f>
        <v>48.803760594727144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1.87862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1.87862</v>
      </c>
      <c r="I6" s="171">
        <f>NORMSDIST((H6-$B$2)/$B$3)*100</f>
        <v>6.314580795889041E-2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6.314580795889041E-2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45854.571585648147</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geUC</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45854.571585648147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geUC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