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Uuxk^2^58^\"/>
    </mc:Choice>
  </mc:AlternateContent>
  <xr:revisionPtr revIDLastSave="0" documentId="13_ncr:1_{75ECF65D-99A6-4C16-AA50-D15399C0324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7"/>
  <c r="L8" i="41"/>
  <c r="L8" i="45"/>
  <c r="L8" i="40"/>
  <c r="L8" i="44"/>
  <c r="L7" i="30"/>
  <c r="H8" i="33"/>
  <c r="Q8" i="36"/>
  <c r="L7" i="38"/>
  <c r="H8" i="39"/>
  <c r="Q8" i="40"/>
  <c r="L7" i="42"/>
  <c r="Q8" i="44"/>
  <c r="L7" i="46"/>
  <c r="L8" i="3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8" i="1"/>
  <c r="I33" i="48" s="1"/>
  <c r="L16" i="1"/>
  <c r="I41" i="48" s="1"/>
  <c r="L7" i="1"/>
  <c r="I32" i="48" s="1"/>
  <c r="L15" i="1"/>
  <c r="I40" i="48" s="1"/>
  <c r="L10" i="1"/>
  <c r="I35" i="48" s="1"/>
  <c r="L9" i="1"/>
  <c r="I34"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1" i="1" l="1"/>
  <c r="Y8" i="1"/>
  <c r="Y10" i="1"/>
  <c r="A212" i="17"/>
  <c r="C211" i="17"/>
  <c r="B211" i="17" s="1"/>
  <c r="Y9" i="1" s="1"/>
  <c r="F209" i="11"/>
  <c r="B209" i="11"/>
  <c r="E209" i="11" s="1"/>
  <c r="A210" i="11"/>
  <c r="L34" i="48" l="1"/>
  <c r="L34" i="18"/>
  <c r="L35" i="48"/>
  <c r="L35" i="18"/>
  <c r="L33" i="48"/>
  <c r="L33" i="18"/>
  <c r="L36" i="48"/>
  <c r="L36" i="18"/>
  <c r="C212" i="17"/>
  <c r="B212" i="17" s="1"/>
  <c r="A213" i="17"/>
  <c r="F210" i="11"/>
  <c r="B210" i="11"/>
  <c r="E210" i="11" s="1"/>
  <c r="A211" i="11"/>
  <c r="Y14" i="1" l="1"/>
  <c r="Y16" i="1"/>
  <c r="Y7" i="1"/>
  <c r="C213" i="17"/>
  <c r="B213" i="17" s="1"/>
  <c r="Y13" i="1" s="1"/>
  <c r="A214" i="17"/>
  <c r="F211" i="11"/>
  <c r="A212" i="11"/>
  <c r="B211" i="11"/>
  <c r="E211" i="11" s="1"/>
  <c r="L38" i="48" l="1"/>
  <c r="L38" i="18"/>
  <c r="L32" i="48"/>
  <c r="L32" i="18"/>
  <c r="L41" i="48"/>
  <c r="L41" i="18"/>
  <c r="L39" i="48"/>
  <c r="L39"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K15" i="18" l="1"/>
  <c r="CH10" i="1"/>
  <c r="CK10" i="1"/>
  <c r="CG18" i="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AX18" i="11" s="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<sst xmlns="http://schemas.openxmlformats.org/spreadsheetml/2006/main" count="7299" uniqueCount="2573">
  <si>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</si>
  <si>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</si>
  <si>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</si>
  <si>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</si>
  <si>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</si>
  <si>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</si>
  <si>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</si>
  <si>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</si>
  <si>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</si>
  <si>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</si>
  <si>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</si>
  <si>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</si>
  <si>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</si>
  <si>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</si>
  <si>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</si>
  <si>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</si>
  <si>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</si>
  <si>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</si>
  <si>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</si>
  <si>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</si>
  <si>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</si>
  <si>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</si>
  <si>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</si>
  <si>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</si>
  <si>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</si>
  <si>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</si>
  <si>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</si>
  <si>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</si>
  <si>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</si>
  <si>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</si>
  <si>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</si>
  <si>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</si>
  <si>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</si>
  <si>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</si>
  <si>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</si>
  <si>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</si>
  <si>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</si>
  <si>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</si>
  <si>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</si>
  <si>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</si>
  <si>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</si>
  <si>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</si>
  <si>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</si>
  <si>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</si>
  <si>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</si>
  <si>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</si>
  <si>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</si>
  <si>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</si>
  <si>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</si>
  <si>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</si>
  <si>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</si>
  <si>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</si>
  <si>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</si>
  <si>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</si>
  <si>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</si>
  <si>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</si>
  <si>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</si>
  <si>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</si>
  <si>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</si>
  <si>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</si>
  <si>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</si>
  <si>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</si>
  <si>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</si>
  <si>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</si>
  <si>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</si>
  <si>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</si>
  <si>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</si>
  <si>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</si>
  <si>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</si>
  <si>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</si>
  <si>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</si>
  <si>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</si>
  <si>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</si>
  <si>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</si>
  <si>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</si>
  <si>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</si>
  <si>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</si>
  <si>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</si>
  <si>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</si>
  <si>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</si>
  <si>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</si>
  <si>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</si>
  <si>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</si>
  <si>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</si>
  <si>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</si>
  <si>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</si>
  <si>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</si>
  <si>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</si>
  <si>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</si>
  <si>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</si>
  <si>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</si>
  <si>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</si>
  <si>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</si>
  <si>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</si>
  <si>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</si>
  <si>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</si>
  <si>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</si>
  <si>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</si>
  <si>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</si>
  <si>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</si>
  <si>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</si>
  <si>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</si>
  <si>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</si>
  <si>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</si>
  <si>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</si>
  <si>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</si>
  <si>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</si>
  <si>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</si>
  <si>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</si>
  <si>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</si>
  <si>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</si>
  <si>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</si>
  <si>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</si>
  <si>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</si>
  <si>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</si>
  <si>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</si>
  <si>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</si>
  <si>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</si>
  <si>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</si>
  <si>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</si>
  <si>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</si>
  <si>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</si>
  <si>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</si>
  <si>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</si>
  <si>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</si>
  <si>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</si>
  <si>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</si>
  <si>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</si>
  <si>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</si>
  <si>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</si>
  <si>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</si>
  <si>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</si>
  <si>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</si>
  <si>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</si>
  <si>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</si>
  <si>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</si>
  <si>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</si>
  <si>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</si>
  <si>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</si>
  <si>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</si>
  <si>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</si>
  <si>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</si>
  <si>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</si>
  <si>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</si>
  <si>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</si>
  <si>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</si>
  <si>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</si>
  <si>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</si>
  <si>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</si>
  <si>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</si>
  <si>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</si>
  <si>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</si>
  <si>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</si>
  <si>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</si>
  <si>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</si>
  <si>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</si>
  <si>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</si>
  <si>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</si>
  <si>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</si>
  <si>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</si>
  <si>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</si>
  <si>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</si>
  <si>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</si>
  <si>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</si>
  <si>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</si>
  <si>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</si>
  <si>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</si>
  <si>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</si>
  <si>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</si>
  <si>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</si>
  <si>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</si>
  <si>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</si>
  <si>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</si>
  <si>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</si>
  <si>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</si>
  <si>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</si>
  <si>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</si>
  <si>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</si>
  <si>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</si>
  <si>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</si>
  <si>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</si>
  <si>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</si>
  <si>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</si>
  <si>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</si>
  <si>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</si>
  <si>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</si>
  <si>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</si>
  <si>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</si>
  <si>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</si>
  <si>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</si>
  <si>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</si>
  <si>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</si>
  <si>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</si>
  <si>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</si>
  <si>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</si>
  <si>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</si>
  <si>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</si>
  <si>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</si>
  <si>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</si>
  <si>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</si>
  <si>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</si>
  <si>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</si>
  <si>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</si>
  <si>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</si>
  <si>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</si>
  <si>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</si>
  <si>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</si>
  <si>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</si>
  <si>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</si>
  <si>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</si>
  <si>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</si>
  <si>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</si>
  <si>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</si>
  <si>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</si>
  <si>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</si>
  <si>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</si>
  <si>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</si>
  <si>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</si>
  <si>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</si>
  <si>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</si>
  <si>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</si>
  <si>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</si>
  <si>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</si>
  <si>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</si>
  <si>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</si>
  <si>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</si>
  <si>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</si>
  <si>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</si>
  <si>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</si>
  <si>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</si>
  <si>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</si>
  <si>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</si>
  <si>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</si>
  <si>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</si>
  <si>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</si>
  <si>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</si>
  <si>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</si>
  <si>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</si>
  <si>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</si>
  <si>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</si>
  <si>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</si>
  <si>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</si>
  <si>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</si>
  <si>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</si>
  <si>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</si>
  <si>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</si>
  <si>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</si>
  <si>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</si>
  <si>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</si>
  <si>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</si>
  <si>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</si>
  <si>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</si>
  <si>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</si>
  <si>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</si>
  <si>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</si>
  <si>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</si>
  <si>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</si>
  <si>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</si>
  <si>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</si>
  <si>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</si>
  <si>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</si>
  <si>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</si>
  <si>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</si>
  <si>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</si>
  <si>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</si>
  <si>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</si>
  <si>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</si>
  <si>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</si>
  <si>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</si>
  <si>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</si>
  <si>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</si>
  <si>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</si>
  <si>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</si>
  <si>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</si>
  <si>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</si>
  <si>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</si>
  <si>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</si>
  <si>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</si>
  <si>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</si>
  <si>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</si>
  <si>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</si>
  <si>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</si>
  <si>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</si>
  <si>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</si>
  <si>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</si>
  <si>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</si>
  <si>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</si>
  <si>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</si>
  <si>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</si>
  <si>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</si>
  <si>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</si>
  <si>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</si>
  <si>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</si>
  <si>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</si>
  <si>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</si>
  <si>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</si>
  <si>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</si>
  <si>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</si>
  <si>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</si>
  <si>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</si>
  <si>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</si>
  <si>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</si>
  <si>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</si>
  <si>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</si>
  <si>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</si>
  <si>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</si>
  <si>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</si>
  <si>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</si>
  <si>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</si>
  <si>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</si>
  <si>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</si>
  <si>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</si>
  <si>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</si>
  <si>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</si>
  <si>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</si>
  <si>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</si>
  <si>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</si>
  <si>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</si>
  <si>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</si>
  <si>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</si>
  <si>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</si>
  <si>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</si>
  <si>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</si>
  <si>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</si>
  <si>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</si>
  <si>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</si>
  <si>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</si>
  <si>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</si>
  <si>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</si>
  <si>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</si>
  <si>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</si>
  <si>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</si>
  <si>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</si>
  <si>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</si>
  <si>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</si>
  <si>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</si>
  <si>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</si>
  <si>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</si>
  <si>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</si>
  <si>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</si>
  <si>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</si>
  <si>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</si>
  <si>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</si>
  <si>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</si>
  <si>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</si>
  <si>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</si>
  <si>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</si>
  <si>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</si>
  <si>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</si>
  <si>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</si>
  <si>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</si>
  <si>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</si>
  <si>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</si>
  <si>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</si>
  <si>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</si>
  <si>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</si>
  <si>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</si>
  <si>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</si>
  <si>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</si>
  <si>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</si>
  <si>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</si>
  <si>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</si>
  <si>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</si>
  <si>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</si>
  <si>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</si>
  <si>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</si>
  <si>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</si>
  <si>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</si>
  <si>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</si>
  <si>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</si>
  <si>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</si>
  <si>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</si>
  <si>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</si>
  <si>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</si>
  <si>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</si>
  <si>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</si>
  <si>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</si>
  <si>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</si>
  <si>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</si>
  <si>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</si>
  <si>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</si>
  <si>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</si>
  <si>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</si>
  <si>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</si>
  <si>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</si>
  <si>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</si>
  <si>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</si>
  <si>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</si>
  <si>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</si>
  <si>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</si>
  <si>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</si>
  <si>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</si>
  <si>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</si>
  <si>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</si>
  <si>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</si>
  <si>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</si>
  <si>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</si>
  <si>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</si>
  <si>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</si>
  <si>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</si>
  <si>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</si>
  <si>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</si>
  <si>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</si>
  <si>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</si>
  <si>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</si>
  <si>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</si>
  <si>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</si>
  <si>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</si>
  <si>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</si>
  <si>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</si>
  <si>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</si>
  <si>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</si>
  <si>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</si>
  <si>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</si>
  <si>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</si>
  <si>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</si>
  <si>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</si>
  <si>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</si>
  <si>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</si>
  <si>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</si>
  <si>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</si>
  <si>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</si>
  <si>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</si>
  <si>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</si>
  <si>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</si>
  <si>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</si>
  <si>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</si>
  <si>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</si>
  <si>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</si>
  <si>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</si>
  <si>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</si>
  <si>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</si>
  <si>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</si>
  <si>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</si>
  <si>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</si>
  <si>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</si>
  <si>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</si>
  <si>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</si>
  <si>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</si>
  <si>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</si>
  <si>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</si>
  <si>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</si>
  <si>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</si>
  <si>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</si>
  <si>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</si>
  <si>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</si>
  <si>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</si>
  <si>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</si>
  <si>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</si>
  <si>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</si>
  <si>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</si>
  <si>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</si>
  <si>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</si>
  <si>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</si>
  <si>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</si>
  <si>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</si>
  <si>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</si>
  <si>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</si>
  <si>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</si>
  <si>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</si>
  <si>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</si>
  <si>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</si>
  <si>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</si>
  <si>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</si>
  <si>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</si>
  <si>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</si>
  <si>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</si>
  <si>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</si>
  <si>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</si>
  <si>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</si>
  <si>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</si>
  <si>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</si>
  <si>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</si>
  <si>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</si>
  <si>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</si>
  <si>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</si>
  <si>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</si>
  <si>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</si>
  <si>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</si>
  <si>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</si>
  <si>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</si>
  <si>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</si>
  <si>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</si>
  <si>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</si>
  <si>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</si>
  <si>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</si>
  <si>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</si>
  <si>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</si>
  <si>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</si>
  <si>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</si>
  <si>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</si>
  <si>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</si>
  <si>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</si>
  <si>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</si>
  <si>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</si>
  <si>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</si>
  <si>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</si>
  <si>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</si>
  <si>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</si>
  <si>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</si>
  <si>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</si>
  <si>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</si>
  <si>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</si>
  <si>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</si>
  <si>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</si>
  <si>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</si>
  <si>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</si>
  <si>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</si>
  <si>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</si>
  <si>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</si>
  <si>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</si>
  <si>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</si>
  <si>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</si>
  <si>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</si>
  <si>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</si>
  <si>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</si>
  <si>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</si>
  <si>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</si>
  <si>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</si>
  <si>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</si>
  <si>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</si>
  <si>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</si>
  <si>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</si>
  <si>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</si>
  <si>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</si>
  <si>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</si>
  <si>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</si>
  <si>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</si>
  <si>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</si>
  <si>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</si>
  <si>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</si>
  <si>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</si>
  <si>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</si>
  <si>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</si>
  <si>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</si>
  <si>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</si>
  <si>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</si>
  <si>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</si>
  <si>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</si>
  <si>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</si>
  <si>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</si>
  <si>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</si>
  <si>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</si>
  <si>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</si>
  <si>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</si>
  <si>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</si>
  <si>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</si>
  <si>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</si>
  <si>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</si>
  <si>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</si>
  <si>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</si>
  <si>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</si>
  <si>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</si>
  <si>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</si>
  <si>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</si>
  <si>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</si>
  <si>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</si>
  <si>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</si>
  <si>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</si>
  <si>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</si>
  <si>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</si>
  <si>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</si>
  <si>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</si>
  <si>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</si>
  <si>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</si>
  <si>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</si>
  <si>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</si>
  <si>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</si>
  <si>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</si>
  <si>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</si>
  <si>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</si>
  <si>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</si>
  <si>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</si>
  <si>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</si>
  <si>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</si>
  <si>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</si>
  <si>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</si>
  <si>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</si>
  <si>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</si>
  <si>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</si>
  <si>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</si>
  <si>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</si>
  <si>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</si>
  <si>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</si>
  <si>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</si>
  <si>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</si>
  <si>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</si>
  <si>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</si>
  <si>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</si>
  <si>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</si>
  <si>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</si>
  <si>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</si>
  <si>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</si>
  <si>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</si>
  <si>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</si>
  <si>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</si>
  <si>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</si>
  <si>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</si>
  <si>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</si>
  <si>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</si>
  <si>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</si>
  <si>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</si>
  <si>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</si>
  <si>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</si>
  <si>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</si>
  <si>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</si>
  <si>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</si>
  <si>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</si>
  <si>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</si>
  <si>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</si>
  <si>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</si>
  <si>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</si>
  <si>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</si>
  <si>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</si>
  <si>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</si>
  <si>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</si>
  <si>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</si>
  <si>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</si>
  <si>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</si>
  <si>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</si>
  <si>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</si>
  <si>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</si>
  <si>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</si>
  <si>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</si>
  <si>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</si>
  <si>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</si>
  <si>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</si>
  <si>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</si>
  <si>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</si>
  <si>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</si>
  <si>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</si>
  <si>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</si>
  <si>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</si>
  <si>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</si>
  <si>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</si>
  <si>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</si>
  <si>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</si>
  <si>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</si>
  <si>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</si>
  <si>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</si>
  <si>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</si>
  <si>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</si>
  <si>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</si>
  <si>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</si>
  <si>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</si>
  <si>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</si>
  <si>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</si>
  <si>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</si>
  <si>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</si>
  <si>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</si>
  <si>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</si>
  <si>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</si>
  <si>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</si>
  <si>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</si>
  <si>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</si>
  <si>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</si>
  <si>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</si>
  <si>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</si>
  <si>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</si>
  <si>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</si>
  <si>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</si>
  <si>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</si>
  <si>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</si>
  <si>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</si>
  <si>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</si>
  <si>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</si>
  <si>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</si>
  <si>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</si>
  <si>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</si>
  <si>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</si>
  <si>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</si>
  <si>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</si>
  <si>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</si>
  <si>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</si>
  <si>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</si>
  <si>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</si>
  <si>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</si>
  <si>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</si>
  <si>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</si>
  <si>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</si>
  <si>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</si>
  <si>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</si>
  <si>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</si>
  <si>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</si>
  <si>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</si>
  <si>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</si>
  <si>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</si>
  <si>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</si>
  <si>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</si>
  <si>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</si>
  <si>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</si>
  <si>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</si>
  <si>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</si>
  <si>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</si>
  <si>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</si>
  <si>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</si>
  <si>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</si>
  <si>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</si>
  <si>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</si>
  <si>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</si>
  <si>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</si>
  <si>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</si>
  <si>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</si>
  <si>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</si>
  <si>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</si>
  <si>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</si>
  <si>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</si>
  <si>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</si>
  <si>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</si>
  <si>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</si>
  <si>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</si>
  <si>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</si>
  <si>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</si>
  <si>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</si>
  <si>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</si>
  <si>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</si>
  <si>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</si>
  <si>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</si>
  <si>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</si>
  <si>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</si>
  <si>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</si>
  <si>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</si>
  <si>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</si>
  <si>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</si>
  <si>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</si>
  <si>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</si>
  <si>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</si>
  <si>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</si>
  <si>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</si>
  <si>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</si>
  <si>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</si>
  <si>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</si>
  <si>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</si>
  <si>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</si>
  <si>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</si>
  <si>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</si>
  <si>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</si>
  <si>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</si>
  <si>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</si>
  <si>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</si>
  <si>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</si>
  <si>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</si>
  <si>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</si>
  <si>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</si>
  <si>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</si>
  <si>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</si>
  <si>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</si>
  <si>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</si>
  <si>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</si>
  <si>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</si>
  <si>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</si>
  <si>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</si>
  <si>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</si>
  <si>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</si>
  <si>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</si>
  <si>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</si>
  <si>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</si>
  <si>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</si>
  <si>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</si>
  <si>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</si>
  <si>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</si>
  <si>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</si>
  <si>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</si>
  <si>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</si>
  <si>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</si>
  <si>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</si>
  <si>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</si>
  <si>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</si>
  <si>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</si>
  <si>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</si>
  <si>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</si>
  <si>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</si>
  <si>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</si>
  <si>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</si>
  <si>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</si>
  <si>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</si>
  <si>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</si>
  <si>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</si>
  <si>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</si>
  <si>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</si>
  <si>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</si>
  <si>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</si>
  <si>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</si>
  <si>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</si>
  <si>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</si>
  <si>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</si>
  <si>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</si>
  <si>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</si>
  <si>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</si>
  <si>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</si>
  <si>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</si>
  <si>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</si>
  <si>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</si>
  <si>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</si>
  <si>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</si>
  <si>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</si>
  <si>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</si>
  <si>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</si>
  <si>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</si>
  <si>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</si>
  <si>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</si>
  <si>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</si>
  <si>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</si>
  <si>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</si>
  <si>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</si>
  <si>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</si>
  <si>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</si>
  <si>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</si>
  <si>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</si>
  <si>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</si>
  <si>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</si>
  <si>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</si>
  <si>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</si>
  <si>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</si>
  <si>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</si>
  <si>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</si>
  <si>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</si>
  <si>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</si>
  <si>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</si>
  <si>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</si>
  <si>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</si>
  <si>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</si>
  <si>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</si>
  <si>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</si>
  <si>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</si>
  <si>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</si>
  <si>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</si>
  <si>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</si>
  <si>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</si>
  <si>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</si>
  <si>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</si>
  <si>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</si>
  <si>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</si>
  <si>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</si>
  <si>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</si>
  <si>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</si>
  <si>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</si>
  <si>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</si>
  <si>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</si>
  <si>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</si>
  <si>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</si>
  <si>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</si>
  <si>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</si>
  <si>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</si>
  <si>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</si>
  <si>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</si>
  <si>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</si>
  <si>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</si>
  <si>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</si>
  <si>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</si>
  <si>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</si>
  <si>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</si>
  <si>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</si>
  <si>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</si>
  <si>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</si>
  <si>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</si>
  <si>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</si>
  <si>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</si>
  <si>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</si>
  <si>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</si>
  <si>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</si>
  <si>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</si>
  <si>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</si>
  <si>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</si>
  <si>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</si>
  <si>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</si>
  <si>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</si>
  <si>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</si>
  <si>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</si>
  <si>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</si>
  <si>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</si>
  <si>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</si>
  <si>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</si>
  <si>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</si>
  <si>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</si>
  <si>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</si>
  <si>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</si>
  <si>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</si>
  <si>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</si>
  <si>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</si>
  <si>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</si>
  <si>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</si>
  <si>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</si>
  <si>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</si>
  <si>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</si>
  <si>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</si>
  <si>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</si>
  <si>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</si>
  <si>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</si>
  <si>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</si>
  <si>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</si>
  <si>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</si>
  <si>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</si>
  <si>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</si>
  <si>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</si>
  <si>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</si>
  <si>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</si>
  <si>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</si>
  <si>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</si>
  <si>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</si>
  <si>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</si>
  <si>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</si>
  <si>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</si>
  <si>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</si>
  <si>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</si>
  <si>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</si>
  <si>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</si>
  <si>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</si>
  <si>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</si>
  <si>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</si>
  <si>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</si>
  <si>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</si>
  <si>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</si>
  <si>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</si>
  <si>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</si>
  <si>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</si>
  <si>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</si>
  <si>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</si>
  <si>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</si>
  <si>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</si>
  <si>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</si>
  <si>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</si>
  <si>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</si>
  <si>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</si>
  <si>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</si>
  <si>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</si>
  <si>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</si>
  <si>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</si>
  <si>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</si>
  <si>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</si>
  <si>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</si>
  <si>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</si>
  <si>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</si>
  <si>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</si>
  <si>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</si>
  <si>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</si>
  <si>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</si>
  <si>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</si>
  <si>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</si>
  <si>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</si>
  <si>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</si>
  <si>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</si>
  <si>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</si>
  <si>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</si>
  <si>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</si>
  <si>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</si>
  <si>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</si>
  <si>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</si>
  <si>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</si>
  <si>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</si>
  <si>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</si>
  <si>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</si>
  <si>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</si>
  <si>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</si>
  <si>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</si>
  <si>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</si>
  <si>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</si>
  <si>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</si>
  <si>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</si>
  <si>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</si>
  <si>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</si>
  <si>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</si>
  <si>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</si>
  <si>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</si>
  <si>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</si>
  <si>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</si>
  <si>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</si>
  <si>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</si>
  <si>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</si>
  <si>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</si>
  <si>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</si>
  <si>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</si>
  <si>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</si>
  <si>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</si>
  <si>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</si>
  <si>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</si>
  <si>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</si>
  <si>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</si>
  <si>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</si>
  <si>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</si>
  <si>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</si>
  <si>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</si>
  <si>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</si>
  <si>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</si>
  <si>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</si>
  <si>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</si>
  <si>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</si>
  <si>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</si>
  <si>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</si>
  <si>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</si>
  <si>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</si>
  <si>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</si>
  <si>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</si>
  <si>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</si>
  <si>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</si>
  <si>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</si>
  <si>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</si>
  <si>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</si>
  <si>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</si>
  <si>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</si>
  <si>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</si>
  <si>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</si>
  <si>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</si>
  <si>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</si>
  <si>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</si>
  <si>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</si>
  <si>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</si>
  <si>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</si>
  <si>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</si>
  <si>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</si>
  <si>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</si>
  <si>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</si>
  <si>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</si>
  <si>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</si>
  <si>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</si>
  <si>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</si>
  <si>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</si>
  <si>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</si>
  <si>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</si>
  <si>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</si>
  <si>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</si>
  <si>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</si>
  <si>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</si>
  <si>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</si>
  <si>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</si>
  <si>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</si>
  <si>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</si>
  <si>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</si>
  <si>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</si>
  <si>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</si>
  <si>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</si>
  <si>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</si>
  <si>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</si>
  <si>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</si>
  <si>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</si>
  <si>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</si>
  <si>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</si>
  <si>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</si>
  <si>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</si>
  <si>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</si>
  <si>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</si>
  <si>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</si>
  <si>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</si>
  <si>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</si>
  <si>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</si>
  <si>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</si>
  <si>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</si>
  <si>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</si>
  <si>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</si>
  <si>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</si>
  <si>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</si>
  <si>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</si>
  <si>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</si>
  <si>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</si>
  <si>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</si>
  <si>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</si>
  <si>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</si>
  <si>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</si>
  <si>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</si>
  <si>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</si>
  <si>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</si>
  <si>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</si>
  <si>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</si>
  <si>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</si>
  <si>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</si>
  <si>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</si>
  <si>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</si>
  <si>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</si>
  <si>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</si>
  <si>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</si>
  <si>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</si>
  <si>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</si>
  <si>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</si>
  <si>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</si>
  <si>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</si>
  <si>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</si>
  <si>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</si>
  <si>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</si>
  <si>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</si>
  <si>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</si>
  <si>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</si>
  <si>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</si>
  <si>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</si>
  <si>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</si>
  <si>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</si>
  <si>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</si>
  <si>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</si>
  <si>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</si>
  <si>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</si>
  <si>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</si>
  <si>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</si>
  <si>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</si>
  <si>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</si>
  <si>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</si>
  <si>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</si>
  <si>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</si>
  <si>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</si>
  <si>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</si>
  <si>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</si>
  <si>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</si>
  <si>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</si>
  <si>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</si>
  <si>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</si>
  <si>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</si>
  <si>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</si>
  <si>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</si>
  <si>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</si>
  <si>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</si>
  <si>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</si>
  <si>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</si>
  <si>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</si>
  <si>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</si>
  <si>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</si>
  <si>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</si>
  <si>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</si>
  <si>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</si>
  <si>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</si>
  <si>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</si>
  <si>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</si>
  <si>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</si>
  <si>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</si>
  <si>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</si>
  <si>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</si>
  <si>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</si>
  <si>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</si>
  <si>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</si>
  <si>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</si>
  <si>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</si>
  <si>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</si>
  <si>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</si>
  <si>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</si>
  <si>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</si>
  <si>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</si>
  <si>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</si>
  <si>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</si>
  <si>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</si>
  <si>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</si>
  <si>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</si>
  <si>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</si>
  <si>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</si>
  <si>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</si>
  <si>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</si>
  <si>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</si>
  <si>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</si>
  <si>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</si>
  <si>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</si>
  <si>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</si>
  <si>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</si>
  <si>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</si>
  <si>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</si>
  <si>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</si>
  <si>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</si>
  <si>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</si>
  <si>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</si>
  <si>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</si>
  <si>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</si>
  <si>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</si>
  <si>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</si>
  <si>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</si>
  <si>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</si>
  <si>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</si>
  <si>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</si>
  <si>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</si>
  <si>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</si>
  <si>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</si>
  <si>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</si>
  <si>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</si>
  <si>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</si>
  <si>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</si>
  <si>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</si>
  <si>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</si>
  <si>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</si>
  <si>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</si>
  <si>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</si>
  <si>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</si>
  <si>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</si>
  <si>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</si>
  <si>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</si>
  <si>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</si>
  <si>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</si>
  <si>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</si>
  <si>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</si>
  <si>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</si>
  <si>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</si>
  <si>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</si>
  <si>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</si>
  <si>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</si>
  <si>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</si>
  <si>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</si>
  <si>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</si>
  <si>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</si>
  <si>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</si>
  <si>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</si>
  <si>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</si>
  <si>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</si>
  <si>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</si>
  <si>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</si>
  <si>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</si>
  <si>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</si>
  <si>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</si>
  <si>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</si>
  <si>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</si>
  <si>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</si>
  <si>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</si>
  <si>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</si>
  <si>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</si>
  <si>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</si>
  <si>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</si>
  <si>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</si>
  <si>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</si>
  <si>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</si>
  <si>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</si>
  <si>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</si>
  <si>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</si>
  <si>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</si>
  <si>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</si>
  <si>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</si>
  <si>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</si>
  <si>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</si>
  <si>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</si>
  <si>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</si>
  <si>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</si>
  <si>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</si>
  <si>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</si>
  <si>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</si>
  <si>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</si>
  <si>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</si>
  <si>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</si>
  <si>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</si>
  <si>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</si>
  <si>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</si>
  <si>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</si>
  <si>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</si>
  <si>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</si>
  <si>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</si>
  <si>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</si>
  <si>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</si>
  <si>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</si>
  <si>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</si>
  <si>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</si>
  <si>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</si>
  <si>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</si>
  <si>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</si>
  <si>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</si>
  <si>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</si>
  <si>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</si>
  <si>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</si>
  <si>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</si>
  <si>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</si>
  <si>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</si>
  <si>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</si>
  <si>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</si>
  <si>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</si>
  <si>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</si>
  <si>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</si>
  <si>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</si>
  <si>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</si>
  <si>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</si>
  <si>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</si>
  <si>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</si>
  <si>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</si>
  <si>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</si>
  <si>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</si>
  <si>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</si>
  <si>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</si>
  <si>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</si>
  <si>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</si>
  <si>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</si>
  <si>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</si>
  <si>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</si>
  <si>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</si>
  <si>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</si>
  <si>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</si>
  <si>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</si>
  <si>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</si>
  <si>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</si>
  <si>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</si>
  <si>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</si>
  <si>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</si>
  <si>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</si>
  <si>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</si>
  <si>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</si>
  <si>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</si>
  <si>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</si>
  <si>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</si>
  <si>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</si>
  <si>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</si>
  <si>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</si>
  <si>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</si>
  <si>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</si>
  <si>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</si>
  <si>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</si>
  <si>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</si>
  <si>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</si>
  <si>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</si>
  <si>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</si>
  <si>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</si>
  <si>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</si>
  <si>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</si>
  <si>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</si>
  <si>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</si>
  <si>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</si>
  <si>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</si>
  <si>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</si>
  <si>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</si>
  <si>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</si>
  <si>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</si>
  <si>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</si>
  <si>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</si>
  <si>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</si>
  <si>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</si>
  <si>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</si>
  <si>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</si>
  <si>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</si>
  <si>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</si>
  <si>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</si>
  <si>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</si>
  <si>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</si>
  <si>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</si>
  <si>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</si>
  <si>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</si>
  <si>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</si>
  <si>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</si>
  <si>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</si>
  <si>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</si>
  <si>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</si>
  <si>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</si>
  <si>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</si>
  <si>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</si>
  <si>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</si>
  <si>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</si>
  <si>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</si>
  <si>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</si>
  <si>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</si>
  <si>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</si>
  <si>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</si>
  <si>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</si>
  <si>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</si>
  <si>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</si>
  <si>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</si>
  <si>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</si>
  <si>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</si>
  <si>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</si>
  <si>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</si>
  <si>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</si>
  <si>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</si>
  <si>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</si>
  <si>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</si>
  <si>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</si>
  <si>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</si>
  <si>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</si>
  <si>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</si>
  <si>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</si>
  <si>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</si>
  <si>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</si>
  <si>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</si>
  <si>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</si>
  <si>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</si>
  <si>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</si>
  <si>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</si>
  <si>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</si>
  <si>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</si>
  <si>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</si>
  <si>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</si>
  <si>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</si>
  <si>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</si>
  <si>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</si>
  <si>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</si>
  <si>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</si>
  <si>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</si>
  <si>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</si>
  <si>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</si>
  <si>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</si>
  <si>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</si>
  <si>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</si>
  <si>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</si>
  <si>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</si>
  <si>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</si>
  <si>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</si>
  <si>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</si>
  <si>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</si>
  <si>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</si>
  <si>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</si>
  <si>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</si>
  <si>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</si>
  <si>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</si>
  <si>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</si>
  <si>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</si>
  <si>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</si>
  <si>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</si>
  <si>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</si>
  <si>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</si>
  <si>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</si>
  <si>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</si>
  <si>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</si>
  <si>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</si>
  <si>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</si>
  <si>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</si>
  <si>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</si>
  <si>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</si>
  <si>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</si>
  <si>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</si>
  <si>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</si>
  <si>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</si>
  <si>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</si>
  <si>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</si>
  <si>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</si>
  <si>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</si>
  <si>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</si>
  <si>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</si>
  <si>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</si>
  <si>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</si>
  <si>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</si>
  <si>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</si>
  <si>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</si>
  <si>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</si>
  <si>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</si>
  <si>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</si>
  <si>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</si>
  <si>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</si>
  <si>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</si>
  <si>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</si>
  <si>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</si>
  <si>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</si>
  <si>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</si>
  <si>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</si>
  <si>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</si>
  <si>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</si>
  <si>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</si>
  <si>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</si>
  <si>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</si>
  <si>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</si>
  <si>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</si>
  <si>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</si>
  <si>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</si>
  <si>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</si>
  <si>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</si>
  <si>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</si>
  <si>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</si>
  <si>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</si>
  <si>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</si>
  <si>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</si>
  <si>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</si>
  <si>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</si>
  <si>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</si>
  <si>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</si>
  <si>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</si>
  <si>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</si>
  <si>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</si>
  <si>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</si>
  <si>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</si>
  <si>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</si>
  <si>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</si>
  <si>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</si>
  <si>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</si>
  <si>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</si>
  <si>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</si>
  <si>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</si>
  <si>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</si>
  <si>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</si>
  <si>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</si>
  <si>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</si>
  <si>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</si>
  <si>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</si>
  <si>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</si>
  <si>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</si>
  <si>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</si>
  <si>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</si>
  <si>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</si>
  <si>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</si>
  <si>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</si>
  <si>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</si>
  <si>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</si>
  <si>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</si>
  <si>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</si>
  <si>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</si>
  <si>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</si>
  <si>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</si>
  <si>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</si>
  <si>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</si>
  <si>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</si>
  <si>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</si>
  <si>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</si>
  <si>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</si>
  <si>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</si>
  <si>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</si>
  <si>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</si>
  <si>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</si>
  <si>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</si>
  <si>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</si>
  <si>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</si>
  <si>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</si>
  <si>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</si>
  <si>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</si>
  <si>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</si>
  <si>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</si>
  <si>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</si>
  <si>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</si>
  <si>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</si>
  <si>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</si>
  <si>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</si>
  <si>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</si>
  <si>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</si>
  <si>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</si>
  <si>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</si>
  <si>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</si>
  <si>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</si>
  <si>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</si>
  <si>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</si>
  <si>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</si>
  <si>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</si>
  <si>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</si>
  <si>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</si>
  <si>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</si>
  <si>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</si>
  <si>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</si>
  <si>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</si>
  <si>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</si>
  <si>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</si>
  <si>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</si>
  <si>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</si>
  <si>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</si>
  <si>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</si>
  <si>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</si>
  <si>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</si>
  <si>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</si>
  <si>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</si>
  <si>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</si>
  <si>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</si>
  <si>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</si>
  <si>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</si>
  <si>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</si>
  <si>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</si>
  <si>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</si>
  <si>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</si>
  <si>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</si>
  <si>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</si>
  <si>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</si>
  <si>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</si>
  <si>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</si>
  <si>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</si>
  <si>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</si>
  <si>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</si>
  <si>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</si>
  <si>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</si>
  <si>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</si>
  <si>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</si>
  <si>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</si>
  <si>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</si>
  <si>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</si>
  <si>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</si>
  <si>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</si>
  <si>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</si>
  <si>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</si>
  <si>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</si>
  <si>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</si>
  <si>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</si>
  <si>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</si>
  <si>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</si>
  <si>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</si>
  <si>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</si>
  <si>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</si>
  <si>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</si>
  <si>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</si>
  <si>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</si>
  <si>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</si>
  <si>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</si>
  <si>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</si>
  <si>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</si>
  <si>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</si>
  <si>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</si>
  <si>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</si>
  <si>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</si>
  <si>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</si>
  <si>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</si>
  <si>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</si>
  <si>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</si>
  <si>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</si>
  <si>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</si>
  <si>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</si>
  <si>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</si>
  <si>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</si>
  <si>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</si>
  <si>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</si>
  <si>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</si>
  <si>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</si>
  <si>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</si>
  <si>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</si>
  <si>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</si>
  <si>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</si>
  <si>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</si>
  <si>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</si>
  <si>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</si>
  <si>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</si>
  <si>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</si>
  <si>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</si>
  <si>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</si>
  <si>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</si>
  <si>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</si>
  <si>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</si>
  <si>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</si>
  <si>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</si>
  <si>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</si>
  <si>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</si>
  <si>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</si>
  <si>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</si>
  <si>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</si>
  <si>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</si>
  <si>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</si>
  <si>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</si>
  <si>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</si>
  <si>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</si>
  <si>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</si>
  <si>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</si>
  <si>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</si>
  <si>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</si>
  <si>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</si>
  <si>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</si>
  <si>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</si>
  <si>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</si>
  <si>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</si>
  <si>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</si>
  <si>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</si>
  <si>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</si>
  <si>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</si>
  <si>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</si>
  <si>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</si>
  <si>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</si>
  <si>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</si>
  <si>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</si>
  <si>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</si>
  <si>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</si>
  <si>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</si>
  <si>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</si>
  <si>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</si>
  <si>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</si>
  <si>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</si>
  <si>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</si>
  <si>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</si>
  <si>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</si>
  <si>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</si>
  <si>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</si>
  <si>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</si>
  <si>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</si>
  <si>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</si>
  <si>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</si>
  <si>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</si>
  <si>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</si>
  <si>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</si>
  <si>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</si>
  <si>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</si>
  <si>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</si>
  <si>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</si>
  <si>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</si>
  <si>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</si>
  <si>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</si>
  <si>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</si>
  <si>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</si>
  <si>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</si>
  <si>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</si>
  <si>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</si>
  <si>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</si>
  <si>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</si>
  <si>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</si>
  <si>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</si>
  <si>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</si>
  <si>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</si>
  <si>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</si>
  <si>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</si>
  <si>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</si>
  <si>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</si>
  <si>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</si>
  <si>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</si>
  <si>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</si>
  <si>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</si>
  <si>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</si>
  <si>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</si>
  <si>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</si>
  <si>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</si>
  <si>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</si>
  <si>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</si>
  <si>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</si>
  <si>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</si>
  <si>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</si>
  <si>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</si>
  <si>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</si>
  <si>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</si>
  <si>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</si>
  <si>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</si>
  <si>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</si>
  <si>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</si>
  <si>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</si>
  <si>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</si>
  <si>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</si>
  <si>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</si>
  <si>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</si>
  <si>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</si>
  <si>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</si>
  <si>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</si>
  <si>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</si>
  <si>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</si>
  <si>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</si>
  <si>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</si>
  <si>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</si>
  <si>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</si>
  <si>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</si>
  <si>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</si>
  <si>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</si>
  <si>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</si>
  <si>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</si>
  <si>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</si>
  <si>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</si>
  <si>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</si>
  <si>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</si>
  <si>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</si>
  <si>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</si>
  <si>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</si>
  <si>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</si>
  <si>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</si>
  <si>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</si>
  <si>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</si>
  <si>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</si>
  <si>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</si>
  <si>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</si>
  <si>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</si>
  <si>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</si>
  <si>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</si>
  <si>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</si>
  <si>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</si>
  <si>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</si>
  <si>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</si>
  <si>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</si>
  <si>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</si>
  <si>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</si>
  <si>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</si>
  <si>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</si>
  <si>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</si>
  <si>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</si>
  <si>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</si>
  <si>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</si>
  <si>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</si>
  <si>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</si>
  <si>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</si>
  <si>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</si>
  <si>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</si>
  <si>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</si>
  <si>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</si>
  <si>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</si>
  <si>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</si>
  <si>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</si>
  <si>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</si>
  <si>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</si>
  <si>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</si>
  <si>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</si>
  <si>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</si>
  <si>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</si>
  <si>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</si>
  <si>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</si>
  <si>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</si>
  <si>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</si>
  <si>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</si>
  <si>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</si>
  <si>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</si>
  <si>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</si>
  <si>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</si>
  <si>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</si>
  <si>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</si>
  <si>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</si>
  <si>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</si>
  <si>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</si>
  <si>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</si>
  <si>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</si>
  <si>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</si>
  <si>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</si>
  <si>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</si>
  <si>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</si>
  <si>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</si>
  <si>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</si>
  <si>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</si>
  <si>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</si>
  <si>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</si>
  <si>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</si>
  <si>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</si>
  <si>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</si>
  <si>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</si>
  <si>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</si>
  <si>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</si>
  <si>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</si>
  <si>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</si>
  <si>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</si>
  <si>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</si>
  <si>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</si>
  <si>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</si>
  <si>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</si>
  <si>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</si>
  <si>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</si>
  <si>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</si>
  <si>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</si>
  <si>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</si>
  <si>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</si>
  <si>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</si>
  <si>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</si>
  <si>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</si>
  <si>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</si>
  <si>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</si>
  <si>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</si>
  <si>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</si>
  <si>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</si>
  <si>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</si>
  <si>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</si>
  <si>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</si>
  <si>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</si>
  <si>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</si>
  <si>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</si>
  <si>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</si>
  <si>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</si>
  <si>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</si>
  <si>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</si>
  <si>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</si>
  <si>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</si>
  <si>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</si>
  <si>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</si>
  <si>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</si>
  <si>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</si>
  <si>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</si>
  <si>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</si>
  <si>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</si>
  <si>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</si>
  <si>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</si>
  <si>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</si>
  <si>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</si>
  <si>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</si>
  <si>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</si>
  <si>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</si>
  <si>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</si>
  <si>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</si>
  <si>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</si>
  <si>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</si>
  <si>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</si>
  <si>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</si>
  <si>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</si>
  <si>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</si>
  <si>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</si>
  <si>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</si>
  <si>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</si>
  <si>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</si>
  <si>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</si>
  <si>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</si>
  <si>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</si>
  <si>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</si>
  <si>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</si>
  <si>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</si>
  <si>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</si>
  <si>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</si>
  <si>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</si>
  <si>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</si>
  <si>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</si>
  <si>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</si>
  <si>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</si>
  <si>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</si>
  <si>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</si>
  <si>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</si>
  <si>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</si>
  <si>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</si>
  <si>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</si>
  <si>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</si>
  <si>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</si>
  <si>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</si>
  <si>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</si>
  <si>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</si>
  <si>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</si>
  <si>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</si>
  <si>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</si>
  <si>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</si>
  <si>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</si>
  <si>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</si>
  <si>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</si>
  <si>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</si>
  <si>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</si>
  <si>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</si>
  <si>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</si>
  <si>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</si>
  <si>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</si>
  <si>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</si>
  <si>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</si>
  <si>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</si>
  <si>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</si>
  <si>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</si>
  <si>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</si>
  <si>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</si>
  <si>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</si>
  <si>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</si>
  <si>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</si>
  <si>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</si>
  <si>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</si>
  <si>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</si>
  <si>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</si>
  <si>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</si>
  <si>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</si>
  <si>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</si>
  <si>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</si>
  <si>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</si>
  <si>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</si>
  <si>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</si>
  <si>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</si>
  <si>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</si>
  <si>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</si>
  <si>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</si>
  <si>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</si>
  <si>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</si>
  <si>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</si>
  <si>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</si>
  <si>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</si>
  <si>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</si>
  <si>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</si>
  <si>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</si>
  <si>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</si>
  <si>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</si>
  <si>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</si>
  <si>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</si>
  <si>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</si>
  <si>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</si>
  <si>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</si>
  <si>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</si>
  <si>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</si>
  <si>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</si>
  <si>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</si>
  <si>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</si>
  <si>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</si>
  <si>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</si>
  <si>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</si>
  <si>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</si>
  <si>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</si>
  <si>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</si>
  <si>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</si>
  <si>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</si>
  <si>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</si>
  <si>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</si>
  <si>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</si>
  <si>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</si>
  <si>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</si>
  <si>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</si>
  <si>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</si>
  <si>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</si>
  <si>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</si>
  <si>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</si>
  <si>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</si>
  <si>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</si>
  <si>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</si>
  <si>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</si>
  <si>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</si>
  <si>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</si>
  <si>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</si>
  <si>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</si>
  <si>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</si>
  <si>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</si>
  <si>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</si>
  <si>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</si>
  <si>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</si>
  <si>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</si>
  <si>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</si>
  <si>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</si>
  <si>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</si>
  <si>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</si>
  <si>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</si>
  <si>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</si>
  <si>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</si>
  <si>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</si>
  <si>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</si>
  <si>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</si>
  <si>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</si>
  <si>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</si>
  <si>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</si>
  <si>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</si>
  <si>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</si>
  <si>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</si>
  <si>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</si>
  <si>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</si>
  <si>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</si>
  <si>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</si>
  <si>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</si>
  <si>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</si>
  <si>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</si>
  <si>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</si>
  <si>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</si>
  <si>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</si>
  <si>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</si>
  <si>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</si>
  <si>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</si>
  <si>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</si>
  <si>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</si>
  <si>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</si>
  <si>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</si>
  <si>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</si>
  <si>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</si>
  <si>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</si>
  <si>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</si>
  <si>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</si>
  <si>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</si>
  <si>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</si>
  <si>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</si>
  <si>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</si>
  <si>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</si>
  <si>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</si>
  <si>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</si>
  <si>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</si>
  <si>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</si>
  <si>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</si>
  <si>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</si>
  <si>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</si>
  <si>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</si>
  <si>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</si>
  <si>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</si>
  <si>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</si>
  <si>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</si>
  <si>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</si>
  <si>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</si>
  <si>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</si>
  <si>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</si>
  <si>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</si>
  <si>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</si>
  <si>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</si>
  <si>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</si>
  <si>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</si>
  <si>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</si>
  <si>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</si>
  <si>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</si>
  <si>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</si>
  <si>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</si>
  <si>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</si>
  <si>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</si>
  <si>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</si>
  <si>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</si>
  <si>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</si>
  <si>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</si>
  <si>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</si>
  <si>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</si>
  <si>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</si>
  <si>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</si>
  <si>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</si>
  <si>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</si>
  <si>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</si>
  <si>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</si>
  <si>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</si>
  <si>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</si>
  <si>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</si>
  <si>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</si>
  <si>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</si>
  <si>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</si>
  <si>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</si>
  <si>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</si>
  <si>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</si>
  <si>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</si>
  <si>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</si>
  <si>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</si>
  <si>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</si>
  <si>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</si>
  <si>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</si>
  <si>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</si>
  <si>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</si>
  <si>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</si>
  <si>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</si>
  <si>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</si>
  <si>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</si>
  <si>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</si>
  <si>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</si>
  <si>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</si>
  <si>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</si>
  <si>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</si>
  <si>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</si>
  <si>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</si>
  <si>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</si>
  <si>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</si>
  <si>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</si>
  <si>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</si>
  <si>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</si>
  <si>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</si>
  <si>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</si>
  <si>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</si>
  <si>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</si>
  <si>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</si>
  <si>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</si>
  <si>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</si>
  <si>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</si>
  <si>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</si>
  <si>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</si>
  <si>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</si>
  <si>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</si>
  <si>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</si>
  <si>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</si>
  <si>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</si>
  <si>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</si>
  <si>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</si>
  <si>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</si>
  <si>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</si>
  <si>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</si>
  <si>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</si>
  <si>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</si>
  <si>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</si>
  <si>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</si>
  <si>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</si>
  <si>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</si>
  <si>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</si>
  <si>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</si>
  <si>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</si>
  <si>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</si>
  <si>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</si>
  <si>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</si>
  <si>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</si>
  <si>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</si>
  <si>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</si>
  <si>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</si>
  <si>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</si>
  <si>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</si>
  <si>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</si>
  <si>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</si>
  <si>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</si>
  <si>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</si>
  <si>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</si>
  <si>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</si>
  <si>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</si>
  <si>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</si>
  <si>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</si>
  <si>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</si>
  <si>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</si>
  <si>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</si>
  <si>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</si>
  <si>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</si>
  <si>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</si>
  <si>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</si>
  <si>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</si>
  <si>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</si>
  <si>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</si>
  <si>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</si>
  <si>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</si>
  <si>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</si>
  <si>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</si>
  <si>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</si>
  <si>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</si>
  <si>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</si>
  <si>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</si>
  <si>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</si>
  <si>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</si>
  <si>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</si>
  <si>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</si>
  <si>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</si>
  <si>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</si>
  <si>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</si>
  <si>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</si>
  <si>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</si>
  <si>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</si>
  <si>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</si>
  <si>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</si>
  <si>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</si>
  <si>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</si>
  <si>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</si>
  <si>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</si>
  <si>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</si>
  <si>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</si>
  <si>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</si>
  <si>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</si>
  <si>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</si>
  <si>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</si>
  <si>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</si>
  <si>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</si>
  <si>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</si>
  <si>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</si>
  <si>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</si>
  <si>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</si>
  <si>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</si>
  <si>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</si>
  <si>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</si>
  <si>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</si>
  <si>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</si>
  <si>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</si>
  <si>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</si>
  <si>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</si>
  <si>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</si>
  <si>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</si>
  <si>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</si>
  <si>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</si>
  <si>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</si>
  <si>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</si>
  <si>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</si>
  <si>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</si>
  <si>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</si>
  <si>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</si>
  <si>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</si>
  <si>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</si>
  <si>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</si>
  <si>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</si>
  <si>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</si>
  <si>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</si>
  <si>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</si>
  <si>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</si>
  <si>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</si>
  <si>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</si>
  <si>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</si>
  <si>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</si>
  <si>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</si>
  <si>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</si>
  <si>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</si>
  <si>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</si>
  <si>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</si>
  <si>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</si>
  <si>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</si>
  <si>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</si>
  <si>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</si>
  <si>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</si>
  <si>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</si>
  <si>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</si>
  <si>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</si>
  <si>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</si>
  <si>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</si>
  <si>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</si>
  <si>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</si>
  <si>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</si>
  <si>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</si>
  <si>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</si>
  <si>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</si>
  <si>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</si>
  <si>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</si>
  <si>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</si>
  <si>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</si>
  <si>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</si>
  <si>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</si>
  <si>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</si>
  <si>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</si>
  <si>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</si>
  <si>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</si>
  <si>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</si>
  <si>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</si>
  <si>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</si>
  <si>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</si>
  <si>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</si>
  <si>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</si>
  <si>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</si>
  <si>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</si>
  <si>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</si>
  <si>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</si>
  <si>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</si>
  <si>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</si>
  <si>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</si>
  <si>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</si>
  <si>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</si>
  <si>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</si>
  <si>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</si>
  <si>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</si>
  <si>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</si>
  <si>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</si>
  <si>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</si>
  <si>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</si>
  <si>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</si>
  <si>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</si>
  <si>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</si>
  <si>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</si>
  <si>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</si>
  <si>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</si>
  <si>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</si>
  <si>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</si>
  <si>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</si>
  <si>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</si>
  <si>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</si>
  <si>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</si>
  <si>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</si>
  <si>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</si>
  <si>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</si>
  <si>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</si>
  <si>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</si>
  <si>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</si>
  <si>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</si>
  <si>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</si>
  <si>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</si>
  <si>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</si>
  <si>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</si>
  <si>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</si>
  <si>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</si>
  <si>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</si>
  <si>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</si>
  <si>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</si>
  <si>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</si>
  <si>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</si>
  <si>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</si>
  <si>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</si>
  <si>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</si>
  <si>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</si>
  <si>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</si>
  <si>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</si>
  <si>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</si>
  <si>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</si>
  <si>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</si>
  <si>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</si>
  <si>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</si>
  <si>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</si>
  <si>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</si>
  <si>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</si>
  <si>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</si>
  <si>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</si>
  <si>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</si>
  <si>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</si>
  <si>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</si>
  <si>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</si>
  <si>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</si>
  <si>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</si>
  <si>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</si>
  <si>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</si>
  <si>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</si>
  <si>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</si>
  <si>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</si>
  <si>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</si>
  <si>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</si>
  <si>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</si>
  <si>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</si>
  <si>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</si>
  <si>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</si>
  <si>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</si>
  <si>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</si>
  <si>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</si>
  <si>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</si>
  <si>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</si>
  <si>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</si>
  <si>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</si>
  <si>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</si>
  <si>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</si>
  <si>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</si>
  <si>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</si>
  <si>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</si>
  <si>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</si>
  <si>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</si>
  <si>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</si>
  <si>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</si>
  <si>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</si>
  <si>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</si>
  <si>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</si>
  <si>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</si>
  <si>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</si>
  <si>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</si>
  <si>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</si>
  <si>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</si>
  <si>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</si>
  <si>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</si>
  <si>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</si>
  <si>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</si>
  <si>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</si>
  <si>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</si>
  <si>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</si>
  <si>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</si>
  <si>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</si>
  <si>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</si>
  <si>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</si>
  <si>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</si>
  <si>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</si>
  <si>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</si>
  <si>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</si>
  <si>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</si>
  <si>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</si>
  <si>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</si>
  <si>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</si>
  <si>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</si>
  <si>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</si>
  <si>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</si>
  <si>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</si>
  <si>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</si>
  <si>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</si>
  <si>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</si>
  <si>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</si>
  <si>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</si>
  <si>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</si>
  <si>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</si>
  <si>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</si>
  <si>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</si>
  <si>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</si>
  <si>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</si>
  <si>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</si>
  <si>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</si>
  <si>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</si>
  <si>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</si>
  <si>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</si>
  <si>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</si>
  <si>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</si>
  <si>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</si>
  <si>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</si>
  <si>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</si>
  <si>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</si>
  <si>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</si>
  <si>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</si>
  <si>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</si>
  <si>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</si>
  <si>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</si>
  <si>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</si>
  <si>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</si>
  <si>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</si>
  <si>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</si>
  <si>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</si>
  <si>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</si>
  <si>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</si>
  <si>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</si>
  <si>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</si>
  <si>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</si>
  <si>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</si>
  <si>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</si>
  <si>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</si>
  <si>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</si>
  <si>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</si>
  <si>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</si>
  <si>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</si>
  <si>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</si>
  <si>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</si>
  <si>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</si>
  <si>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</si>
  <si>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</si>
  <si>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</si>
  <si>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</si>
  <si>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</si>
  <si>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</si>
  <si>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</si>
  <si>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</si>
  <si>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</si>
  <si>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</si>
  <si>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</si>
  <si>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</si>
  <si>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</si>
  <si>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</si>
  <si>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</si>
  <si>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</si>
  <si>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</si>
  <si>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</si>
  <si>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</si>
  <si>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</si>
  <si>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</si>
  <si>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</si>
  <si>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</si>
  <si>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</si>
  <si>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</si>
  <si>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</si>
  <si>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</si>
  <si>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</si>
  <si>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</si>
  <si>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</si>
  <si>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</si>
  <si>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</si>
  <si>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</si>
  <si>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</si>
  <si>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</si>
  <si>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</si>
  <si>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</si>
  <si>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</si>
  <si>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</si>
  <si>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</si>
  <si>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</si>
  <si>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</si>
  <si>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</si>
  <si>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</si>
  <si>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</si>
  <si>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</si>
  <si>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</si>
  <si>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</si>
  <si>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</si>
  <si>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</si>
  <si>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</si>
  <si>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</si>
  <si>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</si>
  <si>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</si>
  <si>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</si>
  <si>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</si>
  <si>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</si>
  <si>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</si>
  <si>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</si>
  <si>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</si>
  <si>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</si>
  <si>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</si>
  <si>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</si>
  <si>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</si>
  <si>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</si>
  <si>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</si>
  <si>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</si>
  <si>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</si>
  <si>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</si>
  <si>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</si>
  <si>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</si>
  <si>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</si>
  <si>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</si>
  <si>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</si>
  <si>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</si>
  <si>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</si>
  <si>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</si>
  <si>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</si>
  <si>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</si>
  <si>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</si>
  <si>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</si>
  <si>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</si>
  <si>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</si>
  <si>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</si>
  <si>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</si>
  <si>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</si>
  <si>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</si>
  <si>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</si>
  <si>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</si>
  <si>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</si>
  <si>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</si>
  <si>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</si>
  <si>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</si>
  <si>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</si>
  <si>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</si>
  <si>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</si>
  <si>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</si>
  <si>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</si>
  <si>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</si>
  <si>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</si>
  <si>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</si>
  <si>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</si>
  <si>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</si>
  <si>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</si>
  <si>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</si>
  <si>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</si>
  <si>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</si>
  <si>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</si>
  <si>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</si>
  <si>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</si>
  <si>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</si>
  <si>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</si>
  <si>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</si>
  <si>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</si>
  <si>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</si>
  <si>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</si>
  <si>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</si>
  <si>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</si>
  <si>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</si>
  <si>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</si>
  <si>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</si>
  <si>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</si>
  <si>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</si>
  <si>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</si>
  <si>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</si>
  <si>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</si>
  <si>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</si>
  <si>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</si>
  <si>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</si>
  <si>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</si>
  <si>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</si>
  <si>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</si>
  <si>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</si>
  <si>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</si>
  <si>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</si>
  <si>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</si>
  <si>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</si>
  <si>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</si>
  <si>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</si>
  <si>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</si>
  <si>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</si>
  <si>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</si>
  <si>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</si>
  <si>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</si>
  <si>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</si>
  <si>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</si>
  <si>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</si>
  <si>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</si>
  <si>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</si>
  <si>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</si>
  <si>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</si>
  <si>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[0.397251]</t>
  </si>
  <si>
    <t>0 [0.807328]</t>
  </si>
  <si>
    <t>0 [1.213862]</t>
  </si>
  <si>
    <t>0 [1.616462]</t>
  </si>
  <si>
    <t>0 [2.025562]</t>
  </si>
  <si>
    <t>0 [2.432077]</t>
  </si>
  <si>
    <t>0 [2.837908]</t>
  </si>
  <si>
    <t>0 [3.245254]</t>
  </si>
  <si>
    <t>0 [3.647770]</t>
  </si>
  <si>
    <t>0 [4.056943]</t>
  </si>
  <si>
    <t>0 [4.460873]</t>
  </si>
  <si>
    <t>0 [4.866575]</t>
  </si>
  <si>
    <t>vision^Uuxk^2^58^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</si>
</sst>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63.40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63.395779999999995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3"/>
                <c:pt idx="0">
                  <c:v>4.2916100000000004</c:v>
                </c:pt>
                <c:pt idx="1">
                  <c:v>4.3488199999999999</c:v>
                </c:pt>
                <c:pt idx="2">
                  <c:v>4.3773</c:v>
                </c:pt>
                <c:pt idx="3">
                  <c:v>4.3287800000000001</c:v>
                </c:pt>
                <c:pt idx="4">
                  <c:v>4.3435499999999996</c:v>
                </c:pt>
                <c:pt idx="5">
                  <c:v>4.4582600000000001</c:v>
                </c:pt>
                <c:pt idx="6">
                  <c:v>4.5816600000000003</c:v>
                </c:pt>
                <c:pt idx="7">
                  <c:v>4.5906900000000004</c:v>
                </c:pt>
                <c:pt idx="8">
                  <c:v>4.6020699999999994</c:v>
                </c:pt>
                <c:pt idx="9">
                  <c:v>4.6293199999999999</c:v>
                </c:pt>
                <c:pt idx="10">
                  <c:v>4.7952200000000005</c:v>
                </c:pt>
                <c:pt idx="11">
                  <c:v>4.8766600000000002</c:v>
                </c:pt>
                <c:pt idx="12">
                  <c:v>5.00535</c:v>
                </c:pt>
              </c:numCache>
            </c:numRef>
          </c:xVal>
          <c:yVal>
            <c:numRef>
              <c:f>[0]!FT_PH</c:f>
              <c:numCache>
                <c:formatCode>0.00</c:formatCode>
                <c:ptCount val="13"/>
                <c:pt idx="0">
                  <c:v>53.144800000000004</c:v>
                </c:pt>
                <c:pt idx="1">
                  <c:v>53.669699999999999</c:v>
                </c:pt>
                <c:pt idx="2">
                  <c:v>54.675799999999995</c:v>
                </c:pt>
                <c:pt idx="3">
                  <c:v>57.347000000000001</c:v>
                </c:pt>
                <c:pt idx="4">
                  <c:v>58.407299999999992</c:v>
                </c:pt>
                <c:pt idx="5">
                  <c:v>56.3048</c:v>
                </c:pt>
                <c:pt idx="6">
                  <c:v>54.5871</c:v>
                </c:pt>
                <c:pt idx="7">
                  <c:v>55.422600000000003</c:v>
                </c:pt>
                <c:pt idx="8">
                  <c:v>56.139300000000006</c:v>
                </c:pt>
                <c:pt idx="9">
                  <c:v>55.167400000000001</c:v>
                </c:pt>
                <c:pt idx="10">
                  <c:v>52.2286</c:v>
                </c:pt>
                <c:pt idx="11">
                  <c:v>50.898900000000005</c:v>
                </c:pt>
                <c:pt idx="12">
                  <c:v>51.444100000000006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4.2916100000000004</c:v>
                </c:pt>
                <c:pt idx="1">
                  <c:v>4.7952200000000005</c:v>
                </c:pt>
              </c:numCache>
            </c:numRef>
          </c:xVal>
          <c:yVal>
            <c:numRef>
              <c:f>info!$W$2:$W$3</c:f>
              <c:numCache>
                <c:formatCode>0.00</c:formatCode>
                <c:ptCount val="2"/>
                <c:pt idx="0">
                  <c:v>53.144800000000004</c:v>
                </c:pt>
                <c:pt idx="1">
                  <c:v>52.2286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4.8766600000000002</c:v>
                </c:pt>
                <c:pt idx="1">
                  <c:v>4.3435499999999996</c:v>
                </c:pt>
              </c:numCache>
            </c:numRef>
          </c:xVal>
          <c:yVal>
            <c:numRef>
              <c:f>info!$W$15:$W$16</c:f>
              <c:numCache>
                <c:formatCode>0.00_ </c:formatCode>
                <c:ptCount val="2"/>
                <c:pt idx="0">
                  <c:v>50.898900000000005</c:v>
                </c:pt>
                <c:pt idx="1">
                  <c:v>58.407299999999992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4.556099230769231</c:v>
                </c:pt>
              </c:numCache>
            </c:numRef>
          </c:xVal>
          <c:yVal>
            <c:numRef>
              <c:f>info!$N$9</c:f>
              <c:numCache>
                <c:formatCode>0.0</c:formatCode>
                <c:ptCount val="1"/>
                <c:pt idx="0">
                  <c:v>54.572107692307704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35.539299999999997</c:v>
                </c:pt>
                <c:pt idx="1">
                  <c:v>0</c:v>
                </c:pt>
                <c:pt idx="2">
                  <c:v>19.284800000000001</c:v>
                </c:pt>
                <c:pt idx="3">
                  <c:v>19.927</c:v>
                </c:pt>
                <c:pt idx="4">
                  <c:v>26.224699999999999</c:v>
                </c:pt>
                <c:pt idx="5">
                  <c:v>89.071299999999994</c:v>
                </c:pt>
                <c:pt idx="6">
                  <c:v>36.085000000000001</c:v>
                </c:pt>
                <c:pt idx="7">
                  <c:v>58.072099999999999</c:v>
                </c:pt>
                <c:pt idx="8">
                  <c:v>17.615500000000001</c:v>
                </c:pt>
                <c:pt idx="9">
                  <c:v>27.118300000000001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63.395779999999995</c:v>
                </c:pt>
                <c:pt idx="1">
                  <c:v>63.395779999999995</c:v>
                </c:pt>
                <c:pt idx="2">
                  <c:v>0</c:v>
                </c:pt>
              </c:numCache>
            </c:numRef>
          </c:xVal>
          <c:yVal>
            <c:numRef>
              <c:f>'R2'!$I$5:$I$7</c:f>
              <c:numCache>
                <c:formatCode>0.0_ </c:formatCode>
                <c:ptCount val="3"/>
                <c:pt idx="0">
                  <c:v>0</c:v>
                </c:pt>
                <c:pt idx="1">
                  <c:v>72.688318269680622</c:v>
                </c:pt>
                <c:pt idx="2">
                  <c:v>72.688318269680622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75.191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75.191333333333333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2.2557399999999999</c:v>
                </c:pt>
                <c:pt idx="1">
                  <c:v>2.2557399999999999</c:v>
                </c:pt>
                <c:pt idx="2">
                  <c:v>0</c:v>
                </c:pt>
              </c:numCache>
            </c:numRef>
          </c:xVal>
          <c:yVal>
            <c:numRef>
              <c:f>'R3'!$I$6:$I$8</c:f>
              <c:numCache>
                <c:formatCode>0.0_ </c:formatCode>
                <c:ptCount val="3"/>
                <c:pt idx="0">
                  <c:v>0</c:v>
                </c:pt>
                <c:pt idx="1">
                  <c:v>69.110933205064569</c:v>
                </c:pt>
                <c:pt idx="2">
                  <c:v>69.110933205064569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-2.1041621559108794</c:v>
                </c:pt>
                <c:pt idx="1">
                  <c:v>-2.1041621559108794</c:v>
                </c:pt>
                <c:pt idx="2">
                  <c:v>-7</c:v>
                </c:pt>
              </c:numCache>
            </c:numRef>
          </c:xVal>
          <c:yVal>
            <c:numRef>
              <c:f>'R'!$I$5:$I$7</c:f>
              <c:numCache>
                <c:formatCode>0.0_ </c:formatCode>
                <c:ptCount val="3"/>
                <c:pt idx="0">
                  <c:v>0</c:v>
                </c:pt>
                <c:pt idx="1">
                  <c:v>21.738798019478491</c:v>
                </c:pt>
                <c:pt idx="2">
                  <c:v>21.738798019478491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-2.1041621559108794</c:v>
                </c:pt>
              </c:numCache>
            </c:numRef>
          </c:xVal>
          <c:yVal>
            <c:numRef>
              <c:f>'R'!$I$4</c:f>
              <c:numCache>
                <c:formatCode>0.00_ </c:formatCode>
                <c:ptCount val="1"/>
                <c:pt idx="0">
                  <c:v>21.738798019478491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63.40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63.395779999999995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3"/>
                <c:pt idx="0">
                  <c:v>4.2916100000000004</c:v>
                </c:pt>
                <c:pt idx="1">
                  <c:v>4.3488199999999999</c:v>
                </c:pt>
                <c:pt idx="2">
                  <c:v>4.3773</c:v>
                </c:pt>
                <c:pt idx="3">
                  <c:v>4.3287800000000001</c:v>
                </c:pt>
                <c:pt idx="4">
                  <c:v>4.3435499999999996</c:v>
                </c:pt>
                <c:pt idx="5">
                  <c:v>4.4582600000000001</c:v>
                </c:pt>
                <c:pt idx="6">
                  <c:v>4.5816600000000003</c:v>
                </c:pt>
                <c:pt idx="7">
                  <c:v>4.5906900000000004</c:v>
                </c:pt>
                <c:pt idx="8">
                  <c:v>4.6020699999999994</c:v>
                </c:pt>
                <c:pt idx="9">
                  <c:v>4.6293199999999999</c:v>
                </c:pt>
                <c:pt idx="10">
                  <c:v>4.7952200000000005</c:v>
                </c:pt>
                <c:pt idx="11">
                  <c:v>4.8766600000000002</c:v>
                </c:pt>
                <c:pt idx="12">
                  <c:v>5.00535</c:v>
                </c:pt>
              </c:numCache>
            </c:numRef>
          </c:xVal>
          <c:yVal>
            <c:numRef>
              <c:f>[0]!FT_PH</c:f>
              <c:numCache>
                <c:formatCode>0.00</c:formatCode>
                <c:ptCount val="13"/>
                <c:pt idx="0">
                  <c:v>53.144800000000004</c:v>
                </c:pt>
                <c:pt idx="1">
                  <c:v>53.669699999999999</c:v>
                </c:pt>
                <c:pt idx="2">
                  <c:v>54.675799999999995</c:v>
                </c:pt>
                <c:pt idx="3">
                  <c:v>57.347000000000001</c:v>
                </c:pt>
                <c:pt idx="4">
                  <c:v>58.407299999999992</c:v>
                </c:pt>
                <c:pt idx="5">
                  <c:v>56.3048</c:v>
                </c:pt>
                <c:pt idx="6">
                  <c:v>54.5871</c:v>
                </c:pt>
                <c:pt idx="7">
                  <c:v>55.422600000000003</c:v>
                </c:pt>
                <c:pt idx="8">
                  <c:v>56.139300000000006</c:v>
                </c:pt>
                <c:pt idx="9">
                  <c:v>55.167400000000001</c:v>
                </c:pt>
                <c:pt idx="10">
                  <c:v>52.2286</c:v>
                </c:pt>
                <c:pt idx="11">
                  <c:v>50.898900000000005</c:v>
                </c:pt>
                <c:pt idx="12">
                  <c:v>51.444100000000006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4.2916100000000004</c:v>
                </c:pt>
                <c:pt idx="1">
                  <c:v>4.7952200000000005</c:v>
                </c:pt>
              </c:numCache>
            </c:numRef>
          </c:xVal>
          <c:yVal>
            <c:numRef>
              <c:f>info!$W$2:$W$3</c:f>
              <c:numCache>
                <c:formatCode>0.00</c:formatCode>
                <c:ptCount val="2"/>
                <c:pt idx="0">
                  <c:v>53.144800000000004</c:v>
                </c:pt>
                <c:pt idx="1">
                  <c:v>52.2286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4.8766600000000002</c:v>
                </c:pt>
                <c:pt idx="1">
                  <c:v>4.3435499999999996</c:v>
                </c:pt>
              </c:numCache>
            </c:numRef>
          </c:xVal>
          <c:yVal>
            <c:numRef>
              <c:f>info!$W$15:$W$16</c:f>
              <c:numCache>
                <c:formatCode>0.00_ </c:formatCode>
                <c:ptCount val="2"/>
                <c:pt idx="0">
                  <c:v>50.898900000000005</c:v>
                </c:pt>
                <c:pt idx="1">
                  <c:v>58.407299999999992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4.556099230769231</c:v>
                </c:pt>
              </c:numCache>
            </c:numRef>
          </c:xVal>
          <c:yVal>
            <c:numRef>
              <c:f>info!$N$9</c:f>
              <c:numCache>
                <c:formatCode>0.0</c:formatCode>
                <c:ptCount val="1"/>
                <c:pt idx="0">
                  <c:v>54.572107692307704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35.539299999999997</c:v>
                </c:pt>
                <c:pt idx="1">
                  <c:v>0</c:v>
                </c:pt>
                <c:pt idx="2">
                  <c:v>19.284800000000001</c:v>
                </c:pt>
                <c:pt idx="3">
                  <c:v>19.927</c:v>
                </c:pt>
                <c:pt idx="4">
                  <c:v>26.224699999999999</c:v>
                </c:pt>
                <c:pt idx="5">
                  <c:v>89.071299999999994</c:v>
                </c:pt>
                <c:pt idx="6">
                  <c:v>36.085000000000001</c:v>
                </c:pt>
                <c:pt idx="7">
                  <c:v>58.072099999999999</c:v>
                </c:pt>
                <c:pt idx="8">
                  <c:v>17.615500000000001</c:v>
                </c:pt>
                <c:pt idx="9">
                  <c:v>27.118300000000001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63.395779999999995</c:v>
                </c:pt>
                <c:pt idx="1">
                  <c:v>63.395779999999995</c:v>
                </c:pt>
                <c:pt idx="2">
                  <c:v>0</c:v>
                </c:pt>
              </c:numCache>
            </c:numRef>
          </c:xVal>
          <c:yVal>
            <c:numRef>
              <c:f>'R2'!$I$5:$I$7</c:f>
              <c:numCache>
                <c:formatCode>0.0_ </c:formatCode>
                <c:ptCount val="3"/>
                <c:pt idx="0">
                  <c:v>0</c:v>
                </c:pt>
                <c:pt idx="1">
                  <c:v>72.688318269680622</c:v>
                </c:pt>
                <c:pt idx="2">
                  <c:v>72.688318269680622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75.191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75.191333333333333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2.2557399999999999</c:v>
                </c:pt>
                <c:pt idx="1">
                  <c:v>2.2557399999999999</c:v>
                </c:pt>
                <c:pt idx="2">
                  <c:v>0</c:v>
                </c:pt>
              </c:numCache>
            </c:numRef>
          </c:xVal>
          <c:yVal>
            <c:numRef>
              <c:f>'R3'!$I$6:$I$8</c:f>
              <c:numCache>
                <c:formatCode>0.0_ </c:formatCode>
                <c:ptCount val="3"/>
                <c:pt idx="0">
                  <c:v>0</c:v>
                </c:pt>
                <c:pt idx="1">
                  <c:v>69.110933205064569</c:v>
                </c:pt>
                <c:pt idx="2">
                  <c:v>69.110933205064569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-2.1041621559108794</c:v>
                </c:pt>
                <c:pt idx="1">
                  <c:v>-2.1041621559108794</c:v>
                </c:pt>
                <c:pt idx="2">
                  <c:v>-7</c:v>
                </c:pt>
              </c:numCache>
            </c:numRef>
          </c:xVal>
          <c:yVal>
            <c:numRef>
              <c:f>'R'!$I$5:$I$7</c:f>
              <c:numCache>
                <c:formatCode>0.0_ </c:formatCode>
                <c:ptCount val="3"/>
                <c:pt idx="0">
                  <c:v>0</c:v>
                </c:pt>
                <c:pt idx="1">
                  <c:v>21.738798019478491</c:v>
                </c:pt>
                <c:pt idx="2">
                  <c:v>21.738798019478491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-2.1041621559108794</c:v>
                </c:pt>
              </c:numCache>
            </c:numRef>
          </c:xVal>
          <c:yVal>
            <c:numRef>
              <c:f>'R'!$I$4</c:f>
              <c:numCache>
                <c:formatCode>0.00_ </c:formatCode>
                <c:ptCount val="1"/>
                <c:pt idx="0">
                  <c:v>21.738798019478491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0.39725100000000002</c:v>
                </c:pt>
                <c:pt idx="2">
                  <c:v>0.80732800000000005</c:v>
                </c:pt>
                <c:pt idx="3">
                  <c:v>1.2138599999999999</c:v>
                </c:pt>
                <c:pt idx="4">
                  <c:v>1.61646</c:v>
                </c:pt>
                <c:pt idx="5">
                  <c:v>2.02556</c:v>
                </c:pt>
                <c:pt idx="6">
                  <c:v>2.43208</c:v>
                </c:pt>
                <c:pt idx="7">
                  <c:v>2.8379099999999999</c:v>
                </c:pt>
                <c:pt idx="8">
                  <c:v>3.24525</c:v>
                </c:pt>
                <c:pt idx="9">
                  <c:v>3.64777</c:v>
                </c:pt>
                <c:pt idx="10">
                  <c:v>4.05694</c:v>
                </c:pt>
                <c:pt idx="11">
                  <c:v>4.4608699999999999</c:v>
                </c:pt>
                <c:pt idx="12">
                  <c:v>4.8665799999999999</c:v>
                </c:pt>
              </c:numCache>
            </c:numRef>
          </c:xVal>
          <c:yVal>
            <c:numRef>
              <c:f>FT!$J$2:$J$2000</c:f>
              <c:numCache>
                <c:formatCode>General</c:formatCode>
                <c:ptCount val="1999"/>
                <c:pt idx="0">
                  <c:v>4.2916100000000004</c:v>
                </c:pt>
                <c:pt idx="1">
                  <c:v>4.3488199999999999</c:v>
                </c:pt>
                <c:pt idx="2">
                  <c:v>4.3773</c:v>
                </c:pt>
                <c:pt idx="3">
                  <c:v>4.3287800000000001</c:v>
                </c:pt>
                <c:pt idx="4">
                  <c:v>4.3435499999999996</c:v>
                </c:pt>
                <c:pt idx="5">
                  <c:v>4.4582600000000001</c:v>
                </c:pt>
                <c:pt idx="6">
                  <c:v>4.5816600000000003</c:v>
                </c:pt>
                <c:pt idx="7">
                  <c:v>4.5906900000000004</c:v>
                </c:pt>
                <c:pt idx="8">
                  <c:v>4.6020699999999994</c:v>
                </c:pt>
                <c:pt idx="9">
                  <c:v>4.6293199999999999</c:v>
                </c:pt>
                <c:pt idx="10">
                  <c:v>4.7952200000000005</c:v>
                </c:pt>
                <c:pt idx="11">
                  <c:v>4.8766600000000002</c:v>
                </c:pt>
                <c:pt idx="12">
                  <c:v>5.00535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4.2916100000000004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4.2916100000000004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4.2916100000000004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4.2916100000000004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4.2916100000000004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4.2916100000000004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4.2916100000000004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4.2916100000000004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4.2916100000000004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4.2916100000000004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4.2916100000000004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4.2916100000000004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4.2916100000000004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4.2916100000000004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4.2916100000000004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4.2916100000000004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4.2916100000000004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4.2916100000000004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4.2916100000000004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4.2916100000000004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4.2916100000000004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4.2916100000000004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4.2916100000000004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4.2916100000000004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0.39725100000000002</c:v>
                </c:pt>
                <c:pt idx="2">
                  <c:v>0.80732800000000005</c:v>
                </c:pt>
                <c:pt idx="3">
                  <c:v>1.2138599999999999</c:v>
                </c:pt>
                <c:pt idx="4">
                  <c:v>1.61646</c:v>
                </c:pt>
                <c:pt idx="5">
                  <c:v>2.02556</c:v>
                </c:pt>
                <c:pt idx="6">
                  <c:v>2.43208</c:v>
                </c:pt>
                <c:pt idx="7">
                  <c:v>2.8379099999999999</c:v>
                </c:pt>
                <c:pt idx="8">
                  <c:v>3.24525</c:v>
                </c:pt>
                <c:pt idx="9">
                  <c:v>3.64777</c:v>
                </c:pt>
                <c:pt idx="10">
                  <c:v>4.05694</c:v>
                </c:pt>
                <c:pt idx="11">
                  <c:v>4.4608699999999999</c:v>
                </c:pt>
                <c:pt idx="12">
                  <c:v>4.8665799999999999</c:v>
                </c:pt>
              </c:numCache>
            </c:numRef>
          </c:xVal>
          <c:yVal>
            <c:numRef>
              <c:f>FT!$K$2:$K$2000</c:f>
              <c:numCache>
                <c:formatCode>General</c:formatCode>
                <c:ptCount val="1999"/>
                <c:pt idx="0">
                  <c:v>53.144800000000004</c:v>
                </c:pt>
                <c:pt idx="1">
                  <c:v>53.669699999999999</c:v>
                </c:pt>
                <c:pt idx="2">
                  <c:v>54.675799999999995</c:v>
                </c:pt>
                <c:pt idx="3">
                  <c:v>57.347000000000001</c:v>
                </c:pt>
                <c:pt idx="4">
                  <c:v>58.407299999999992</c:v>
                </c:pt>
                <c:pt idx="5">
                  <c:v>56.3048</c:v>
                </c:pt>
                <c:pt idx="6">
                  <c:v>54.5871</c:v>
                </c:pt>
                <c:pt idx="7">
                  <c:v>55.422600000000003</c:v>
                </c:pt>
                <c:pt idx="8">
                  <c:v>56.139300000000006</c:v>
                </c:pt>
                <c:pt idx="9">
                  <c:v>55.167400000000001</c:v>
                </c:pt>
                <c:pt idx="10">
                  <c:v>52.2286</c:v>
                </c:pt>
                <c:pt idx="11">
                  <c:v>50.898900000000005</c:v>
                </c:pt>
                <c:pt idx="12">
                  <c:v>51.444100000000006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53.144800000000004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53.144800000000004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53.144800000000004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53.144800000000004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53.144800000000004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53.144800000000004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53.144800000000004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53.144800000000004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53.144800000000004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53.144800000000004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53.144800000000004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53.144800000000004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53.144800000000004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53.144800000000004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53.144800000000004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53.144800000000004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53.144800000000004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53.144800000000004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53.144800000000004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53.144800000000004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53.144800000000004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53.144800000000004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53.144800000000004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53.144800000000004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0.39725100000000002</c:v>
                </c:pt>
                <c:pt idx="2">
                  <c:v>0.80732800000000005</c:v>
                </c:pt>
                <c:pt idx="3">
                  <c:v>1.2138599999999999</c:v>
                </c:pt>
                <c:pt idx="4">
                  <c:v>1.61646</c:v>
                </c:pt>
                <c:pt idx="5">
                  <c:v>2.02556</c:v>
                </c:pt>
                <c:pt idx="6">
                  <c:v>2.43208</c:v>
                </c:pt>
                <c:pt idx="7">
                  <c:v>2.8379099999999999</c:v>
                </c:pt>
                <c:pt idx="8">
                  <c:v>3.24525</c:v>
                </c:pt>
                <c:pt idx="9">
                  <c:v>3.64777</c:v>
                </c:pt>
                <c:pt idx="10">
                  <c:v>4.05694</c:v>
                </c:pt>
                <c:pt idx="11">
                  <c:v>4.4608699999999999</c:v>
                </c:pt>
                <c:pt idx="12">
                  <c:v>4.8665799999999999</c:v>
                </c:pt>
              </c:numCache>
            </c:numRef>
          </c:xVal>
          <c:yVal>
            <c:numRef>
              <c:f>FT!$L$2:$L$2000</c:f>
              <c:numCache>
                <c:formatCode>General</c:formatCode>
                <c:ptCount val="1999"/>
                <c:pt idx="0">
                  <c:v>12.383417878138973</c:v>
                </c:pt>
                <c:pt idx="1">
                  <c:v>12.341209799439849</c:v>
                </c:pt>
                <c:pt idx="2">
                  <c:v>12.49075914376442</c:v>
                </c:pt>
                <c:pt idx="3">
                  <c:v>13.247843503250339</c:v>
                </c:pt>
                <c:pt idx="4">
                  <c:v>13.446904030113616</c:v>
                </c:pt>
                <c:pt idx="5">
                  <c:v>12.629321753329775</c:v>
                </c:pt>
                <c:pt idx="6">
                  <c:v>11.914262516205916</c:v>
                </c:pt>
                <c:pt idx="7">
                  <c:v>12.072825653659907</c:v>
                </c:pt>
                <c:pt idx="8">
                  <c:v>12.19870623436845</c:v>
                </c:pt>
                <c:pt idx="9">
                  <c:v>11.916955405977552</c:v>
                </c:pt>
                <c:pt idx="10">
                  <c:v>10.891804755569087</c:v>
                </c:pt>
                <c:pt idx="11">
                  <c:v>10.437245983931625</c:v>
                </c:pt>
                <c:pt idx="12">
                  <c:v>10.277822729679244</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0.12168666044106027</c:v>
                </c:pt>
                <c:pt idx="84">
                  <c:v>0</c:v>
                </c:pt>
                <c:pt idx="85">
                  <c:v>0</c:v>
                </c:pt>
                <c:pt idx="86">
                  <c:v>0.41139285970835432</c:v>
                </c:pt>
                <c:pt idx="87">
                  <c:v>0</c:v>
                </c:pt>
                <c:pt idx="88">
                  <c:v>0.63328783851734793</c:v>
                </c:pt>
                <c:pt idx="89">
                  <c:v>0</c:v>
                </c:pt>
                <c:pt idx="90">
                  <c:v>0</c:v>
                </c:pt>
                <c:pt idx="91">
                  <c:v>1</c:v>
                </c:pt>
                <c:pt idx="92">
                  <c:v>0</c:v>
                </c:pt>
                <c:pt idx="93">
                  <c:v>0.95833632641333233</c:v>
                </c:pt>
                <c:pt idx="94">
                  <c:v>0</c:v>
                </c:pt>
                <c:pt idx="95">
                  <c:v>0</c:v>
                </c:pt>
                <c:pt idx="96">
                  <c:v>0.71101213993247614</c:v>
                </c:pt>
                <c:pt idx="97">
                  <c:v>0</c:v>
                </c:pt>
                <c:pt idx="98">
                  <c:v>0.49989224912003449</c:v>
                </c:pt>
                <c:pt idx="99">
                  <c:v>0</c:v>
                </c:pt>
                <c:pt idx="100">
                  <c:v>0</c:v>
                </c:pt>
                <c:pt idx="101">
                  <c:v>0.53990374254723084</c:v>
                </c:pt>
                <c:pt idx="102">
                  <c:v>0</c:v>
                </c:pt>
                <c:pt idx="103">
                  <c:v>0</c:v>
                </c:pt>
                <c:pt idx="104">
                  <c:v>0.58048990733424322</c:v>
                </c:pt>
                <c:pt idx="105">
                  <c:v>0</c:v>
                </c:pt>
                <c:pt idx="106">
                  <c:v>0.43294303570145826</c:v>
                </c:pt>
                <c:pt idx="107">
                  <c:v>0</c:v>
                </c:pt>
                <c:pt idx="108">
                  <c:v>0</c:v>
                </c:pt>
                <c:pt idx="109">
                  <c:v>0.59485669132964591</c:v>
                </c:pt>
                <c:pt idx="110">
                  <c:v>0</c:v>
                </c:pt>
                <c:pt idx="111">
                  <c:v>0.34674233172904245</c:v>
                </c:pt>
                <c:pt idx="112">
                  <c:v>0</c:v>
                </c:pt>
                <c:pt idx="113">
                  <c:v>0</c:v>
                </c:pt>
                <c:pt idx="114">
                  <c:v>0.25666259607786795</c:v>
                </c:pt>
                <c:pt idx="115">
                  <c:v>0</c:v>
                </c:pt>
                <c:pt idx="116">
                  <c:v>0.31764959413835214</c:v>
                </c:pt>
                <c:pt idx="117">
                  <c:v>0</c:v>
                </c:pt>
                <c:pt idx="118">
                  <c:v>0</c:v>
                </c:pt>
                <c:pt idx="119">
                  <c:v>0.17477192730407298</c:v>
                </c:pt>
                <c:pt idx="120">
                  <c:v>0</c:v>
                </c:pt>
                <c:pt idx="121">
                  <c:v>0</c:v>
                </c:pt>
                <c:pt idx="122">
                  <c:v>8.6775375332231883E-2</c:v>
                </c:pt>
                <c:pt idx="123">
                  <c:v>0</c:v>
                </c:pt>
                <c:pt idx="124">
                  <c:v>0.16327850010775088</c:v>
                </c:pt>
                <c:pt idx="125">
                  <c:v>0</c:v>
                </c:pt>
                <c:pt idx="126">
                  <c:v>0</c:v>
                </c:pt>
                <c:pt idx="127">
                  <c:v>0.23698010200416636</c:v>
                </c:pt>
                <c:pt idx="128">
                  <c:v>0</c:v>
                </c:pt>
                <c:pt idx="129">
                  <c:v>0.14955822139214137</c:v>
                </c:pt>
                <c:pt idx="130">
                  <c:v>0</c:v>
                </c:pt>
                <c:pt idx="131">
                  <c:v>0</c:v>
                </c:pt>
                <c:pt idx="132">
                  <c:v>0.11083973852453129</c:v>
                </c:pt>
                <c:pt idx="133">
                  <c:v>0</c:v>
                </c:pt>
                <c:pt idx="134">
                  <c:v>0.46253861073198765</c:v>
                </c:pt>
                <c:pt idx="135">
                  <c:v>0</c:v>
                </c:pt>
                <c:pt idx="136">
                  <c:v>0</c:v>
                </c:pt>
                <c:pt idx="137">
                  <c:v>0.61238416780403715</c:v>
                </c:pt>
                <c:pt idx="138">
                  <c:v>0</c:v>
                </c:pt>
                <c:pt idx="139">
                  <c:v>0</c:v>
                </c:pt>
                <c:pt idx="140">
                  <c:v>0.46936283312980392</c:v>
                </c:pt>
                <c:pt idx="141">
                  <c:v>0</c:v>
                </c:pt>
                <c:pt idx="142">
                  <c:v>0.67028230730550964</c:v>
                </c:pt>
                <c:pt idx="143">
                  <c:v>0</c:v>
                </c:pt>
                <c:pt idx="144">
                  <c:v>0</c:v>
                </c:pt>
                <c:pt idx="145">
                  <c:v>0.69801020041663675</c:v>
                </c:pt>
                <c:pt idx="146">
                  <c:v>0</c:v>
                </c:pt>
                <c:pt idx="147">
                  <c:v>0.46081459665253938</c:v>
                </c:pt>
                <c:pt idx="148">
                  <c:v>0</c:v>
                </c:pt>
                <c:pt idx="149">
                  <c:v>0</c:v>
                </c:pt>
                <c:pt idx="150">
                  <c:v>0.34947202068816896</c:v>
                </c:pt>
                <c:pt idx="151">
                  <c:v>0</c:v>
                </c:pt>
                <c:pt idx="152">
                  <c:v>0.32052295093743266</c:v>
                </c:pt>
                <c:pt idx="153">
                  <c:v>0</c:v>
                </c:pt>
                <c:pt idx="154">
                  <c:v>0</c:v>
                </c:pt>
                <c:pt idx="155">
                  <c:v>0.33596724373249048</c:v>
                </c:pt>
                <c:pt idx="156">
                  <c:v>0</c:v>
                </c:pt>
                <c:pt idx="157">
                  <c:v>0</c:v>
                </c:pt>
                <c:pt idx="158">
                  <c:v>0.13598161051648588</c:v>
                </c:pt>
                <c:pt idx="159">
                  <c:v>0</c:v>
                </c:pt>
                <c:pt idx="160">
                  <c:v>6.7021047338553269E-2</c:v>
                </c:pt>
                <c:pt idx="161">
                  <c:v>0</c:v>
                </c:pt>
                <c:pt idx="162">
                  <c:v>0</c:v>
                </c:pt>
                <c:pt idx="163">
                  <c:v>3.3402772789311114E-2</c:v>
                </c:pt>
                <c:pt idx="164">
                  <c:v>0</c:v>
                </c:pt>
                <c:pt idx="165">
                  <c:v>2.2699518712736157E-2</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2.7278617322927046E-4</c:v>
                </c:pt>
                <c:pt idx="38">
                  <c:v>0</c:v>
                </c:pt>
                <c:pt idx="39">
                  <c:v>8.86555062995129E-4</c:v>
                </c:pt>
                <c:pt idx="40">
                  <c:v>0</c:v>
                </c:pt>
                <c:pt idx="41">
                  <c:v>0</c:v>
                </c:pt>
                <c:pt idx="42">
                  <c:v>3.6485150669414925E-3</c:v>
                </c:pt>
                <c:pt idx="43">
                  <c:v>0</c:v>
                </c:pt>
                <c:pt idx="44">
                  <c:v>1.5241927429185488E-2</c:v>
                </c:pt>
                <c:pt idx="45">
                  <c:v>0</c:v>
                </c:pt>
                <c:pt idx="46">
                  <c:v>0</c:v>
                </c:pt>
                <c:pt idx="47">
                  <c:v>4.3543492901722297E-2</c:v>
                </c:pt>
                <c:pt idx="48">
                  <c:v>0</c:v>
                </c:pt>
                <c:pt idx="49">
                  <c:v>0.10328366483893253</c:v>
                </c:pt>
                <c:pt idx="50">
                  <c:v>0</c:v>
                </c:pt>
                <c:pt idx="51">
                  <c:v>0</c:v>
                </c:pt>
                <c:pt idx="52">
                  <c:v>0.20888600788802991</c:v>
                </c:pt>
                <c:pt idx="53">
                  <c:v>0</c:v>
                </c:pt>
                <c:pt idx="54">
                  <c:v>0</c:v>
                </c:pt>
                <c:pt idx="55">
                  <c:v>0.37739969623639941</c:v>
                </c:pt>
                <c:pt idx="56">
                  <c:v>0</c:v>
                </c:pt>
                <c:pt idx="57">
                  <c:v>0.62805608690016135</c:v>
                </c:pt>
                <c:pt idx="58">
                  <c:v>0</c:v>
                </c:pt>
                <c:pt idx="59">
                  <c:v>0</c:v>
                </c:pt>
                <c:pt idx="60">
                  <c:v>0.85494596517218735</c:v>
                </c:pt>
                <c:pt idx="61">
                  <c:v>0</c:v>
                </c:pt>
                <c:pt idx="62">
                  <c:v>0.98165512558804757</c:v>
                </c:pt>
                <c:pt idx="63">
                  <c:v>0</c:v>
                </c:pt>
                <c:pt idx="64">
                  <c:v>0</c:v>
                </c:pt>
                <c:pt idx="65">
                  <c:v>1</c:v>
                </c:pt>
                <c:pt idx="66">
                  <c:v>0</c:v>
                </c:pt>
                <c:pt idx="67">
                  <c:v>0.94237390385618081</c:v>
                </c:pt>
                <c:pt idx="68">
                  <c:v>0</c:v>
                </c:pt>
                <c:pt idx="69">
                  <c:v>0</c:v>
                </c:pt>
                <c:pt idx="70">
                  <c:v>0.87148364823563162</c:v>
                </c:pt>
                <c:pt idx="71">
                  <c:v>0</c:v>
                </c:pt>
                <c:pt idx="72">
                  <c:v>0</c:v>
                </c:pt>
                <c:pt idx="73">
                  <c:v>0.80205952452594276</c:v>
                </c:pt>
                <c:pt idx="74">
                  <c:v>0</c:v>
                </c:pt>
                <c:pt idx="75">
                  <c:v>0.77822485395145502</c:v>
                </c:pt>
                <c:pt idx="76">
                  <c:v>0</c:v>
                </c:pt>
                <c:pt idx="77">
                  <c:v>0</c:v>
                </c:pt>
                <c:pt idx="78">
                  <c:v>0.75179870620672129</c:v>
                </c:pt>
                <c:pt idx="79">
                  <c:v>0</c:v>
                </c:pt>
                <c:pt idx="80">
                  <c:v>0.7200873007819667</c:v>
                </c:pt>
                <c:pt idx="81">
                  <c:v>0</c:v>
                </c:pt>
                <c:pt idx="82">
                  <c:v>0</c:v>
                </c:pt>
                <c:pt idx="83">
                  <c:v>0.65475499950670457</c:v>
                </c:pt>
                <c:pt idx="84">
                  <c:v>0</c:v>
                </c:pt>
                <c:pt idx="85">
                  <c:v>0</c:v>
                </c:pt>
                <c:pt idx="86">
                  <c:v>0.5484706697131142</c:v>
                </c:pt>
                <c:pt idx="87">
                  <c:v>0</c:v>
                </c:pt>
                <c:pt idx="88">
                  <c:v>0.46619156578653925</c:v>
                </c:pt>
                <c:pt idx="89">
                  <c:v>0</c:v>
                </c:pt>
                <c:pt idx="90">
                  <c:v>0</c:v>
                </c:pt>
                <c:pt idx="91">
                  <c:v>0.37211444281866252</c:v>
                </c:pt>
                <c:pt idx="92">
                  <c:v>0</c:v>
                </c:pt>
                <c:pt idx="93">
                  <c:v>0.28226548848670369</c:v>
                </c:pt>
                <c:pt idx="94">
                  <c:v>0</c:v>
                </c:pt>
                <c:pt idx="95">
                  <c:v>0</c:v>
                </c:pt>
                <c:pt idx="96">
                  <c:v>0.21908140389932576</c:v>
                </c:pt>
                <c:pt idx="97">
                  <c:v>0</c:v>
                </c:pt>
                <c:pt idx="98">
                  <c:v>0.16329662294937203</c:v>
                </c:pt>
                <c:pt idx="99">
                  <c:v>0</c:v>
                </c:pt>
                <c:pt idx="100">
                  <c:v>0</c:v>
                </c:pt>
                <c:pt idx="101">
                  <c:v>0.11832100263819607</c:v>
                </c:pt>
                <c:pt idx="102">
                  <c:v>0</c:v>
                </c:pt>
                <c:pt idx="103">
                  <c:v>0</c:v>
                </c:pt>
                <c:pt idx="104">
                  <c:v>9.3906640134176364E-2</c:v>
                </c:pt>
                <c:pt idx="105">
                  <c:v>0</c:v>
                </c:pt>
                <c:pt idx="106">
                  <c:v>7.11971912128396E-2</c:v>
                </c:pt>
                <c:pt idx="107">
                  <c:v>0</c:v>
                </c:pt>
                <c:pt idx="108">
                  <c:v>0</c:v>
                </c:pt>
                <c:pt idx="109">
                  <c:v>5.6637229216727286E-2</c:v>
                </c:pt>
                <c:pt idx="110">
                  <c:v>0</c:v>
                </c:pt>
                <c:pt idx="111">
                  <c:v>5.1863471185215046E-2</c:v>
                </c:pt>
                <c:pt idx="112">
                  <c:v>0</c:v>
                </c:pt>
                <c:pt idx="113">
                  <c:v>0</c:v>
                </c:pt>
                <c:pt idx="114">
                  <c:v>4.8828720745755456E-2</c:v>
                </c:pt>
                <c:pt idx="115">
                  <c:v>0</c:v>
                </c:pt>
                <c:pt idx="116">
                  <c:v>4.4532347041962357E-2</c:v>
                </c:pt>
                <c:pt idx="117">
                  <c:v>0</c:v>
                </c:pt>
                <c:pt idx="118">
                  <c:v>0</c:v>
                </c:pt>
                <c:pt idx="119">
                  <c:v>4.0781532897775932E-2</c:v>
                </c:pt>
                <c:pt idx="120">
                  <c:v>0</c:v>
                </c:pt>
                <c:pt idx="121">
                  <c:v>0</c:v>
                </c:pt>
                <c:pt idx="122">
                  <c:v>3.8190064252097873E-2</c:v>
                </c:pt>
                <c:pt idx="123">
                  <c:v>0</c:v>
                </c:pt>
                <c:pt idx="124">
                  <c:v>3.5632693878073454E-2</c:v>
                </c:pt>
                <c:pt idx="125">
                  <c:v>0</c:v>
                </c:pt>
                <c:pt idx="126">
                  <c:v>0</c:v>
                </c:pt>
                <c:pt idx="127">
                  <c:v>3.3109421775702703E-2</c:v>
                </c:pt>
                <c:pt idx="128">
                  <c:v>0</c:v>
                </c:pt>
                <c:pt idx="129">
                  <c:v>3.1029427204829516E-2</c:v>
                </c:pt>
                <c:pt idx="130">
                  <c:v>0</c:v>
                </c:pt>
                <c:pt idx="131">
                  <c:v>0</c:v>
                </c:pt>
                <c:pt idx="132">
                  <c:v>3.0415658315063657E-2</c:v>
                </c:pt>
                <c:pt idx="133">
                  <c:v>0</c:v>
                </c:pt>
                <c:pt idx="134">
                  <c:v>2.6664848433161189E-2</c:v>
                </c:pt>
                <c:pt idx="135">
                  <c:v>0</c:v>
                </c:pt>
                <c:pt idx="136">
                  <c:v>0</c:v>
                </c:pt>
                <c:pt idx="137">
                  <c:v>2.4891738307170931E-2</c:v>
                </c:pt>
                <c:pt idx="138">
                  <c:v>0</c:v>
                </c:pt>
                <c:pt idx="139">
                  <c:v>0</c:v>
                </c:pt>
                <c:pt idx="140">
                  <c:v>2.2538957563068476E-2</c:v>
                </c:pt>
                <c:pt idx="141">
                  <c:v>0</c:v>
                </c:pt>
                <c:pt idx="142">
                  <c:v>2.0493061263848943E-2</c:v>
                </c:pt>
                <c:pt idx="143">
                  <c:v>0</c:v>
                </c:pt>
                <c:pt idx="144">
                  <c:v>0</c:v>
                </c:pt>
                <c:pt idx="145">
                  <c:v>1.6639956566985498E-2</c:v>
                </c:pt>
                <c:pt idx="146">
                  <c:v>0</c:v>
                </c:pt>
                <c:pt idx="147">
                  <c:v>1.0706857299248865E-2</c:v>
                </c:pt>
                <c:pt idx="148">
                  <c:v>0</c:v>
                </c:pt>
                <c:pt idx="149">
                  <c:v>0</c:v>
                </c:pt>
                <c:pt idx="150">
                  <c:v>8.4222730984537253E-3</c:v>
                </c:pt>
                <c:pt idx="151">
                  <c:v>0</c:v>
                </c:pt>
                <c:pt idx="152">
                  <c:v>5.5580182795463865E-3</c:v>
                </c:pt>
                <c:pt idx="153">
                  <c:v>0</c:v>
                </c:pt>
                <c:pt idx="154">
                  <c:v>0</c:v>
                </c:pt>
                <c:pt idx="155">
                  <c:v>2.7619600039463636E-3</c:v>
                </c:pt>
                <c:pt idx="156">
                  <c:v>0</c:v>
                </c:pt>
                <c:pt idx="157">
                  <c:v>0</c:v>
                </c:pt>
                <c:pt idx="158">
                  <c:v>1.3298325944926935E-3</c:v>
                </c:pt>
                <c:pt idx="159">
                  <c:v>0</c:v>
                </c:pt>
                <c:pt idx="160">
                  <c:v>7.1606370472683501E-4</c:v>
                </c:pt>
                <c:pt idx="161">
                  <c:v>0</c:v>
                </c:pt>
                <c:pt idx="162">
                  <c:v>0</c:v>
                </c:pt>
                <c:pt idx="163">
                  <c:v>3.0688444488292927E-4</c:v>
                </c:pt>
                <c:pt idx="164">
                  <c:v>0</c:v>
                </c:pt>
                <c:pt idx="165">
                  <c:v>1.0229481496097644E-4</c:v>
                </c:pt>
                <c:pt idx="166">
                  <c:v>0</c:v>
                </c:pt>
                <c:pt idx="167">
                  <c:v>0</c:v>
                </c:pt>
                <c:pt idx="168">
                  <c:v>3.4098271653658808E-5</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(64.6 , 69.1)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64.623867402034818</c:v>
                </c:pt>
              </c:numCache>
            </c:numRef>
          </c:xVal>
          <c:yVal>
            <c:numRef>
              <c:f>info!$W$20:$W$21</c:f>
              <c:numCache>
                <c:formatCode>General</c:formatCode>
                <c:ptCount val="2"/>
                <c:pt idx="0">
                  <c:v>50</c:v>
                </c:pt>
                <c:pt idx="1">
                  <c:v>69.110933205064569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68.215099999999993</c:v>
                      </c:pt>
                    </c:numCache>
                  </c:numRef>
                </c:xVal>
                <c:yVal>
                  <c:numRef>
                    <c:extLst>
                      <c:ext uri="{02D57815-91ED-43cb-92C2-25804820EDAC}">
                        <c15:formulaRef>
                          <c15:sqref>info!$W$18</c15:sqref>
                        </c15:formulaRef>
                      </c:ext>
                    </c:extLst>
                    <c:numCache>
                      <c:formatCode>General</c:formatCode>
                      <c:ptCount val="1"/>
                      <c:pt idx="0">
                        <c:v>56.9512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(64.6 , 69.1)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64.623867402034818</c:v>
                </c:pt>
              </c:numCache>
            </c:numRef>
          </c:xVal>
          <c:yVal>
            <c:numRef>
              <c:f>info!$W$20:$W$21</c:f>
              <c:numCache>
                <c:formatCode>General</c:formatCode>
                <c:ptCount val="2"/>
                <c:pt idx="0">
                  <c:v>50</c:v>
                </c:pt>
                <c:pt idx="1">
                  <c:v>69.110933205064569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35.539299999999997</c:v>
                </c:pt>
                <c:pt idx="1">
                  <c:v>0</c:v>
                </c:pt>
                <c:pt idx="2">
                  <c:v>19.284800000000001</c:v>
                </c:pt>
                <c:pt idx="3">
                  <c:v>19.927</c:v>
                </c:pt>
                <c:pt idx="4">
                  <c:v>26.224699999999999</c:v>
                </c:pt>
                <c:pt idx="5">
                  <c:v>89.071299999999994</c:v>
                </c:pt>
                <c:pt idx="6">
                  <c:v>36.085000000000001</c:v>
                </c:pt>
                <c:pt idx="7">
                  <c:v>58.072099999999999</c:v>
                </c:pt>
                <c:pt idx="8">
                  <c:v>17.615500000000001</c:v>
                </c:pt>
                <c:pt idx="9">
                  <c:v>27.118300000000001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0.56052691158390866</c:v>
                </c:pt>
                <c:pt idx="1">
                  <c:v>0.20004479867091926</c:v>
                </c:pt>
                <c:pt idx="2">
                  <c:v>0.23942828974517211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0.12168666044106027</c:v>
                </c:pt>
                <c:pt idx="84">
                  <c:v>0</c:v>
                </c:pt>
                <c:pt idx="85">
                  <c:v>0</c:v>
                </c:pt>
                <c:pt idx="86">
                  <c:v>0.41139285970835432</c:v>
                </c:pt>
                <c:pt idx="87">
                  <c:v>0</c:v>
                </c:pt>
                <c:pt idx="88">
                  <c:v>0.63328783851734793</c:v>
                </c:pt>
                <c:pt idx="89">
                  <c:v>0</c:v>
                </c:pt>
                <c:pt idx="90">
                  <c:v>0</c:v>
                </c:pt>
                <c:pt idx="91">
                  <c:v>1</c:v>
                </c:pt>
                <c:pt idx="92">
                  <c:v>0</c:v>
                </c:pt>
                <c:pt idx="93">
                  <c:v>0.95833632641333233</c:v>
                </c:pt>
                <c:pt idx="94">
                  <c:v>0</c:v>
                </c:pt>
                <c:pt idx="95">
                  <c:v>0</c:v>
                </c:pt>
                <c:pt idx="96">
                  <c:v>0.71101213993247614</c:v>
                </c:pt>
                <c:pt idx="97">
                  <c:v>0</c:v>
                </c:pt>
                <c:pt idx="98">
                  <c:v>0.49989224912003449</c:v>
                </c:pt>
                <c:pt idx="99">
                  <c:v>0</c:v>
                </c:pt>
                <c:pt idx="100">
                  <c:v>0</c:v>
                </c:pt>
                <c:pt idx="101">
                  <c:v>0.53990374254723084</c:v>
                </c:pt>
                <c:pt idx="102">
                  <c:v>0</c:v>
                </c:pt>
                <c:pt idx="103">
                  <c:v>0</c:v>
                </c:pt>
                <c:pt idx="104">
                  <c:v>0.58048990733424322</c:v>
                </c:pt>
                <c:pt idx="105">
                  <c:v>0</c:v>
                </c:pt>
                <c:pt idx="106">
                  <c:v>0.43294303570145826</c:v>
                </c:pt>
                <c:pt idx="107">
                  <c:v>0</c:v>
                </c:pt>
                <c:pt idx="108">
                  <c:v>0</c:v>
                </c:pt>
                <c:pt idx="109">
                  <c:v>0.59485669132964591</c:v>
                </c:pt>
                <c:pt idx="110">
                  <c:v>0</c:v>
                </c:pt>
                <c:pt idx="111">
                  <c:v>0.34674233172904245</c:v>
                </c:pt>
                <c:pt idx="112">
                  <c:v>0</c:v>
                </c:pt>
                <c:pt idx="113">
                  <c:v>0</c:v>
                </c:pt>
                <c:pt idx="114">
                  <c:v>0.25666259607786795</c:v>
                </c:pt>
                <c:pt idx="115">
                  <c:v>0</c:v>
                </c:pt>
                <c:pt idx="116">
                  <c:v>0.31764959413835214</c:v>
                </c:pt>
                <c:pt idx="117">
                  <c:v>0</c:v>
                </c:pt>
                <c:pt idx="118">
                  <c:v>0</c:v>
                </c:pt>
                <c:pt idx="119">
                  <c:v>0.17477192730407298</c:v>
                </c:pt>
                <c:pt idx="120">
                  <c:v>0</c:v>
                </c:pt>
                <c:pt idx="121">
                  <c:v>0</c:v>
                </c:pt>
                <c:pt idx="122">
                  <c:v>8.6775375332231883E-2</c:v>
                </c:pt>
                <c:pt idx="123">
                  <c:v>0</c:v>
                </c:pt>
                <c:pt idx="124">
                  <c:v>0.16327850010775088</c:v>
                </c:pt>
                <c:pt idx="125">
                  <c:v>0</c:v>
                </c:pt>
                <c:pt idx="126">
                  <c:v>0</c:v>
                </c:pt>
                <c:pt idx="127">
                  <c:v>0.23698010200416636</c:v>
                </c:pt>
                <c:pt idx="128">
                  <c:v>0</c:v>
                </c:pt>
                <c:pt idx="129">
                  <c:v>0.14955822139214137</c:v>
                </c:pt>
                <c:pt idx="130">
                  <c:v>0</c:v>
                </c:pt>
                <c:pt idx="131">
                  <c:v>0</c:v>
                </c:pt>
                <c:pt idx="132">
                  <c:v>0.11083973852453129</c:v>
                </c:pt>
                <c:pt idx="133">
                  <c:v>0</c:v>
                </c:pt>
                <c:pt idx="134">
                  <c:v>0.46253861073198765</c:v>
                </c:pt>
                <c:pt idx="135">
                  <c:v>0</c:v>
                </c:pt>
                <c:pt idx="136">
                  <c:v>0</c:v>
                </c:pt>
                <c:pt idx="137">
                  <c:v>0.61238416780403715</c:v>
                </c:pt>
                <c:pt idx="138">
                  <c:v>0</c:v>
                </c:pt>
                <c:pt idx="139">
                  <c:v>0</c:v>
                </c:pt>
                <c:pt idx="140">
                  <c:v>0.46936283312980392</c:v>
                </c:pt>
                <c:pt idx="141">
                  <c:v>0</c:v>
                </c:pt>
                <c:pt idx="142">
                  <c:v>0.67028230730550964</c:v>
                </c:pt>
                <c:pt idx="143">
                  <c:v>0</c:v>
                </c:pt>
                <c:pt idx="144">
                  <c:v>0</c:v>
                </c:pt>
                <c:pt idx="145">
                  <c:v>0.69801020041663675</c:v>
                </c:pt>
                <c:pt idx="146">
                  <c:v>0</c:v>
                </c:pt>
                <c:pt idx="147">
                  <c:v>0.46081459665253938</c:v>
                </c:pt>
                <c:pt idx="148">
                  <c:v>0</c:v>
                </c:pt>
                <c:pt idx="149">
                  <c:v>0</c:v>
                </c:pt>
                <c:pt idx="150">
                  <c:v>0.34947202068816896</c:v>
                </c:pt>
                <c:pt idx="151">
                  <c:v>0</c:v>
                </c:pt>
                <c:pt idx="152">
                  <c:v>0.32052295093743266</c:v>
                </c:pt>
                <c:pt idx="153">
                  <c:v>0</c:v>
                </c:pt>
                <c:pt idx="154">
                  <c:v>0</c:v>
                </c:pt>
                <c:pt idx="155">
                  <c:v>0.33596724373249048</c:v>
                </c:pt>
                <c:pt idx="156">
                  <c:v>0</c:v>
                </c:pt>
                <c:pt idx="157">
                  <c:v>0</c:v>
                </c:pt>
                <c:pt idx="158">
                  <c:v>0.13598161051648588</c:v>
                </c:pt>
                <c:pt idx="159">
                  <c:v>0</c:v>
                </c:pt>
                <c:pt idx="160">
                  <c:v>6.7021047338553269E-2</c:v>
                </c:pt>
                <c:pt idx="161">
                  <c:v>0</c:v>
                </c:pt>
                <c:pt idx="162">
                  <c:v>0</c:v>
                </c:pt>
                <c:pt idx="163">
                  <c:v>3.3402772789311114E-2</c:v>
                </c:pt>
                <c:pt idx="164">
                  <c:v>0</c:v>
                </c:pt>
                <c:pt idx="165">
                  <c:v>2.2699518712736157E-2</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3"/>
                <c:pt idx="0">
                  <c:v>4.2916100000000004</c:v>
                </c:pt>
                <c:pt idx="1">
                  <c:v>4.3488199999999999</c:v>
                </c:pt>
                <c:pt idx="2">
                  <c:v>4.3773</c:v>
                </c:pt>
                <c:pt idx="3">
                  <c:v>4.3287800000000001</c:v>
                </c:pt>
                <c:pt idx="4">
                  <c:v>4.3435499999999996</c:v>
                </c:pt>
                <c:pt idx="5">
                  <c:v>4.4582600000000001</c:v>
                </c:pt>
                <c:pt idx="6">
                  <c:v>4.5816600000000003</c:v>
                </c:pt>
                <c:pt idx="7">
                  <c:v>4.5906900000000004</c:v>
                </c:pt>
                <c:pt idx="8">
                  <c:v>4.6020699999999994</c:v>
                </c:pt>
                <c:pt idx="9">
                  <c:v>4.6293199999999999</c:v>
                </c:pt>
                <c:pt idx="10">
                  <c:v>4.7952200000000005</c:v>
                </c:pt>
                <c:pt idx="11">
                  <c:v>4.8766600000000002</c:v>
                </c:pt>
                <c:pt idx="12">
                  <c:v>5.00535</c:v>
                </c:pt>
              </c:numCache>
              <c:extLst xmlns:c15="http://schemas.microsoft.com/office/drawing/2012/chart"/>
            </c:numRef>
          </c:xVal>
          <c:yVal>
            <c:numRef>
              <c:f>[0]!FT_PH</c:f>
              <c:numCache>
                <c:formatCode>0.00</c:formatCode>
                <c:ptCount val="13"/>
                <c:pt idx="0">
                  <c:v>53.144800000000004</c:v>
                </c:pt>
                <c:pt idx="1">
                  <c:v>53.669699999999999</c:v>
                </c:pt>
                <c:pt idx="2">
                  <c:v>54.675799999999995</c:v>
                </c:pt>
                <c:pt idx="3">
                  <c:v>57.347000000000001</c:v>
                </c:pt>
                <c:pt idx="4">
                  <c:v>58.407299999999992</c:v>
                </c:pt>
                <c:pt idx="5">
                  <c:v>56.3048</c:v>
                </c:pt>
                <c:pt idx="6">
                  <c:v>54.5871</c:v>
                </c:pt>
                <c:pt idx="7">
                  <c:v>55.422600000000003</c:v>
                </c:pt>
                <c:pt idx="8">
                  <c:v>56.139300000000006</c:v>
                </c:pt>
                <c:pt idx="9">
                  <c:v>55.167400000000001</c:v>
                </c:pt>
                <c:pt idx="10">
                  <c:v>52.2286</c:v>
                </c:pt>
                <c:pt idx="11">
                  <c:v>50.898900000000005</c:v>
                </c:pt>
                <c:pt idx="12">
                  <c:v>51.444100000000006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4.2916100000000004</c:v>
                </c:pt>
              </c:numCache>
            </c:numRef>
          </c:xVal>
          <c:yVal>
            <c:numRef>
              <c:f>[0]!FT_PH01</c:f>
              <c:numCache>
                <c:formatCode>0.00</c:formatCode>
                <c:ptCount val="1"/>
                <c:pt idx="0">
                  <c:v>53.144800000000004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4.2916100000000004</c:v>
                </c:pt>
              </c:numCache>
            </c:numRef>
          </c:xVal>
          <c:yVal>
            <c:numRef>
              <c:f>[0]!FT_PH02</c:f>
              <c:numCache>
                <c:formatCode>0.00</c:formatCode>
                <c:ptCount val="1"/>
                <c:pt idx="0">
                  <c:v>53.144800000000004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4.2916100000000004</c:v>
                </c:pt>
              </c:numCache>
            </c:numRef>
          </c:xVal>
          <c:yVal>
            <c:numRef>
              <c:f>[0]!FT_PH03</c:f>
              <c:numCache>
                <c:formatCode>0.00</c:formatCode>
                <c:ptCount val="1"/>
                <c:pt idx="0">
                  <c:v>53.144800000000004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4.2916100000000004</c:v>
                </c:pt>
              </c:numCache>
            </c:numRef>
          </c:xVal>
          <c:yVal>
            <c:numRef>
              <c:f>[0]!FT_PH04</c:f>
              <c:numCache>
                <c:formatCode>0.00</c:formatCode>
                <c:ptCount val="1"/>
                <c:pt idx="0">
                  <c:v>53.144800000000004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4.2916100000000004</c:v>
                </c:pt>
              </c:numCache>
            </c:numRef>
          </c:xVal>
          <c:yVal>
            <c:numRef>
              <c:f>[0]!FT_PH05</c:f>
              <c:numCache>
                <c:formatCode>0.00</c:formatCode>
                <c:ptCount val="1"/>
                <c:pt idx="0">
                  <c:v>53.144800000000004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4.2916100000000004</c:v>
                </c:pt>
              </c:numCache>
            </c:numRef>
          </c:xVal>
          <c:yVal>
            <c:numRef>
              <c:f>[0]!FT_PH06</c:f>
              <c:numCache>
                <c:formatCode>0.00</c:formatCode>
                <c:ptCount val="1"/>
                <c:pt idx="0">
                  <c:v>53.144800000000004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4.2916100000000004</c:v>
                </c:pt>
              </c:numCache>
            </c:numRef>
          </c:xVal>
          <c:yVal>
            <c:numRef>
              <c:f>[0]!FT_PH07</c:f>
              <c:numCache>
                <c:formatCode>0.00</c:formatCode>
                <c:ptCount val="1"/>
                <c:pt idx="0">
                  <c:v>53.144800000000004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4.2916100000000004</c:v>
                </c:pt>
              </c:numCache>
            </c:numRef>
          </c:xVal>
          <c:yVal>
            <c:numRef>
              <c:f>[0]!FT_PH08</c:f>
              <c:numCache>
                <c:formatCode>0.00</c:formatCode>
                <c:ptCount val="1"/>
                <c:pt idx="0">
                  <c:v>53.144800000000004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4.2916100000000004</c:v>
                </c:pt>
              </c:numCache>
            </c:numRef>
          </c:xVal>
          <c:yVal>
            <c:numRef>
              <c:f>[0]!FT_PH09</c:f>
              <c:numCache>
                <c:formatCode>0.00</c:formatCode>
                <c:ptCount val="1"/>
                <c:pt idx="0">
                  <c:v>53.144800000000004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4.2916100000000004</c:v>
                </c:pt>
              </c:numCache>
            </c:numRef>
          </c:xVal>
          <c:yVal>
            <c:numRef>
              <c:f>[0]!FT_PH10</c:f>
              <c:numCache>
                <c:formatCode>0.00</c:formatCode>
                <c:ptCount val="1"/>
                <c:pt idx="0">
                  <c:v>53.144800000000004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4.2916100000000004</c:v>
                </c:pt>
              </c:numCache>
            </c:numRef>
          </c:xVal>
          <c:yVal>
            <c:numRef>
              <c:f>[0]!FT_PH11</c:f>
              <c:numCache>
                <c:formatCode>0.00</c:formatCode>
                <c:ptCount val="1"/>
                <c:pt idx="0">
                  <c:v>53.144800000000004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4.2916100000000004</c:v>
                </c:pt>
              </c:numCache>
            </c:numRef>
          </c:xVal>
          <c:yVal>
            <c:numRef>
              <c:f>[0]!FT_PH12</c:f>
              <c:numCache>
                <c:formatCode>0.00</c:formatCode>
                <c:ptCount val="1"/>
                <c:pt idx="0">
                  <c:v>53.144800000000004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4.2916100000000004</c:v>
                </c:pt>
              </c:numCache>
            </c:numRef>
          </c:xVal>
          <c:yVal>
            <c:numRef>
              <c:f>[0]!FT_PH13</c:f>
              <c:numCache>
                <c:formatCode>0.00</c:formatCode>
                <c:ptCount val="1"/>
                <c:pt idx="0">
                  <c:v>53.144800000000004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4.2916100000000004</c:v>
                </c:pt>
              </c:numCache>
            </c:numRef>
          </c:xVal>
          <c:yVal>
            <c:numRef>
              <c:f>[0]!FT_PH14</c:f>
              <c:numCache>
                <c:formatCode>0.00</c:formatCode>
                <c:ptCount val="1"/>
                <c:pt idx="0">
                  <c:v>53.144800000000004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4.2916100000000004</c:v>
                </c:pt>
              </c:numCache>
            </c:numRef>
          </c:xVal>
          <c:yVal>
            <c:numRef>
              <c:f>[0]!FT_PH15</c:f>
              <c:numCache>
                <c:formatCode>0.00</c:formatCode>
                <c:ptCount val="1"/>
                <c:pt idx="0">
                  <c:v>53.144800000000004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4.2916100000000004</c:v>
                </c:pt>
              </c:numCache>
            </c:numRef>
          </c:xVal>
          <c:yVal>
            <c:numRef>
              <c:f>[0]!FT_PH16</c:f>
              <c:numCache>
                <c:formatCode>0.00</c:formatCode>
                <c:ptCount val="1"/>
                <c:pt idx="0">
                  <c:v>53.144800000000004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4.2916100000000004</c:v>
                </c:pt>
              </c:numCache>
            </c:numRef>
          </c:xVal>
          <c:yVal>
            <c:numRef>
              <c:f>[0]!FT_PH17</c:f>
              <c:numCache>
                <c:formatCode>0.00</c:formatCode>
                <c:ptCount val="1"/>
                <c:pt idx="0">
                  <c:v>53.144800000000004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4.2916100000000004</c:v>
                </c:pt>
              </c:numCache>
            </c:numRef>
          </c:xVal>
          <c:yVal>
            <c:numRef>
              <c:f>[0]!FT_PH18</c:f>
              <c:numCache>
                <c:formatCode>0.00</c:formatCode>
                <c:ptCount val="1"/>
                <c:pt idx="0">
                  <c:v>53.144800000000004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4.2916100000000004</c:v>
                </c:pt>
              </c:numCache>
            </c:numRef>
          </c:xVal>
          <c:yVal>
            <c:numRef>
              <c:f>[0]!FT_PH19</c:f>
              <c:numCache>
                <c:formatCode>0.00</c:formatCode>
                <c:ptCount val="1"/>
                <c:pt idx="0">
                  <c:v>53.144800000000004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4.2916100000000004</c:v>
                </c:pt>
              </c:numCache>
            </c:numRef>
          </c:xVal>
          <c:yVal>
            <c:numRef>
              <c:f>[0]!FT_PH20</c:f>
              <c:numCache>
                <c:formatCode>0.00</c:formatCode>
                <c:ptCount val="1"/>
                <c:pt idx="0">
                  <c:v>53.144800000000004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4.2916100000000004</c:v>
                </c:pt>
              </c:numCache>
            </c:numRef>
          </c:xVal>
          <c:yVal>
            <c:numRef>
              <c:f>[0]!FT_PH21</c:f>
              <c:numCache>
                <c:formatCode>0.00</c:formatCode>
                <c:ptCount val="1"/>
                <c:pt idx="0">
                  <c:v>53.144800000000004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4.2916100000000004</c:v>
                </c:pt>
              </c:numCache>
            </c:numRef>
          </c:xVal>
          <c:yVal>
            <c:numRef>
              <c:f>[0]!FT_PH22</c:f>
              <c:numCache>
                <c:formatCode>0.00</c:formatCode>
                <c:ptCount val="1"/>
                <c:pt idx="0">
                  <c:v>53.144800000000004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4.2916100000000004</c:v>
                </c:pt>
              </c:numCache>
            </c:numRef>
          </c:xVal>
          <c:yVal>
            <c:numRef>
              <c:f>[0]!FT_PH23</c:f>
              <c:numCache>
                <c:formatCode>0.00</c:formatCode>
                <c:ptCount val="1"/>
                <c:pt idx="0">
                  <c:v>53.144800000000004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4.2916100000000004</c:v>
                </c:pt>
              </c:numCache>
            </c:numRef>
          </c:xVal>
          <c:yVal>
            <c:numRef>
              <c:f>[0]!FT_PH24</c:f>
              <c:numCache>
                <c:formatCode>0.00</c:formatCode>
                <c:ptCount val="1"/>
                <c:pt idx="0">
                  <c:v>53.144800000000004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4.2916100000000004</c:v>
                </c:pt>
              </c:numCache>
            </c:numRef>
          </c:xVal>
          <c:yVal>
            <c:numRef>
              <c:f>info!$H$2</c:f>
              <c:numCache>
                <c:formatCode>0.00</c:formatCode>
                <c:ptCount val="1"/>
                <c:pt idx="0">
                  <c:v>53.144800000000004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0.3227334115896146</c:v>
                </c:pt>
                <c:pt idx="1">
                  <c:v>0.18970494028029858</c:v>
                </c:pt>
                <c:pt idx="2">
                  <c:v>0.48756164813008684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3"/>
                <c:pt idx="0">
                  <c:v>0</c:v>
                </c:pt>
                <c:pt idx="1">
                  <c:v>0.39725100000000002</c:v>
                </c:pt>
                <c:pt idx="2">
                  <c:v>0.80732800000000005</c:v>
                </c:pt>
                <c:pt idx="3">
                  <c:v>1.2138599999999999</c:v>
                </c:pt>
                <c:pt idx="4">
                  <c:v>1.61646</c:v>
                </c:pt>
                <c:pt idx="5">
                  <c:v>2.02556</c:v>
                </c:pt>
                <c:pt idx="6">
                  <c:v>2.43208</c:v>
                </c:pt>
                <c:pt idx="7">
                  <c:v>2.8379099999999999</c:v>
                </c:pt>
                <c:pt idx="8">
                  <c:v>3.24525</c:v>
                </c:pt>
                <c:pt idx="9">
                  <c:v>3.64777</c:v>
                </c:pt>
                <c:pt idx="10">
                  <c:v>4.05694</c:v>
                </c:pt>
                <c:pt idx="11">
                  <c:v>4.4608699999999999</c:v>
                </c:pt>
                <c:pt idx="12">
                  <c:v>4.8665799999999999</c:v>
                </c:pt>
              </c:numCache>
            </c:numRef>
          </c:xVal>
          <c:yVal>
            <c:numRef>
              <c:f>[0]!FT_E</c:f>
              <c:numCache>
                <c:formatCode>0.00</c:formatCode>
                <c:ptCount val="13"/>
                <c:pt idx="0">
                  <c:v>4.2916100000000004</c:v>
                </c:pt>
                <c:pt idx="1">
                  <c:v>4.3488199999999999</c:v>
                </c:pt>
                <c:pt idx="2">
                  <c:v>4.3773</c:v>
                </c:pt>
                <c:pt idx="3">
                  <c:v>4.3287800000000001</c:v>
                </c:pt>
                <c:pt idx="4">
                  <c:v>4.3435499999999996</c:v>
                </c:pt>
                <c:pt idx="5">
                  <c:v>4.4582600000000001</c:v>
                </c:pt>
                <c:pt idx="6">
                  <c:v>4.5816600000000003</c:v>
                </c:pt>
                <c:pt idx="7">
                  <c:v>4.5906900000000004</c:v>
                </c:pt>
                <c:pt idx="8">
                  <c:v>4.6020699999999994</c:v>
                </c:pt>
                <c:pt idx="9">
                  <c:v>4.6293199999999999</c:v>
                </c:pt>
                <c:pt idx="10">
                  <c:v>4.7952200000000005</c:v>
                </c:pt>
                <c:pt idx="11">
                  <c:v>4.8766600000000002</c:v>
                </c:pt>
                <c:pt idx="12">
                  <c:v>5.00535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4.2916100000000004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4.2916100000000004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4.2916100000000004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4.2916100000000004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4.2916100000000004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4.2916100000000004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4.2916100000000004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4.2916100000000004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4.2916100000000004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4.2916100000000004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4.2916100000000004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4.2916100000000004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4.2916100000000004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4.2916100000000004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4.2916100000000004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4.2916100000000004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4.2916100000000004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4.2916100000000004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4.2916100000000004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4.2916100000000004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4.2916100000000004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4.2916100000000004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4.2916100000000004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4.2916100000000004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3"/>
                <c:pt idx="0">
                  <c:v>0</c:v>
                </c:pt>
                <c:pt idx="1">
                  <c:v>0.39725100000000002</c:v>
                </c:pt>
                <c:pt idx="2">
                  <c:v>0.80732800000000005</c:v>
                </c:pt>
                <c:pt idx="3">
                  <c:v>1.2138599999999999</c:v>
                </c:pt>
                <c:pt idx="4">
                  <c:v>1.61646</c:v>
                </c:pt>
                <c:pt idx="5">
                  <c:v>2.02556</c:v>
                </c:pt>
                <c:pt idx="6">
                  <c:v>2.43208</c:v>
                </c:pt>
                <c:pt idx="7">
                  <c:v>2.8379099999999999</c:v>
                </c:pt>
                <c:pt idx="8">
                  <c:v>3.24525</c:v>
                </c:pt>
                <c:pt idx="9">
                  <c:v>3.64777</c:v>
                </c:pt>
                <c:pt idx="10">
                  <c:v>4.05694</c:v>
                </c:pt>
                <c:pt idx="11">
                  <c:v>4.4608699999999999</c:v>
                </c:pt>
                <c:pt idx="12">
                  <c:v>4.8665799999999999</c:v>
                </c:pt>
              </c:numCache>
            </c:numRef>
          </c:xVal>
          <c:yVal>
            <c:numRef>
              <c:f>[0]!FT_PH</c:f>
              <c:numCache>
                <c:formatCode>0.00</c:formatCode>
                <c:ptCount val="13"/>
                <c:pt idx="0">
                  <c:v>53.144800000000004</c:v>
                </c:pt>
                <c:pt idx="1">
                  <c:v>53.669699999999999</c:v>
                </c:pt>
                <c:pt idx="2">
                  <c:v>54.675799999999995</c:v>
                </c:pt>
                <c:pt idx="3">
                  <c:v>57.347000000000001</c:v>
                </c:pt>
                <c:pt idx="4">
                  <c:v>58.407299999999992</c:v>
                </c:pt>
                <c:pt idx="5">
                  <c:v>56.3048</c:v>
                </c:pt>
                <c:pt idx="6">
                  <c:v>54.5871</c:v>
                </c:pt>
                <c:pt idx="7">
                  <c:v>55.422600000000003</c:v>
                </c:pt>
                <c:pt idx="8">
                  <c:v>56.139300000000006</c:v>
                </c:pt>
                <c:pt idx="9">
                  <c:v>55.167400000000001</c:v>
                </c:pt>
                <c:pt idx="10">
                  <c:v>52.2286</c:v>
                </c:pt>
                <c:pt idx="11">
                  <c:v>50.898900000000005</c:v>
                </c:pt>
                <c:pt idx="12">
                  <c:v>51.444100000000006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53.144800000000004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53.144800000000004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53.144800000000004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53.144800000000004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53.144800000000004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53.144800000000004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53.144800000000004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53.144800000000004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53.144800000000004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53.144800000000004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53.144800000000004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53.144800000000004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53.144800000000004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53.144800000000004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53.144800000000004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53.144800000000004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53.144800000000004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53.144800000000004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53.144800000000004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53.144800000000004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53.144800000000004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53.144800000000004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53.144800000000004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53.144800000000004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21.74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-2.1041621559108794</c:v>
                </c:pt>
                <c:pt idx="1">
                  <c:v>-2.1041621559108794</c:v>
                </c:pt>
                <c:pt idx="2">
                  <c:v>-7</c:v>
                </c:pt>
              </c:numCache>
            </c:numRef>
          </c:xVal>
          <c:yVal>
            <c:numRef>
              <c:f>'R'!$I$5:$I$7</c:f>
              <c:numCache>
                <c:formatCode>0.0_ </c:formatCode>
                <c:ptCount val="3"/>
                <c:pt idx="0">
                  <c:v>0</c:v>
                </c:pt>
                <c:pt idx="1">
                  <c:v>21.738798019478491</c:v>
                </c:pt>
                <c:pt idx="2">
                  <c:v>21.738798019478491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-2.1041621559108794</c:v>
                </c:pt>
                <c:pt idx="1">
                  <c:v>-2.1041621559108794</c:v>
                </c:pt>
                <c:pt idx="2">
                  <c:v>-7</c:v>
                </c:pt>
              </c:numCache>
            </c:numRef>
          </c:xVal>
          <c:yVal>
            <c:numRef>
              <c:f>'R'!$I$5:$I$7</c:f>
              <c:numCache>
                <c:formatCode>0.0_ </c:formatCode>
                <c:ptCount val="3"/>
                <c:pt idx="0">
                  <c:v>0</c:v>
                </c:pt>
                <c:pt idx="1">
                  <c:v>21.738798019478491</c:v>
                </c:pt>
                <c:pt idx="2">
                  <c:v>21.738798019478491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-2.1041621559108794</c:v>
                </c:pt>
              </c:numCache>
            </c:numRef>
          </c:xVal>
          <c:yVal>
            <c:numRef>
              <c:f>'R'!$I$4</c:f>
              <c:numCache>
                <c:formatCode>0.00_ </c:formatCode>
                <c:ptCount val="1"/>
                <c:pt idx="0">
                  <c:v>21.738798019478491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63.395779999999995</c:v>
                </c:pt>
                <c:pt idx="1">
                  <c:v>63.395779999999995</c:v>
                </c:pt>
                <c:pt idx="2">
                  <c:v>0</c:v>
                </c:pt>
              </c:numCache>
            </c:numRef>
          </c:xVal>
          <c:yVal>
            <c:numRef>
              <c:f>'R2'!$I$5:$I$7</c:f>
              <c:numCache>
                <c:formatCode>0.0_ </c:formatCode>
                <c:ptCount val="3"/>
                <c:pt idx="0">
                  <c:v>0</c:v>
                </c:pt>
                <c:pt idx="1">
                  <c:v>72.688318269680622</c:v>
                </c:pt>
                <c:pt idx="2">
                  <c:v>72.688318269680622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2.2557399999999999</c:v>
                </c:pt>
                <c:pt idx="1">
                  <c:v>2.2557399999999999</c:v>
                </c:pt>
                <c:pt idx="2">
                  <c:v>0</c:v>
                </c:pt>
              </c:numCache>
            </c:numRef>
          </c:xVal>
          <c:yVal>
            <c:numRef>
              <c:f>'R3'!$I$6:$I$8</c:f>
              <c:numCache>
                <c:formatCode>0.0_ </c:formatCode>
                <c:ptCount val="3"/>
                <c:pt idx="0">
                  <c:v>0</c:v>
                </c:pt>
                <c:pt idx="1">
                  <c:v>69.110933205064569</c:v>
                </c:pt>
                <c:pt idx="2">
                  <c:v>69.110933205064569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2.2557399999999999</c:v>
                </c:pt>
                <c:pt idx="1">
                  <c:v>2.2557399999999999</c:v>
                </c:pt>
                <c:pt idx="2">
                  <c:v>0</c:v>
                </c:pt>
              </c:numCache>
            </c:numRef>
          </c:xVal>
          <c:yVal>
            <c:numRef>
              <c:f>'R4'!$I$5:$I$7</c:f>
              <c:numCache>
                <c:formatCode>0.0_ </c:formatCode>
                <c:ptCount val="3"/>
                <c:pt idx="0">
                  <c:v>0</c:v>
                </c:pt>
                <c:pt idx="1">
                  <c:v>8.1956592781886148E-2</c:v>
                </c:pt>
                <c:pt idx="2">
                  <c:v>8.1956592781886148E-2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0.63675555879831458</c:v>
                </c:pt>
                <c:pt idx="1">
                  <c:v>0.22724981607476183</c:v>
                </c:pt>
                <c:pt idx="2">
                  <c:v>0.13599462512692362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0.42677231926921322</c:v>
                </c:pt>
                <c:pt idx="1">
                  <c:v>0.25085973262415046</c:v>
                </c:pt>
                <c:pt idx="2">
                  <c:v>0.32236794810663638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69.1)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64.623867402034818</c:v>
                      </c:pt>
                    </c:numCache>
                  </c:numRef>
                </c:xVal>
                <c:yVal>
                  <c:numRef>
                    <c:extLst>
                      <c:ext uri="{02D57815-91ED-43cb-92C2-25804820EDAC}">
                        <c15:formulaRef>
                          <c15:sqref>info!$W$20:$W$21</c15:sqref>
                        </c15:formulaRef>
                      </c:ext>
                    </c:extLst>
                    <c:numCache>
                      <c:formatCode>General</c:formatCode>
                      <c:ptCount val="2"/>
                      <c:pt idx="0">
                        <c:v>50</c:v>
                      </c:pt>
                      <c:pt idx="1">
                        <c:v>69.110933205064569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68.215099999999993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56.9512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Uuxk%5e2%5e58%5e\2025-06-15%2013_08_1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Uuxk%5e2%5e58%5e\2025-06-15%2013_08_1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45AD5A2-2F23-4829-457C-53019BB5676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CC6DF8E-18AE-ED01-638F-25A8B44F521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45823.547418981485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Uuxk</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58</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45823.547418981485</v>
      </c>
      <c r="H7" s="876"/>
      <c r="I7" s="877"/>
      <c r="J7" s="166" t="str">
        <f>lang!B160</f>
        <v>나이</v>
      </c>
      <c r="K7" s="878" t="str">
        <f>IF(FH_info!B2="","",TRIM(MID(SUBSTITUTE(FH_info!B2,"^",REPT(" ",LEN(FH_info!B2))),LEN(FH_info!B2)*4-LEN(FH_info!B2)+1,LEN(FH_info!B2))))</f>
        <v>58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Uuxk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-2.1041621559108794</v>
      </c>
      <c r="I20" s="862"/>
      <c r="J20" s="311" t="str">
        <f>lang!B174</f>
        <v>정보량</v>
      </c>
      <c r="K20" s="236">
        <f ca="1">info!N9</f>
        <v>54.572107692307704</v>
      </c>
      <c r="L20" s="312" t="str">
        <f>lang!B175</f>
        <v>에너지</v>
      </c>
      <c r="M20" s="863">
        <f ca="1">info!M9</f>
        <v>4.556099230769231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편안하고 기분좋은 정서 상태이다.심리적 정보가 감소할 가능성이 있다. 에너지 칼로리 소모량이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30.7666</v>
      </c>
      <c r="N32" s="816"/>
      <c r="O32" s="817">
        <f>Measurement!N7</f>
        <v>35.539299999999997</v>
      </c>
      <c r="P32" s="818"/>
      <c r="Q32" s="819">
        <f>Measurement!T7</f>
        <v>44.471499999999999</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17.856000000000002</v>
      </c>
      <c r="R33" s="808"/>
    </row>
    <row r="34" spans="3:18" ht="12.75" customHeight="1">
      <c r="C34" s="77"/>
      <c r="I34" s="502">
        <f>Measurement!L9</f>
        <v>2</v>
      </c>
      <c r="J34" s="139" t="str">
        <f>lang!B16</f>
        <v>불안</v>
      </c>
      <c r="K34" s="90" t="s">
        <v>227</v>
      </c>
      <c r="L34" s="504" t="str">
        <f>Measurement!Y9</f>
        <v>낮음</v>
      </c>
      <c r="M34" s="792">
        <f>Measurement!R9</f>
        <v>11.523400000000001</v>
      </c>
      <c r="N34" s="793"/>
      <c r="O34" s="806">
        <f>Measurement!N9</f>
        <v>19.284800000000001</v>
      </c>
      <c r="P34" s="807"/>
      <c r="Q34" s="792">
        <f>Measurement!T9</f>
        <v>30.873999999999999</v>
      </c>
      <c r="R34" s="808"/>
    </row>
    <row r="35" spans="3:18" ht="12.75" customHeight="1">
      <c r="C35" s="77"/>
      <c r="I35" s="502">
        <f>Measurement!L10</f>
        <v>1</v>
      </c>
      <c r="J35" s="139" t="str">
        <f>lang!B17</f>
        <v>의심</v>
      </c>
      <c r="K35" s="90" t="s">
        <v>225</v>
      </c>
      <c r="L35" s="504" t="str">
        <f>Measurement!Y10</f>
        <v>매우 낮음</v>
      </c>
      <c r="M35" s="792">
        <f>Measurement!R10</f>
        <v>18.529599999999999</v>
      </c>
      <c r="N35" s="793"/>
      <c r="O35" s="806">
        <f>Measurement!N10</f>
        <v>19.927</v>
      </c>
      <c r="P35" s="807"/>
      <c r="Q35" s="792">
        <f>Measurement!T10</f>
        <v>20.980899999999998</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26.224699999999999</v>
      </c>
      <c r="P36" s="807"/>
      <c r="Q36" s="792">
        <f>Measurement!T11</f>
        <v>39.430199999999999</v>
      </c>
      <c r="R36" s="808"/>
    </row>
    <row r="37" spans="3:18" ht="12.75" customHeight="1">
      <c r="C37" s="77"/>
      <c r="I37" s="502">
        <f>Measurement!L12</f>
        <v>5</v>
      </c>
      <c r="J37" s="139" t="str">
        <f>lang!B19</f>
        <v>카리스마</v>
      </c>
      <c r="K37" s="90" t="s">
        <v>229</v>
      </c>
      <c r="L37" s="504" t="str">
        <f>Measurement!Y12</f>
        <v>매우 높음</v>
      </c>
      <c r="M37" s="792">
        <f>Measurement!R12</f>
        <v>86.666399999999996</v>
      </c>
      <c r="N37" s="793"/>
      <c r="O37" s="806">
        <f>Measurement!N12</f>
        <v>89.071299999999994</v>
      </c>
      <c r="P37" s="807"/>
      <c r="Q37" s="792">
        <f>Measurement!T12</f>
        <v>91.886300000000006</v>
      </c>
      <c r="R37" s="808"/>
    </row>
    <row r="38" spans="3:18" ht="12.75" customHeight="1">
      <c r="C38" s="77"/>
      <c r="I38" s="502">
        <f>Measurement!L13</f>
        <v>4</v>
      </c>
      <c r="J38" s="139" t="str">
        <f>lang!B20</f>
        <v>에너지</v>
      </c>
      <c r="K38" s="90" t="s">
        <v>2170</v>
      </c>
      <c r="L38" s="504" t="str">
        <f>Measurement!Y13</f>
        <v>높음</v>
      </c>
      <c r="M38" s="792">
        <f>Measurement!R13</f>
        <v>32.529899999999998</v>
      </c>
      <c r="N38" s="793"/>
      <c r="O38" s="806">
        <f>Measurement!N13</f>
        <v>36.085000000000001</v>
      </c>
      <c r="P38" s="807"/>
      <c r="Q38" s="792">
        <f>Measurement!T13</f>
        <v>40.184800000000003</v>
      </c>
      <c r="R38" s="808"/>
    </row>
    <row r="39" spans="3:18" ht="12.75" customHeight="1">
      <c r="C39" s="77"/>
      <c r="I39" s="502">
        <f>Measurement!L14</f>
        <v>3</v>
      </c>
      <c r="J39" s="139" t="str">
        <f>lang!B21</f>
        <v>자기조절</v>
      </c>
      <c r="K39" s="90" t="s">
        <v>230</v>
      </c>
      <c r="L39" s="504" t="str">
        <f>Measurement!Y14</f>
        <v>보통</v>
      </c>
      <c r="M39" s="792">
        <f>Measurement!R14</f>
        <v>43.906399999999998</v>
      </c>
      <c r="N39" s="793"/>
      <c r="O39" s="806">
        <f>Measurement!N14</f>
        <v>58.072099999999999</v>
      </c>
      <c r="P39" s="807"/>
      <c r="Q39" s="792">
        <f>Measurement!T14</f>
        <v>64.28</v>
      </c>
      <c r="R39" s="808"/>
    </row>
    <row r="40" spans="3:18" ht="12.75" customHeight="1">
      <c r="C40" s="77"/>
      <c r="I40" s="502">
        <f>Measurement!L15</f>
        <v>3</v>
      </c>
      <c r="J40" s="139" t="str">
        <f>lang!B22</f>
        <v>억제</v>
      </c>
      <c r="K40" s="91" t="s">
        <v>248</v>
      </c>
      <c r="L40" s="504" t="str">
        <f>Measurement!Y15</f>
        <v>보통</v>
      </c>
      <c r="M40" s="792">
        <f>Measurement!R15</f>
        <v>15.470499999999999</v>
      </c>
      <c r="N40" s="793"/>
      <c r="O40" s="806">
        <f>Measurement!N15</f>
        <v>17.615500000000001</v>
      </c>
      <c r="P40" s="807"/>
      <c r="Q40" s="792">
        <f>Measurement!T15</f>
        <v>24.236999999999998</v>
      </c>
      <c r="R40" s="808"/>
    </row>
    <row r="41" spans="3:18" ht="12.75" customHeight="1" thickBot="1">
      <c r="C41" s="77"/>
      <c r="I41" s="502">
        <f>Measurement!L16</f>
        <v>3</v>
      </c>
      <c r="J41" s="140" t="str">
        <f>lang!B23</f>
        <v>신경성</v>
      </c>
      <c r="K41" s="92" t="s">
        <v>231</v>
      </c>
      <c r="L41" s="504" t="str">
        <f>Measurement!Y16</f>
        <v>보통</v>
      </c>
      <c r="M41" s="794">
        <f>Measurement!R16</f>
        <v>2.5939199999999998</v>
      </c>
      <c r="N41" s="795"/>
      <c r="O41" s="796">
        <f>Measurement!N16</f>
        <v>27.118300000000001</v>
      </c>
      <c r="P41" s="797"/>
      <c r="Q41" s="794">
        <f>Measurement!T16</f>
        <v>27.118300000000001</v>
      </c>
      <c r="R41" s="798"/>
    </row>
    <row r="42" spans="3:18" ht="29.25" customHeight="1" thickBot="1">
      <c r="C42" s="77"/>
      <c r="I42" s="84"/>
      <c r="J42" s="780" t="str">
        <f>lang!B215</f>
        <v>감정변이도</v>
      </c>
      <c r="K42" s="781"/>
      <c r="L42" s="319" t="str">
        <f>info!V43</f>
        <v>보통</v>
      </c>
      <c r="M42" s="782">
        <f>info!W43</f>
        <v>14.5505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2.2557399999999999</v>
      </c>
      <c r="E44" s="249" t="s">
        <v>1072</v>
      </c>
      <c r="G44" s="289"/>
      <c r="H44" s="289"/>
      <c r="I44" s="290"/>
      <c r="J44" s="802">
        <f>info!$W$36</f>
        <v>63.395779999999995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45823.547418981485</v>
      </c>
      <c r="H7" s="876"/>
      <c r="I7" s="877"/>
      <c r="J7" s="166" t="str">
        <f>lang!B160</f>
        <v>나이</v>
      </c>
      <c r="K7" s="878" t="str">
        <f>IF(FH_info!B2="","",TRIM(MID(SUBSTITUTE(FH_info!B2,"^",REPT(" ",LEN(FH_info!B2))),LEN(FH_info!B2)*4-LEN(FH_info!B2)+1,LEN(FH_info!B2))))</f>
        <v>58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Uuxk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-2.1041621559108794</v>
      </c>
      <c r="I20" s="862"/>
      <c r="J20" s="311" t="str">
        <f>lang!B174</f>
        <v>정보량</v>
      </c>
      <c r="K20" s="236">
        <f ca="1">info!N9</f>
        <v>54.572107692307704</v>
      </c>
      <c r="L20" s="312" t="str">
        <f>lang!B175</f>
        <v>에너지</v>
      </c>
      <c r="M20" s="863">
        <f ca="1">info!M9</f>
        <v>4.556099230769231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편안하고 기분좋은 정서 상태이다.심리적 정보가 감소할 가능성이 있다. 에너지 칼로리 소모량이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30.7666</v>
      </c>
      <c r="N32" s="816"/>
      <c r="O32" s="817">
        <f>Measurement!N7</f>
        <v>35.539299999999997</v>
      </c>
      <c r="P32" s="818"/>
      <c r="Q32" s="819">
        <f>Measurement!T7</f>
        <v>44.471499999999999</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17.856000000000002</v>
      </c>
      <c r="R33" s="808"/>
    </row>
    <row r="34" spans="3:18" ht="12.75" customHeight="1">
      <c r="C34" s="77"/>
      <c r="I34" s="502">
        <f>Measurement!L9</f>
        <v>2</v>
      </c>
      <c r="J34" s="139" t="str">
        <f>lang!B16</f>
        <v>불안</v>
      </c>
      <c r="K34" s="90" t="s">
        <v>227</v>
      </c>
      <c r="L34" s="504" t="str">
        <f>Measurement!Y9</f>
        <v>낮음</v>
      </c>
      <c r="M34" s="792">
        <f>Measurement!R9</f>
        <v>11.523400000000001</v>
      </c>
      <c r="N34" s="793"/>
      <c r="O34" s="806">
        <f>Measurement!N9</f>
        <v>19.284800000000001</v>
      </c>
      <c r="P34" s="807"/>
      <c r="Q34" s="792">
        <f>Measurement!T9</f>
        <v>30.873999999999999</v>
      </c>
      <c r="R34" s="808"/>
    </row>
    <row r="35" spans="3:18" ht="12.75" customHeight="1">
      <c r="C35" s="77"/>
      <c r="I35" s="502">
        <f>Measurement!L10</f>
        <v>1</v>
      </c>
      <c r="J35" s="139" t="str">
        <f>lang!B17</f>
        <v>의심</v>
      </c>
      <c r="K35" s="90" t="s">
        <v>225</v>
      </c>
      <c r="L35" s="504" t="str">
        <f>Measurement!Y10</f>
        <v>매우 낮음</v>
      </c>
      <c r="M35" s="792">
        <f>Measurement!R10</f>
        <v>18.529599999999999</v>
      </c>
      <c r="N35" s="793"/>
      <c r="O35" s="806">
        <f>Measurement!N10</f>
        <v>19.927</v>
      </c>
      <c r="P35" s="807"/>
      <c r="Q35" s="792">
        <f>Measurement!T10</f>
        <v>20.980899999999998</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26.224699999999999</v>
      </c>
      <c r="P36" s="807"/>
      <c r="Q36" s="792">
        <f>Measurement!T11</f>
        <v>39.430199999999999</v>
      </c>
      <c r="R36" s="808"/>
    </row>
    <row r="37" spans="3:18" ht="12.75" customHeight="1">
      <c r="C37" s="77"/>
      <c r="I37" s="502">
        <f>Measurement!L12</f>
        <v>5</v>
      </c>
      <c r="J37" s="139" t="str">
        <f>lang!B19</f>
        <v>카리스마</v>
      </c>
      <c r="K37" s="90" t="s">
        <v>229</v>
      </c>
      <c r="L37" s="504" t="str">
        <f>Measurement!Y12</f>
        <v>매우 높음</v>
      </c>
      <c r="M37" s="792">
        <f>Measurement!R12</f>
        <v>86.666399999999996</v>
      </c>
      <c r="N37" s="793"/>
      <c r="O37" s="806">
        <f>Measurement!N12</f>
        <v>89.071299999999994</v>
      </c>
      <c r="P37" s="807"/>
      <c r="Q37" s="792">
        <f>Measurement!T12</f>
        <v>91.886300000000006</v>
      </c>
      <c r="R37" s="808"/>
    </row>
    <row r="38" spans="3:18" ht="12.75" customHeight="1">
      <c r="C38" s="77"/>
      <c r="I38" s="502">
        <f>Measurement!L13</f>
        <v>4</v>
      </c>
      <c r="J38" s="139" t="str">
        <f>lang!B20</f>
        <v>에너지</v>
      </c>
      <c r="K38" s="90" t="s">
        <v>2170</v>
      </c>
      <c r="L38" s="504" t="str">
        <f>Measurement!Y13</f>
        <v>높음</v>
      </c>
      <c r="M38" s="792">
        <f>Measurement!R13</f>
        <v>32.529899999999998</v>
      </c>
      <c r="N38" s="793"/>
      <c r="O38" s="806">
        <f>Measurement!N13</f>
        <v>36.085000000000001</v>
      </c>
      <c r="P38" s="807"/>
      <c r="Q38" s="792">
        <f>Measurement!T13</f>
        <v>40.184800000000003</v>
      </c>
      <c r="R38" s="808"/>
    </row>
    <row r="39" spans="3:18" ht="12.75" customHeight="1">
      <c r="C39" s="77"/>
      <c r="I39" s="502">
        <f>Measurement!L14</f>
        <v>3</v>
      </c>
      <c r="J39" s="139" t="str">
        <f>lang!B21</f>
        <v>자기조절</v>
      </c>
      <c r="K39" s="90" t="s">
        <v>230</v>
      </c>
      <c r="L39" s="504" t="str">
        <f>Measurement!Y14</f>
        <v>보통</v>
      </c>
      <c r="M39" s="792">
        <f>Measurement!R14</f>
        <v>43.906399999999998</v>
      </c>
      <c r="N39" s="793"/>
      <c r="O39" s="806">
        <f>Measurement!N14</f>
        <v>58.072099999999999</v>
      </c>
      <c r="P39" s="807"/>
      <c r="Q39" s="792">
        <f>Measurement!T14</f>
        <v>64.28</v>
      </c>
      <c r="R39" s="808"/>
    </row>
    <row r="40" spans="3:18" ht="12.75" customHeight="1">
      <c r="C40" s="77"/>
      <c r="I40" s="502">
        <f>Measurement!L15</f>
        <v>3</v>
      </c>
      <c r="J40" s="139" t="str">
        <f>lang!B22</f>
        <v>억제</v>
      </c>
      <c r="K40" s="91" t="s">
        <v>248</v>
      </c>
      <c r="L40" s="504" t="str">
        <f>Measurement!Y15</f>
        <v>보통</v>
      </c>
      <c r="M40" s="792">
        <f>Measurement!R15</f>
        <v>15.470499999999999</v>
      </c>
      <c r="N40" s="793"/>
      <c r="O40" s="806">
        <f>Measurement!N15</f>
        <v>17.615500000000001</v>
      </c>
      <c r="P40" s="807"/>
      <c r="Q40" s="792">
        <f>Measurement!T15</f>
        <v>24.236999999999998</v>
      </c>
      <c r="R40" s="808"/>
    </row>
    <row r="41" spans="3:18" ht="12.75" customHeight="1" thickBot="1">
      <c r="C41" s="77"/>
      <c r="I41" s="502">
        <f>Measurement!L16</f>
        <v>3</v>
      </c>
      <c r="J41" s="140" t="str">
        <f>lang!B23</f>
        <v>신경성</v>
      </c>
      <c r="K41" s="92" t="s">
        <v>231</v>
      </c>
      <c r="L41" s="504" t="str">
        <f>Measurement!Y16</f>
        <v>보통</v>
      </c>
      <c r="M41" s="794">
        <f>Measurement!R16</f>
        <v>2.5939199999999998</v>
      </c>
      <c r="N41" s="795"/>
      <c r="O41" s="796">
        <f>Measurement!N16</f>
        <v>27.118300000000001</v>
      </c>
      <c r="P41" s="797"/>
      <c r="Q41" s="794">
        <f>Measurement!T16</f>
        <v>27.118300000000001</v>
      </c>
      <c r="R41" s="798"/>
    </row>
    <row r="42" spans="3:18" ht="29.25" customHeight="1" thickBot="1">
      <c r="C42" s="77"/>
      <c r="I42" s="84"/>
      <c r="J42" s="780" t="str">
        <f>lang!B215</f>
        <v>감정변이도</v>
      </c>
      <c r="K42" s="781"/>
      <c r="L42" s="319" t="str">
        <f>info!V43</f>
        <v>보통</v>
      </c>
      <c r="M42" s="782">
        <f>info!W43</f>
        <v>14.5505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2.2557399999999999</v>
      </c>
      <c r="E44" s="249" t="s">
        <v>1195</v>
      </c>
      <c r="G44" s="289"/>
      <c r="H44" s="289"/>
      <c r="I44" s="290"/>
      <c r="J44" s="802">
        <f>info!$W$36</f>
        <v>63.395779999999995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45823.547418981485</v>
      </c>
      <c r="I7" s="914"/>
      <c r="J7" s="915"/>
      <c r="K7" s="166" t="str">
        <f>lang!B160</f>
        <v>나이</v>
      </c>
      <c r="L7" s="878" t="str">
        <f>IF(FH_info!B2="","",TRIM(MID(SUBSTITUTE(FH_info!B2,"^",REPT(" ",LEN(FH_info!B2))),LEN(FH_info!B2)*4-LEN(FH_info!B2)+1,LEN(FH_info!B2))))</f>
        <v>58</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Uuxk</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(0.67,0.92)</v>
      </c>
      <c r="S18" s="966"/>
      <c r="T18" s="967"/>
    </row>
    <row r="19" spans="2:22" ht="16.5" customHeight="1">
      <c r="C19" s="136" t="str">
        <f>lang!B328</f>
        <v>최소값</v>
      </c>
      <c r="D19" s="105">
        <f ca="1">info!M7</f>
        <v>50.898900000000005</v>
      </c>
      <c r="E19" s="94" t="str">
        <f>lang!B330</f>
        <v>평균값</v>
      </c>
      <c r="F19" s="971">
        <f ca="1">info!N9</f>
        <v>54.572107692307704</v>
      </c>
      <c r="G19" s="972"/>
      <c r="H19" s="912" t="str">
        <f>lang!B329</f>
        <v>최대값</v>
      </c>
      <c r="I19" s="913"/>
      <c r="J19" s="105">
        <f ca="1">info!M8</f>
        <v>58.407299999999992</v>
      </c>
      <c r="K19" s="137" t="str">
        <f>lang!B328</f>
        <v>최소값</v>
      </c>
      <c r="L19" s="105">
        <f ca="1">info!M5</f>
        <v>4.2916100000000004</v>
      </c>
      <c r="M19" s="94" t="str">
        <f>lang!B330</f>
        <v>평균값</v>
      </c>
      <c r="N19" s="971">
        <f ca="1">info!M9</f>
        <v>4.556099230769231</v>
      </c>
      <c r="O19" s="972">
        <f>info!T9</f>
        <v>1</v>
      </c>
      <c r="P19" s="94" t="str">
        <f>lang!B329</f>
        <v>최대값</v>
      </c>
      <c r="Q19" s="105">
        <f ca="1">info!M6</f>
        <v>5.00535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12.019159952879136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2.2557420000000001</v>
      </c>
      <c r="N47" s="986"/>
      <c r="O47" s="451"/>
      <c r="P47" s="491" t="s">
        <v>1101</v>
      </c>
      <c r="Q47" s="987">
        <f>hist!M3</f>
        <v>1.4490909999999999</v>
      </c>
      <c r="R47" s="986"/>
      <c r="S47" s="451"/>
      <c r="T47" s="452"/>
    </row>
    <row r="48" spans="3:20" ht="18" customHeight="1">
      <c r="C48" s="931"/>
      <c r="D48" s="910"/>
      <c r="E48" s="910"/>
      <c r="F48" s="355"/>
      <c r="G48" s="355"/>
      <c r="H48" s="356"/>
      <c r="I48" s="356"/>
      <c r="J48" s="951"/>
      <c r="K48" s="951"/>
      <c r="L48" s="936"/>
      <c r="M48" s="988">
        <f>hist!N2</f>
        <v>0.44717299999999999</v>
      </c>
      <c r="N48" s="989"/>
      <c r="O48" s="451"/>
      <c r="P48" s="491" t="s">
        <v>1102</v>
      </c>
      <c r="Q48" s="986">
        <f>hist!N3</f>
        <v>0.31588899999999998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0.199963</v>
      </c>
      <c r="N49" s="991"/>
      <c r="O49" s="453"/>
      <c r="P49" s="454" t="s">
        <v>1588</v>
      </c>
      <c r="Q49" s="992">
        <f>hist!O3</f>
        <v>9.9786E-2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vision^Uuxk^2^58^</v>
      </c>
      <c r="D4" s="1104"/>
      <c r="E4" s="1104"/>
      <c r="F4" s="1105"/>
      <c r="G4" s="38" t="str">
        <f>lang!B27</f>
        <v>ID</v>
      </c>
      <c r="H4" s="1103"/>
      <c r="I4" s="1104"/>
      <c r="J4" s="1104"/>
      <c r="K4" s="1106"/>
      <c r="AF4" s="169" t="str">
        <f>'Report-뇌피로'!K7</f>
        <v>58</v>
      </c>
      <c r="AG4" s="168" t="s">
        <v>1049</v>
      </c>
      <c r="AZ4" t="s">
        <v>1092</v>
      </c>
      <c r="BK4" t="s">
        <v>1096</v>
      </c>
      <c r="BV4" t="s">
        <v>1094</v>
      </c>
      <c r="CG4" s="305">
        <f>IF(SUM($AY$7:$AY$13)&gt;0,HLOOKUP(1,$BV$6:$CE$8,3,FALSE),"")</f>
        <v>5</v>
      </c>
      <c r="CH4" s="305">
        <f>IF(SUM($AY$7:$AY$13)&gt;0,HLOOKUP(2,$BV$6:$CE$8,3,FALSE),"")</f>
        <v>1</v>
      </c>
      <c r="CI4" t="s">
        <v>1570</v>
      </c>
      <c r="CJ4" s="426">
        <f>DK17*100</f>
        <v>64.623867402034818</v>
      </c>
      <c r="CK4" s="422">
        <f>info!W21</f>
        <v>69.110933205064569</v>
      </c>
      <c r="CL4">
        <f>100-M!B19*100</f>
        <v>56.9512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45823.547418981485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14.5505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6</v>
      </c>
      <c r="BX6" s="220">
        <f t="shared" si="0"/>
        <v>8</v>
      </c>
      <c r="BY6" s="220">
        <f t="shared" si="0"/>
        <v>3</v>
      </c>
      <c r="BZ6" s="220">
        <f t="shared" si="0"/>
        <v>1</v>
      </c>
      <c r="CA6" s="220">
        <f t="shared" si="0"/>
        <v>4</v>
      </c>
      <c r="CB6" s="220">
        <f t="shared" si="0"/>
        <v>5</v>
      </c>
      <c r="CC6" s="220">
        <f t="shared" si="0"/>
        <v>9</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35.539299999999997</v>
      </c>
      <c r="O7" s="48">
        <f>M!C5*1</f>
        <v>2.3856999999999999</v>
      </c>
      <c r="P7" s="48">
        <f>M!D5*1</f>
        <v>6.7128500000000004</v>
      </c>
      <c r="Q7" s="48">
        <f>M!E5*1</f>
        <v>20</v>
      </c>
      <c r="R7" s="48">
        <f>IF(M!B5="","",M!F5*1)</f>
        <v>30.7666</v>
      </c>
      <c r="S7" s="48">
        <f>M!G5*1</f>
        <v>50</v>
      </c>
      <c r="T7" s="48">
        <f>IF(M!B5="","",M!H5*1)</f>
        <v>44.471499999999999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-0.56139141178957952</v>
      </c>
      <c r="AI7" s="98">
        <v>2.5024862326905418E-2</v>
      </c>
      <c r="AJ7" s="98">
        <v>-7.7313821231156016E-2</v>
      </c>
      <c r="AK7" s="98">
        <v>0.50012525104428274</v>
      </c>
      <c r="AL7" s="98">
        <v>-8.545985269705475E-2</v>
      </c>
      <c r="AM7" s="98">
        <f>$AH7*AI7+$AH8*AI8+$AH9*AI9+$AH10*AI10+$AH11*AI11+$AH12*AI12+$AH13*AI13+$AH14*AI14+$AH15*AI15+$AH16*AI16</f>
        <v>5.6356073270285076</v>
      </c>
      <c r="AN7" s="98">
        <f t="shared" ref="AN7:AP7" si="2">$AH7*AJ7+$AH8*AJ8+$AH9*AJ9+$AH10*AJ10+$AH11*AJ11+$AH12*AJ12+$AH13*AJ13+$AH14*AJ14+$AH15*AJ15+$AH16*AJ16</f>
        <v>-0.59898356300247513</v>
      </c>
      <c r="AO7" s="98">
        <f t="shared" si="2"/>
        <v>-1.0390973342295178</v>
      </c>
      <c r="AP7" s="98">
        <f t="shared" si="2"/>
        <v>-5.8881889227434234</v>
      </c>
      <c r="AQ7" s="335">
        <f>IF(SUM(N7:N16)&gt;0, 0.8608*AM7+0.333*AN7+0.104*AO7+1.129*AP7,"")</f>
        <v>-2.1041621559108794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35.539299999999997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147.76781011119999</v>
      </c>
      <c r="BL7" s="56">
        <f t="shared" ref="BL7:BT7" si="3">BB7*$AY7+BB8*$AY8+BB9*$AY9+BB10*$AY10+BB11*$AY11+BB12*$AY12+BB13*$AY13+BB14</f>
        <v>130.23526398819996</v>
      </c>
      <c r="BM7" s="56">
        <f t="shared" si="3"/>
        <v>119.34299390720003</v>
      </c>
      <c r="BN7" s="56">
        <f t="shared" si="3"/>
        <v>142.87598084359996</v>
      </c>
      <c r="BO7" s="56">
        <f t="shared" si="3"/>
        <v>166.77028796980005</v>
      </c>
      <c r="BP7" s="56">
        <f t="shared" si="3"/>
        <v>140.95185698299997</v>
      </c>
      <c r="BQ7" s="56">
        <f t="shared" si="3"/>
        <v>137.18463347159991</v>
      </c>
      <c r="BR7" s="56">
        <f t="shared" si="3"/>
        <v>114.05661065419991</v>
      </c>
      <c r="BS7" s="56">
        <f t="shared" si="3"/>
        <v>130.01774501679995</v>
      </c>
      <c r="BT7" s="56">
        <f t="shared" si="3"/>
        <v>106.68136830839995</v>
      </c>
      <c r="BU7" s="56">
        <f>EXP(BK7)+EXP(BL7)+EXP(BM7)+EXP(BN7)+EXP(BO7)+EXP(BP7)+EXP(BQ7)+EXP(BR7)+EXP(BS7)+EXP(BT7)</f>
        <v>2.6755668912703917E+72</v>
      </c>
      <c r="BV7" s="56">
        <f>IF(SUM($AY$7:$AY$13)&gt;0,EXP(BK7)/$BU$7,"")</f>
        <v>5.588930654474707E-9</v>
      </c>
      <c r="BW7" s="56">
        <f t="shared" ref="BW7:CE7" si="4">IF(SUM($AY$7:$AY$13)&gt;0,EXP(BL7)/$BU$7,"")</f>
        <v>1.3584407038331241E-16</v>
      </c>
      <c r="BX7" s="56">
        <f t="shared" si="4"/>
        <v>2.5268990641134423E-21</v>
      </c>
      <c r="BY7" s="56">
        <f t="shared" si="4"/>
        <v>4.1959882535796418E-11</v>
      </c>
      <c r="BZ7" s="56">
        <f t="shared" si="4"/>
        <v>0.99999999436284126</v>
      </c>
      <c r="CA7" s="56">
        <f t="shared" si="4"/>
        <v>6.1262947600756658E-12</v>
      </c>
      <c r="CB7" s="56">
        <f t="shared" si="4"/>
        <v>1.4161638545758993E-13</v>
      </c>
      <c r="CC7" s="56">
        <f t="shared" si="4"/>
        <v>1.2786180133956433E-23</v>
      </c>
      <c r="CD7" s="56">
        <f t="shared" si="4"/>
        <v>1.0928823121762859E-16</v>
      </c>
      <c r="CE7" s="56">
        <f t="shared" si="4"/>
        <v>8.0114986727844086E-27</v>
      </c>
      <c r="CF7" s="418" t="s">
        <v>1870</v>
      </c>
      <c r="CG7" s="221">
        <f>IF(SUM($AY$7:$AY$13)&gt;0,HLOOKUP(1,$BV$6:$CE$7,2,FALSE),"")</f>
        <v>0.99999999436284126</v>
      </c>
      <c r="CH7" s="221">
        <f>IF(SUM($AY$7:$AY$13)&gt;0,HLOOKUP(2,$BV$6:$CE$7,2,FALSE),"")</f>
        <v>5.588930654474707E-9</v>
      </c>
      <c r="CI7" s="425" t="str">
        <f>"( "&amp;IF(CG7&lt;&gt;"",ROUND(CG7*100,0),"")&amp;" , "&amp;IF(CH7&lt;&gt;"",ROUND(CH7*100,0),"")&amp;" )"</f>
        <v>( 100 , 0 )</v>
      </c>
      <c r="CJ7" s="420">
        <f>CG7</f>
        <v>0.99999999436284126</v>
      </c>
      <c r="CK7" s="420">
        <f>CH7</f>
        <v>5.588930654474707E-9</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35.539299999999997</v>
      </c>
      <c r="DJ7" s="265">
        <f>(DI7-$DB7)/$DC7</f>
        <v>-0.11658292053889698</v>
      </c>
      <c r="DK7" s="266">
        <f>IF(DH7=1,(DJ7-DF7)^2,0)</f>
        <v>1.5950596562963886</v>
      </c>
      <c r="DL7" s="267">
        <f>IF(DH7=1,(DJ7-DG7)^2,0)</f>
        <v>4.6178404807743751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0</v>
      </c>
      <c r="O8" s="48">
        <f>M!C6*1</f>
        <v>6.1332199999999997</v>
      </c>
      <c r="P8" s="48">
        <f>M!D6*1</f>
        <v>0</v>
      </c>
      <c r="Q8" s="48">
        <f>M!E6*1</f>
        <v>20</v>
      </c>
      <c r="R8" s="48">
        <f>IF(M!B6="","",M!F6*1)</f>
        <v>0</v>
      </c>
      <c r="S8" s="48">
        <f>M!G6*1</f>
        <v>40</v>
      </c>
      <c r="T8" s="48">
        <f>IF(M!B6="","",M!H6*1)</f>
        <v>17.856000000000002</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-7.4671445639187581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0</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0</v>
      </c>
      <c r="DJ8" s="265">
        <f t="shared" ref="DJ8:DJ14" si="8">(DI8-$DB8)/$DC8</f>
        <v>-4.3809303574649192</v>
      </c>
      <c r="DK8" s="273">
        <f t="shared" ref="DK8:DK14" si="9">IF(DH8=1,(DJ8-DF8)^2,0)</f>
        <v>8.4000893614907959</v>
      </c>
      <c r="DL8" s="274">
        <f t="shared" ref="DL8:DL14" si="10">IF(DH8=1,(DJ8-DG8)^2,0)</f>
        <v>21.64511928934018</v>
      </c>
    </row>
    <row r="9" spans="2:119" s="5" customFormat="1" ht="24.75" customHeight="1" thickBot="1">
      <c r="B9" s="62" t="str">
        <f>CONCATENATE(M7,"
(20 ~ 50)")</f>
        <v>적극/공격성
(20 ~ 50)</v>
      </c>
      <c r="C9" s="63">
        <f>R7</f>
        <v>30.7666</v>
      </c>
      <c r="D9" s="64">
        <f>N7</f>
        <v>35.539299999999997</v>
      </c>
      <c r="E9" s="65">
        <f>T7</f>
        <v>44.471499999999999</v>
      </c>
      <c r="F9" s="65">
        <f>P7</f>
        <v>6.7128500000000004</v>
      </c>
      <c r="G9" s="66" t="str">
        <f>CONCATENATE(M8,"
(20 ~ 40)")</f>
        <v>스트레스
(20 ~ 40)</v>
      </c>
      <c r="H9" s="63">
        <f>R8</f>
        <v>0</v>
      </c>
      <c r="I9" s="67">
        <f>N8</f>
        <v>0</v>
      </c>
      <c r="J9" s="63">
        <f>T8</f>
        <v>17.856000000000002</v>
      </c>
      <c r="K9" s="68">
        <f>P8</f>
        <v>0</v>
      </c>
      <c r="L9" s="1">
        <f>IF(M!B7="","",IF(N9&lt;U9,1,IF(N9&lt;V9,2,IF(N9&lt;W9,3,IF(N9&lt;X9,4,5)))))</f>
        <v>2</v>
      </c>
      <c r="M9" s="162" t="str">
        <f>lang!B16</f>
        <v>불안</v>
      </c>
      <c r="N9" s="48">
        <f>IF(M!B7="","",M!B7*1)</f>
        <v>19.284800000000001</v>
      </c>
      <c r="O9" s="48">
        <f>M!C7*1</f>
        <v>5.0746700000000002</v>
      </c>
      <c r="P9" s="48">
        <f>M!D7*1</f>
        <v>26.314299999999999</v>
      </c>
      <c r="Q9" s="48">
        <f>M!E7*1</f>
        <v>15</v>
      </c>
      <c r="R9" s="48">
        <f>IF(M!B7="","",M!F7*1)</f>
        <v>11.523400000000001</v>
      </c>
      <c r="S9" s="48">
        <f>M!G7*1</f>
        <v>40</v>
      </c>
      <c r="T9" s="48">
        <f>IF(M!B7="","",M!H7*1)</f>
        <v>30.873999999999999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-1.2624203369999734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19.284800000000001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19.284800000000001</v>
      </c>
      <c r="DJ9" s="265">
        <f t="shared" si="8"/>
        <v>-1.256440418671096</v>
      </c>
      <c r="DK9" s="273">
        <f t="shared" si="9"/>
        <v>1.4634356045800953E-3</v>
      </c>
      <c r="DL9" s="274">
        <f t="shared" si="10"/>
        <v>2.0014470179978194</v>
      </c>
      <c r="DM9"/>
      <c r="DN9"/>
    </row>
    <row r="10" spans="2:119" s="4" customFormat="1" ht="30.3" thickBot="1">
      <c r="B10" s="57" t="str">
        <f>CONCATENATE(M9,"
(15 ~ 40)")</f>
        <v>불안
(15 ~ 40)</v>
      </c>
      <c r="C10" s="17">
        <f>R9</f>
        <v>11.523400000000001</v>
      </c>
      <c r="D10" s="41">
        <f>N9</f>
        <v>19.284800000000001</v>
      </c>
      <c r="E10" s="43">
        <f>T9</f>
        <v>30.873999999999999</v>
      </c>
      <c r="F10" s="43">
        <f>P9</f>
        <v>26.314299999999999</v>
      </c>
      <c r="G10" s="59" t="str">
        <f>CONCATENATE(M10,"
(20 ~ 50)")</f>
        <v>의심
(20 ~ 50)</v>
      </c>
      <c r="H10" s="17">
        <f>R10</f>
        <v>18.529599999999999</v>
      </c>
      <c r="I10" s="42">
        <f>N10</f>
        <v>19.927</v>
      </c>
      <c r="J10" s="17">
        <f>T10</f>
        <v>20.980899999999998</v>
      </c>
      <c r="K10" s="18">
        <f>P10</f>
        <v>3.4740799999999998</v>
      </c>
      <c r="L10" s="1">
        <f>IF(M!B8="","",IF(N10&lt;U10,1,IF(N10&lt;V10,2,IF(N10&lt;W10,3,IF(N10&lt;X10,4,5)))))</f>
        <v>1</v>
      </c>
      <c r="M10" s="162" t="str">
        <f>lang!B17</f>
        <v>의심</v>
      </c>
      <c r="N10" s="48">
        <f>IF(M!B8="","",M!B8*1)</f>
        <v>19.927</v>
      </c>
      <c r="O10" s="48">
        <f>M!C8*1</f>
        <v>0.69228000000000001</v>
      </c>
      <c r="P10" s="48">
        <f>M!D8*1</f>
        <v>3.4740799999999998</v>
      </c>
      <c r="Q10" s="48">
        <f>M!E8*1</f>
        <v>20</v>
      </c>
      <c r="R10" s="48">
        <f>IF(M!B8="","",M!F8*1)</f>
        <v>18.529599999999999</v>
      </c>
      <c r="S10" s="48">
        <f>M!G8*1</f>
        <v>50</v>
      </c>
      <c r="T10" s="48">
        <f>IF(M!B8="","",M!H8*1)</f>
        <v>20.980899999999998</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-4.3015833508339369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26.224699999999999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26.224699999999999</v>
      </c>
      <c r="DJ10" s="265">
        <f t="shared" si="8"/>
        <v>-4.5843066564139976</v>
      </c>
      <c r="DK10" s="273">
        <f t="shared" si="9"/>
        <v>18.721483715985624</v>
      </c>
      <c r="DL10" s="274">
        <f t="shared" si="10"/>
        <v>9.1208467667725301</v>
      </c>
      <c r="DM10"/>
      <c r="DN10"/>
    </row>
    <row r="11" spans="2:119" s="4" customFormat="1" ht="24.75" customHeight="1" thickBot="1">
      <c r="B11" s="57" t="str">
        <f>CONCATENATE(M11,"
(50 ~ 100)")</f>
        <v>밸런스
(50 ~ 100)</v>
      </c>
      <c r="C11" s="17">
        <f>R11</f>
        <v>0</v>
      </c>
      <c r="D11" s="42">
        <f>N11</f>
        <v>26.224699999999999</v>
      </c>
      <c r="E11" s="17">
        <f>T11</f>
        <v>39.430199999999999</v>
      </c>
      <c r="F11" s="17">
        <f>P11</f>
        <v>44.3127</v>
      </c>
      <c r="G11" s="59" t="str">
        <f>CONCATENATE(M12,"
(40 ~ 100)")</f>
        <v>카리스마
(40 ~ 100)</v>
      </c>
      <c r="H11" s="17">
        <f>R12</f>
        <v>86.666399999999996</v>
      </c>
      <c r="I11" s="42">
        <f>N12</f>
        <v>89.071299999999994</v>
      </c>
      <c r="J11" s="17">
        <f>T12</f>
        <v>91.886300000000006</v>
      </c>
      <c r="K11" s="18">
        <f>P12</f>
        <v>1.7360800000000001</v>
      </c>
      <c r="L11" s="1">
        <f>IF(M!B9="","",IF(N11&lt;U11,1,IF(N11&lt;V11,2,IF(N11&lt;W11,3,IF(N11&lt;X11,4,5)))))</f>
        <v>1</v>
      </c>
      <c r="M11" s="162" t="str">
        <f>lang!B18</f>
        <v>밸런스</v>
      </c>
      <c r="N11" s="48">
        <f>IF(M!B9="","",M!B9*1)</f>
        <v>26.224699999999999</v>
      </c>
      <c r="O11" s="48">
        <f>M!C9*1</f>
        <v>11.620900000000001</v>
      </c>
      <c r="P11" s="48">
        <f>M!D9*1</f>
        <v>44.3127</v>
      </c>
      <c r="Q11" s="48">
        <f>M!E9*1</f>
        <v>50</v>
      </c>
      <c r="R11" s="48">
        <f>IF(M!B9="","",M!F9*1)</f>
        <v>0</v>
      </c>
      <c r="S11" s="48">
        <f>M!G9*1</f>
        <v>100</v>
      </c>
      <c r="T11" s="48">
        <f>IF(M!B9="","",M!H9*1)</f>
        <v>39.430199999999999</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66.2</v>
      </c>
      <c r="AG11" s="172">
        <f t="shared" si="7"/>
        <v>6.7040740000000003</v>
      </c>
      <c r="AH11" s="97">
        <f t="shared" si="1"/>
        <v>-5.9628369257260587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89.071299999999994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89.071299999999994</v>
      </c>
      <c r="DJ11" s="265">
        <f t="shared" si="8"/>
        <v>1.6189811192416363</v>
      </c>
      <c r="DK11" s="273">
        <f t="shared" si="9"/>
        <v>0.37034524674078079</v>
      </c>
      <c r="DL11" s="274">
        <f t="shared" si="10"/>
        <v>3.9814323152259345</v>
      </c>
      <c r="DM11"/>
      <c r="DN11"/>
    </row>
    <row r="12" spans="2:119" s="4" customFormat="1" ht="24.75" customHeight="1" thickBot="1">
      <c r="B12" s="57" t="str">
        <f>CONCATENATE(M13,"
(10 ~ 50)")</f>
        <v>에너지
(10 ~ 50)</v>
      </c>
      <c r="C12" s="17">
        <f>R13</f>
        <v>32.529899999999998</v>
      </c>
      <c r="D12" s="41">
        <f>N13</f>
        <v>36.085000000000001</v>
      </c>
      <c r="E12" s="43">
        <f>T13</f>
        <v>40.184800000000003</v>
      </c>
      <c r="F12" s="43">
        <f>P13</f>
        <v>5.0295300000000003</v>
      </c>
      <c r="G12" s="59" t="str">
        <f>CONCATENATE(M14,"
(50 ~ 100)")</f>
        <v>자기조절
(50 ~ 100)</v>
      </c>
      <c r="H12" s="17">
        <f>R14</f>
        <v>43.906399999999998</v>
      </c>
      <c r="I12" s="42">
        <f>N14</f>
        <v>58.072099999999999</v>
      </c>
      <c r="J12" s="17">
        <f>T14</f>
        <v>64.28</v>
      </c>
      <c r="K12" s="18">
        <f>P14</f>
        <v>11.019</v>
      </c>
      <c r="L12" s="1">
        <f>IF(M!B10="","",IF(N12&lt;U12,1,IF(N12&lt;V12,2,IF(N12&lt;W12,3,IF(N12&lt;X12,4,5)))))</f>
        <v>5</v>
      </c>
      <c r="M12" s="162" t="str">
        <f>lang!B19</f>
        <v>카리스마</v>
      </c>
      <c r="N12" s="48">
        <f>IF(M!B10="","",M!B10*1)</f>
        <v>89.071299999999994</v>
      </c>
      <c r="O12" s="48">
        <f>M!C10*1</f>
        <v>1.54634</v>
      </c>
      <c r="P12" s="48">
        <f>M!D10*1</f>
        <v>1.7360800000000001</v>
      </c>
      <c r="Q12" s="48">
        <f>M!E10*1</f>
        <v>40</v>
      </c>
      <c r="R12" s="48">
        <f>IF(M!B10="","",M!F10*1)</f>
        <v>86.666399999999996</v>
      </c>
      <c r="S12" s="48">
        <f>M!G10*1</f>
        <v>100</v>
      </c>
      <c r="T12" s="48">
        <f>IF(M!B10="","",M!H10*1)</f>
        <v>91.886300000000006</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66.3</v>
      </c>
      <c r="AG12" s="172">
        <f t="shared" si="7"/>
        <v>10.411752</v>
      </c>
      <c r="AH12" s="97">
        <f t="shared" si="1"/>
        <v>2.1870766802743664</v>
      </c>
      <c r="AI12" s="98">
        <v>0.31913434649697919</v>
      </c>
      <c r="AJ12" s="98">
        <v>3.8587997439955973E-2</v>
      </c>
      <c r="AK12" s="98">
        <v>1.0272327081707585E-2</v>
      </c>
      <c r="AL12" s="98">
        <v>1.9404033844491575E-2</v>
      </c>
      <c r="AM12" s="101"/>
      <c r="AN12" s="101"/>
      <c r="AO12" s="101"/>
      <c r="AP12" s="101"/>
      <c r="AX12" s="171"/>
      <c r="AY12" s="219">
        <f>N13</f>
        <v>36.085000000000001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36.085000000000001</v>
      </c>
      <c r="DJ12" s="265">
        <f t="shared" si="8"/>
        <v>2.8375609023036241</v>
      </c>
      <c r="DK12" s="273">
        <f t="shared" si="9"/>
        <v>0.90205115789654033</v>
      </c>
      <c r="DL12" s="274">
        <f t="shared" si="10"/>
        <v>6.2309139317072422</v>
      </c>
      <c r="DM12"/>
      <c r="DN12"/>
    </row>
    <row r="13" spans="2:119" ht="24.75" customHeight="1" thickBot="1">
      <c r="B13" s="58" t="str">
        <f>CONCATENATE(M15,"
(10 ~ 25)")</f>
        <v>억제
(10 ~ 25)</v>
      </c>
      <c r="C13" s="44">
        <f>R15</f>
        <v>15.470499999999999</v>
      </c>
      <c r="D13" s="45">
        <f>N15</f>
        <v>17.615500000000001</v>
      </c>
      <c r="E13" s="46">
        <f>T15</f>
        <v>24.236999999999998</v>
      </c>
      <c r="F13" s="46">
        <f>P15</f>
        <v>15.394600000000001</v>
      </c>
      <c r="G13" s="60" t="str">
        <f>CONCATENATE(M16,"
(10 ~ 50)")</f>
        <v>신경성
(10 ~ 50)</v>
      </c>
      <c r="H13" s="44">
        <f>R16</f>
        <v>2.5939199999999998</v>
      </c>
      <c r="I13" s="45">
        <f>N16</f>
        <v>27.118300000000001</v>
      </c>
      <c r="J13" s="46">
        <f>T16</f>
        <v>27.118300000000001</v>
      </c>
      <c r="K13" s="47">
        <f>P16</f>
        <v>31.511399999999998</v>
      </c>
      <c r="L13" s="1">
        <f>IF(M!B11="","",IF(N13&lt;U13,1,IF(N13&lt;V13,2,IF(N13&lt;W13,3,IF(N13&lt;X13,4,5)))))</f>
        <v>4</v>
      </c>
      <c r="M13" s="162" t="str">
        <f>lang!B20</f>
        <v>에너지</v>
      </c>
      <c r="N13" s="48">
        <f>IF(M!B11="","",M!B11*1)</f>
        <v>36.085000000000001</v>
      </c>
      <c r="O13" s="48">
        <f>M!C11*1</f>
        <v>1.81491</v>
      </c>
      <c r="P13" s="48">
        <f>M!D11*1</f>
        <v>5.0295300000000003</v>
      </c>
      <c r="Q13" s="48">
        <f>M!E11*1</f>
        <v>10</v>
      </c>
      <c r="R13" s="48">
        <f>IF(M!B11="","",M!F11*1)</f>
        <v>32.529899999999998</v>
      </c>
      <c r="S13" s="48">
        <f>M!G11*1</f>
        <v>50</v>
      </c>
      <c r="T13" s="48">
        <f>IF(M!B11="","",M!H11*1)</f>
        <v>40.184800000000003</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20.2</v>
      </c>
      <c r="AG13" s="172">
        <f t="shared" si="7"/>
        <v>3.991924</v>
      </c>
      <c r="AH13" s="97">
        <f t="shared" si="1"/>
        <v>3.9792841747488183</v>
      </c>
      <c r="AI13" s="98">
        <v>0.16093442074971984</v>
      </c>
      <c r="AJ13" s="98">
        <v>-1.0988594420247608E-2</v>
      </c>
      <c r="AK13" s="98">
        <v>0.37151940745754808</v>
      </c>
      <c r="AL13" s="98">
        <v>8.9062029657998948E-2</v>
      </c>
      <c r="AM13" s="96"/>
      <c r="AN13" s="96"/>
      <c r="AO13" s="96"/>
      <c r="AP13" s="96"/>
      <c r="AX13" s="171"/>
      <c r="AY13" s="219">
        <f>info!W36</f>
        <v>63.395779999999995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27.118300000000001</v>
      </c>
      <c r="DJ13" s="265">
        <f t="shared" si="8"/>
        <v>-0.19839204474050451</v>
      </c>
      <c r="DK13" s="273">
        <f>IF(DH13=1,(DJ13-DF13)^2,0)</f>
        <v>0.40733265594901125</v>
      </c>
      <c r="DL13" s="274">
        <f t="shared" si="10"/>
        <v>2.8739460288967893E-2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58.072099999999999</v>
      </c>
      <c r="O14" s="48">
        <f>M!C12*1</f>
        <v>6.39893</v>
      </c>
      <c r="P14" s="48">
        <f>M!D12*1</f>
        <v>11.019</v>
      </c>
      <c r="Q14" s="48">
        <f>M!E12*1</f>
        <v>50</v>
      </c>
      <c r="R14" s="48">
        <f>IF(M!B12="","",M!F12*1)</f>
        <v>43.906399999999998</v>
      </c>
      <c r="S14" s="48">
        <f>M!G12*1</f>
        <v>100</v>
      </c>
      <c r="T14" s="48">
        <f>IF(M!B12="","",M!H12*1)</f>
        <v>64.28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-1.3671716022046094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68.215099999999993</v>
      </c>
      <c r="DJ14" s="265">
        <f t="shared" si="8"/>
        <v>1.0588184893567196</v>
      </c>
      <c r="DK14" s="279">
        <f t="shared" si="9"/>
        <v>1.2734604414610733</v>
      </c>
      <c r="DL14" s="280">
        <f t="shared" si="10"/>
        <v>10.229644854139957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17.615500000000001</v>
      </c>
      <c r="O15" s="48">
        <f>M!C13*1</f>
        <v>2.71183</v>
      </c>
      <c r="P15" s="48">
        <f>M!D13*1</f>
        <v>15.394600000000001</v>
      </c>
      <c r="Q15" s="48">
        <f>M!E13*1</f>
        <v>10</v>
      </c>
      <c r="R15" s="48">
        <f>IF(M!B13="","",M!F13*1)</f>
        <v>15.470499999999999</v>
      </c>
      <c r="S15" s="48">
        <f>M!G13*1</f>
        <v>25</v>
      </c>
      <c r="T15" s="48">
        <f>IF(M!B13="","",M!H13*1)</f>
        <v>24.236999999999998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-0.13030629604777078</v>
      </c>
      <c r="AI15" s="98">
        <v>-8.3250321124619289E-2</v>
      </c>
      <c r="AJ15" s="98">
        <v>-0.44690513063775733</v>
      </c>
      <c r="AK15" s="98">
        <v>0.12052818186953573</v>
      </c>
      <c r="AL15" s="98">
        <v>-2.4174505446491225E-2</v>
      </c>
      <c r="AM15" s="96"/>
      <c r="AN15" s="96"/>
      <c r="AO15" s="96"/>
      <c r="AP15" s="96"/>
      <c r="AX15" s="171"/>
      <c r="AY15" s="50">
        <f>SUM(AY7:AY14)</f>
        <v>269.60087999999996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31.671285671424794</v>
      </c>
      <c r="DL15" s="281">
        <f>IF(SUM($DI$7:$DI$14)&gt;0,SUM(DL7:DL14),0)</f>
        <v>57.855984116247008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27.118300000000001</v>
      </c>
      <c r="O16" s="48">
        <f>M!C14*1</f>
        <v>8.5453600000000005</v>
      </c>
      <c r="P16" s="48">
        <f>M!D14*1</f>
        <v>31.511399999999998</v>
      </c>
      <c r="Q16" s="48">
        <f>M!E14*1</f>
        <v>10</v>
      </c>
      <c r="R16" s="48">
        <f>IF(M!B14="","",M!F14*1)</f>
        <v>2.5939199999999998</v>
      </c>
      <c r="S16" s="48">
        <f>M!G14*1</f>
        <v>50</v>
      </c>
      <c r="T16" s="48">
        <f>IF(M!B14="","",M!H14*1)</f>
        <v>27.118300000000001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-0.20294086336192574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3.1574341830468956E-2</v>
      </c>
      <c r="DL16" s="281">
        <f>IF(DL15&gt;0,1/DL15,0)</f>
        <v>1.7284296780619136E-2</v>
      </c>
      <c r="DM16" t="s">
        <v>1207</v>
      </c>
    </row>
    <row r="17" spans="2:117" ht="21" customHeight="1" thickBot="1">
      <c r="B17" s="20"/>
      <c r="C17"/>
      <c r="D17"/>
      <c r="E17"/>
      <c r="F17"/>
      <c r="G17" s="1071"/>
      <c r="H17" s="827"/>
      <c r="I17" s="827"/>
      <c r="J17" s="827"/>
      <c r="K17" s="828"/>
      <c r="M17" s="163" t="str">
        <f>lang!B7</f>
        <v>긍정감정</v>
      </c>
      <c r="N17" s="54">
        <f>SUM(N11:N14)/4</f>
        <v>52.363275000000002</v>
      </c>
      <c r="O17" s="16">
        <f>N17/(N17+N18+N19)</f>
        <v>0.56052691158390866</v>
      </c>
      <c r="P17" s="54">
        <f>SUM(P11:P14)/4</f>
        <v>15.5243275</v>
      </c>
      <c r="Q17" s="16">
        <f>P17/(P17+P18+P19)</f>
        <v>0.3227334115896146</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0.64623867402034818</v>
      </c>
      <c r="DL17" s="283"/>
      <c r="DM17" s="284" t="s">
        <v>1208</v>
      </c>
    </row>
    <row r="18" spans="2:117" ht="21" customHeight="1">
      <c r="B18" s="20"/>
      <c r="C18"/>
      <c r="D18"/>
      <c r="E18"/>
      <c r="F18"/>
      <c r="G18" s="1071"/>
      <c r="H18" s="827"/>
      <c r="I18" s="827"/>
      <c r="J18" s="827"/>
      <c r="K18" s="828"/>
      <c r="M18" s="163" t="str">
        <f>lang!B8</f>
        <v>부정감정</v>
      </c>
      <c r="N18" s="14">
        <f>SUM(N7:N10)/4</f>
        <v>18.687775000000002</v>
      </c>
      <c r="O18" s="16">
        <f>N18/(N17+N18+N19)</f>
        <v>0.20004479867091926</v>
      </c>
      <c r="P18" s="14">
        <f>SUM(P7:P10)/4</f>
        <v>9.1253074999999999</v>
      </c>
      <c r="Q18" s="16">
        <f>P18/(P17+P18+P19)</f>
        <v>0.18970494028029858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22.366900000000001</v>
      </c>
      <c r="O19" s="16">
        <f>N19/(N17+N18+N19)</f>
        <v>0.23942828974517211</v>
      </c>
      <c r="P19" s="14">
        <f>(P15+P16)/2</f>
        <v>23.452999999999999</v>
      </c>
      <c r="Q19" s="16">
        <f>P19/(P17+P18+P19)</f>
        <v>0.48756164813008684</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2.2557399999999999</v>
      </c>
      <c r="D24" s="34" t="str">
        <f>lang!B11</f>
        <v>편차</v>
      </c>
      <c r="E24" s="1077">
        <f>FH_info!G2*1</f>
        <v>0.44717299999999999</v>
      </c>
      <c r="F24" s="1078"/>
      <c r="G24" s="1075" t="str">
        <f>lang!B12</f>
        <v>정보(I)변화량</v>
      </c>
      <c r="H24" s="1076"/>
      <c r="I24" s="51" t="str">
        <f ca="1">CONCATENATE(info!N7,"-",info!N8)</f>
        <v>50.9-58.4</v>
      </c>
      <c r="J24" s="32" t="str">
        <f>lang!B13</f>
        <v>Kcal/분</v>
      </c>
      <c r="K24" s="31" t="str">
        <f ca="1">CONCATENATE(info!N5,"-",info!N6)</f>
        <v>4.3-5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68.215099999999993</v>
      </c>
      <c r="F27" s="1043"/>
      <c r="G27" s="1055" t="str">
        <f>lang!B33</f>
        <v>정서안정성</v>
      </c>
      <c r="H27" s="1056"/>
      <c r="I27" s="1057"/>
      <c r="J27" s="993">
        <f>M!B19*100</f>
        <v>43.0488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4.2916100000000004</v>
      </c>
      <c r="H2" s="50">
        <f>IF(FT!B2&lt;&gt;"",FT!B2*100,"")</f>
        <v>53.144800000000004</v>
      </c>
      <c r="I2" s="50">
        <f>(IF(G2&lt;&gt;"",1,""))</f>
        <v>1</v>
      </c>
      <c r="J2" t="str">
        <f>IF(FT!B2&lt;&gt;"",FT!E2,"")</f>
        <v>0 [0.000000]</v>
      </c>
      <c r="K2">
        <f>IF(FT!B2&lt;&gt;"",IF(FT!C2&lt;&gt;"",FT!C2,F2/$M$3*$M$4),"")</f>
        <v>0</v>
      </c>
      <c r="L2" t="s">
        <v>52</v>
      </c>
      <c r="M2">
        <f>FH_info!E2</f>
        <v>4.9234099999999996</v>
      </c>
      <c r="N2" s="75">
        <f>LOOKUP(O3,A2:A1000,B2:B1000)</f>
        <v>1.7569816078431371</v>
      </c>
      <c r="O2" s="50">
        <f>MAX(C2:C1000)</f>
        <v>1</v>
      </c>
      <c r="P2" t="s">
        <v>60</v>
      </c>
      <c r="Q2" t="s">
        <v>61</v>
      </c>
      <c r="R2" t="s">
        <v>62</v>
      </c>
      <c r="S2" t="s">
        <v>63</v>
      </c>
      <c r="T2" t="s">
        <v>64</v>
      </c>
      <c r="V2" s="50">
        <f>FT!G2*10</f>
        <v>4.2916100000000004</v>
      </c>
      <c r="W2" s="50">
        <f>FT!H2*100</f>
        <v>53.144800000000004</v>
      </c>
      <c r="Y2">
        <f>IF(I2=1,H2/G2,"")</f>
        <v>12.383417878138973</v>
      </c>
      <c r="Z2">
        <f>AVERAGE(Y2:Y2000)</f>
        <v>12.019159952879136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4.3488199999999999</v>
      </c>
      <c r="H3" s="50">
        <f>IF(FT!B3&lt;&gt;"",FT!B3*100,"")</f>
        <v>53.669699999999999</v>
      </c>
      <c r="I3" s="50">
        <f t="shared" ref="I3:I66" si="2">(IF(G3&lt;&gt;"",1,""))</f>
        <v>1</v>
      </c>
      <c r="J3" t="str">
        <f>IF(FT!B3&lt;&gt;"",FT!E3,"")</f>
        <v>0 [0.397251]</v>
      </c>
      <c r="K3">
        <f>IF(FT!B3&lt;&gt;"",IF(FT!C3&lt;&gt;"",FT!C3,F3/$M$3*$M$4),"")</f>
        <v>0.39725100000000002</v>
      </c>
      <c r="L3" t="s">
        <v>53</v>
      </c>
      <c r="M3">
        <f>SUM(I2:I2005)</f>
        <v>13</v>
      </c>
      <c r="O3" s="104">
        <f>MATCH(O2,C2:C1000,0)-1</f>
        <v>91</v>
      </c>
      <c r="P3">
        <v>0</v>
      </c>
      <c r="Q3">
        <v>0</v>
      </c>
      <c r="R3">
        <f>IF(S4=0,M3,0)</f>
        <v>13</v>
      </c>
      <c r="S3">
        <f t="array" ref="S3">MAX(IF(ft_nq=0,row_n))</f>
        <v>1998</v>
      </c>
      <c r="T3">
        <f>R3-Q3</f>
        <v>13</v>
      </c>
      <c r="V3" s="50">
        <f>FT!G3*10</f>
        <v>4.7952200000000005</v>
      </c>
      <c r="W3" s="50">
        <f>FT!H3*100</f>
        <v>52.2286</v>
      </c>
      <c r="Y3" s="75">
        <f t="shared" ref="Y3:Y66" si="3">IF(I3=1,H3/G3,"")</f>
        <v>12.341209799439849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4.3773</v>
      </c>
      <c r="H4" s="50">
        <f>IF(FT!B4&lt;&gt;"",FT!B4*100,"")</f>
        <v>54.675799999999995</v>
      </c>
      <c r="I4" s="50">
        <f t="shared" si="2"/>
        <v>1</v>
      </c>
      <c r="J4" t="str">
        <f>IF(FT!B4&lt;&gt;"",FT!E4,"")</f>
        <v>0 [0.807328]</v>
      </c>
      <c r="K4">
        <f>IF(FT!B4&lt;&gt;"",IF(FT!C4&lt;&gt;"",FT!C4,F4/$M$3*$M$4),"")</f>
        <v>0.80732800000000005</v>
      </c>
      <c r="L4" t="s">
        <v>246</v>
      </c>
      <c r="M4">
        <f>IF(M2&lt;&gt;0,M3/M2*2,0)</f>
        <v>5.2808927146022784</v>
      </c>
      <c r="P4">
        <f>P3+1</f>
        <v>1</v>
      </c>
      <c r="Q4">
        <v>0</v>
      </c>
      <c r="R4">
        <f>IF(S4=1998,0,S4)</f>
        <v>0</v>
      </c>
      <c r="S4">
        <f t="array" ref="S4">MAX(IF(ft_nq=P4,row_n))</f>
        <v>0</v>
      </c>
      <c r="T4">
        <f>R4-Q4+1</f>
        <v>1</v>
      </c>
      <c r="V4" t="s">
        <v>209</v>
      </c>
      <c r="W4" s="23">
        <f>IF(ISERROR(V3-V2)=FALSE,(V3-V2)*10,0)</f>
        <v>5.0361000000000011</v>
      </c>
      <c r="Y4" s="75">
        <f t="shared" si="3"/>
        <v>12.49075914376442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4.3287800000000001</v>
      </c>
      <c r="H5" s="50">
        <f>IF(FT!B5&lt;&gt;"",FT!B5*100,"")</f>
        <v>57.347000000000001</v>
      </c>
      <c r="I5" s="50">
        <f t="shared" si="2"/>
        <v>1</v>
      </c>
      <c r="J5" t="str">
        <f>IF(FT!B5&lt;&gt;"",FT!E5,"")</f>
        <v>0 [1.213862]</v>
      </c>
      <c r="K5">
        <f>IF(FT!B5&lt;&gt;"",IF(FT!C5&lt;&gt;"",FT!C5,F5/$M$3*$M$4),"")</f>
        <v>1.2138599999999999</v>
      </c>
      <c r="L5" t="s">
        <v>54</v>
      </c>
      <c r="M5" s="52">
        <f ca="1">IF(M3&gt;0,MIN(FT_E),0)</f>
        <v>4.2916100000000004</v>
      </c>
      <c r="N5" s="52">
        <f ca="1">IF(M3&gt;0,ROUND(M5,1),0)</f>
        <v>4.3</v>
      </c>
      <c r="P5">
        <f t="shared" ref="P5:P27" si="10">P4+1</f>
        <v>2</v>
      </c>
      <c r="Q5">
        <f>IF(S5=1998,0,R4)</f>
        <v>0</v>
      </c>
      <c r="R5">
        <f>IF(S5=1998,0,S5)</f>
        <v>0</v>
      </c>
      <c r="S5">
        <f t="array" ref="S5">MAX(IF(ft_nq=P5,row_n))</f>
        <v>0</v>
      </c>
      <c r="T5">
        <f t="shared" ref="T5:T27" si="11">R5-Q5+1</f>
        <v>1</v>
      </c>
      <c r="V5" t="s">
        <v>210</v>
      </c>
      <c r="W5" s="23">
        <f>IF(ISERROR(W3-W2)=FALSE,W3-W2,0)</f>
        <v>-0.91620000000000346</v>
      </c>
      <c r="Y5" s="75">
        <f t="shared" si="3"/>
        <v>13.247843503250339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4.3435499999999996</v>
      </c>
      <c r="H6" s="50">
        <f>IF(FT!B6&lt;&gt;"",FT!B6*100,"")</f>
        <v>58.407299999999992</v>
      </c>
      <c r="I6" s="50">
        <f t="shared" si="2"/>
        <v>1</v>
      </c>
      <c r="J6" t="str">
        <f>IF(FT!B6&lt;&gt;"",FT!E6,"")</f>
        <v>0 [1.616462]</v>
      </c>
      <c r="K6">
        <f>IF(FT!B6&lt;&gt;"",IF(FT!C6&lt;&gt;"",FT!C6,F6/$M$3*$M$4),"")</f>
        <v>1.61646</v>
      </c>
      <c r="L6" t="s">
        <v>55</v>
      </c>
      <c r="M6" s="52">
        <f ca="1">IF(M3&gt;0,MAX(FT_E),0)</f>
        <v>5.00535</v>
      </c>
      <c r="N6" s="52">
        <f ca="1">IF(M3&gt;0,ROUND(M6,1),0)</f>
        <v>5</v>
      </c>
      <c r="P6">
        <f t="shared" si="10"/>
        <v>3</v>
      </c>
      <c r="Q6">
        <f t="shared" ref="Q6:Q27" si="12">IF(S6=1998,0,R5)</f>
        <v>0</v>
      </c>
      <c r="R6">
        <f t="shared" ref="R6:R27" si="13">IF(S6=1998,0,S6)</f>
        <v>0</v>
      </c>
      <c r="S6">
        <f t="array" ref="S6">MAX(IF(ft_nq=P6,row_n))</f>
        <v>0</v>
      </c>
      <c r="T6">
        <f t="shared" si="11"/>
        <v>1</v>
      </c>
      <c r="V6" t="s">
        <v>211</v>
      </c>
      <c r="W6" s="23">
        <f>IF(W4&lt;&gt;0,W5/W4,0)</f>
        <v>-0.18192649073688039</v>
      </c>
      <c r="Y6" s="75">
        <f t="shared" si="3"/>
        <v>13.446904030113616</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1</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4.4582600000000001</v>
      </c>
      <c r="H7" s="50">
        <f>IF(FT!B7&lt;&gt;"",FT!B7*100,"")</f>
        <v>56.3048</v>
      </c>
      <c r="I7" s="50">
        <f t="shared" si="2"/>
        <v>1</v>
      </c>
      <c r="J7" t="str">
        <f>IF(FT!B7&lt;&gt;"",FT!E7,"")</f>
        <v>0 [2.025562]</v>
      </c>
      <c r="K7">
        <f>IF(FT!B7&lt;&gt;"",IF(FT!C7&lt;&gt;"",FT!C7,F7/$M$3*$M$4),"")</f>
        <v>2.02556</v>
      </c>
      <c r="L7" t="s">
        <v>56</v>
      </c>
      <c r="M7" s="366">
        <f ca="1">IF(M3&gt;0,MIN(FT_PH),0)</f>
        <v>50.898900000000005</v>
      </c>
      <c r="N7" s="52">
        <f ca="1">IF(M3&gt;0,ROUND(M7,1),0)</f>
        <v>50.9</v>
      </c>
      <c r="P7">
        <f t="shared" si="10"/>
        <v>4</v>
      </c>
      <c r="Q7">
        <f t="shared" si="12"/>
        <v>0</v>
      </c>
      <c r="R7">
        <f t="shared" si="13"/>
        <v>0</v>
      </c>
      <c r="S7">
        <f t="array" ref="S7">MAX(IF(ft_nq=P7,row_n))</f>
        <v>0</v>
      </c>
      <c r="T7">
        <f t="shared" si="11"/>
        <v>1</v>
      </c>
      <c r="V7" t="s">
        <v>212</v>
      </c>
      <c r="W7" s="23">
        <f>DEGREES(ATAN(W6))</f>
        <v>-10.310853417556796</v>
      </c>
      <c r="X7" s="106">
        <v>0.05</v>
      </c>
      <c r="Y7" s="75">
        <f t="shared" si="3"/>
        <v>12.629321753329775</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v>
      </c>
      <c r="E8" s="50">
        <f t="shared" si="1"/>
        <v>4.239235128206329E-5</v>
      </c>
      <c r="F8">
        <f t="shared" si="6"/>
        <v>6</v>
      </c>
      <c r="G8" s="50">
        <f>IF(FT!A8&lt;&gt;"",FT!A8*10,"")</f>
        <v>4.5816600000000003</v>
      </c>
      <c r="H8" s="50">
        <f>IF(FT!B8&lt;&gt;"",FT!B8*100,"")</f>
        <v>54.5871</v>
      </c>
      <c r="I8" s="50">
        <f t="shared" si="2"/>
        <v>1</v>
      </c>
      <c r="J8" t="str">
        <f>IF(FT!B8&lt;&gt;"",FT!E8,"")</f>
        <v>0 [2.432077]</v>
      </c>
      <c r="K8">
        <f>IF(FT!B8&lt;&gt;"",IF(FT!C8&lt;&gt;"",FT!C8,F8/$M$3*$M$4),"")</f>
        <v>2.43208</v>
      </c>
      <c r="L8" t="s">
        <v>57</v>
      </c>
      <c r="M8" s="52">
        <f ca="1">IF(M3&gt;0,MAX(FT_PH),0)</f>
        <v>58.407299999999992</v>
      </c>
      <c r="N8" s="52">
        <f ca="1">IF(M3&gt;0,ROUND(M8,1),0)</f>
        <v>58.4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11.914262516205916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4.5906900000000004</v>
      </c>
      <c r="H9" s="50">
        <f>IF(FT!B9&lt;&gt;"",FT!B9*100,"")</f>
        <v>55.422600000000003</v>
      </c>
      <c r="I9" s="50">
        <f t="shared" si="2"/>
        <v>1</v>
      </c>
      <c r="J9" t="str">
        <f>IF(FT!B9&lt;&gt;"",FT!E9,"")</f>
        <v>0 [2.837908]</v>
      </c>
      <c r="K9">
        <f>IF(FT!B9&lt;&gt;"",IF(FT!C9&lt;&gt;"",FT!C9,F9/$M$3*$M$4),"")</f>
        <v>2.8379099999999999</v>
      </c>
      <c r="L9" t="s">
        <v>222</v>
      </c>
      <c r="M9" s="74">
        <f ca="1">IF(M3&gt;0,IF(COUNT(FT_E)&gt;0,AVERAGE(FT_E),0),0)</f>
        <v>4.556099230769231</v>
      </c>
      <c r="N9" s="365">
        <f ca="1">IF(M3&gt;0,IF(COUNT(FT_PH)&gt;0,AVERAGE(FT_PH),0),0)</f>
        <v>54.572107692307704</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12.072825653659907</v>
      </c>
      <c r="AB9" s="1">
        <v>60</v>
      </c>
      <c r="AC9" s="1">
        <v>70</v>
      </c>
      <c r="AD9" s="1">
        <f t="shared" si="7"/>
        <v>1</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4.6020699999999994</v>
      </c>
      <c r="H10" s="50">
        <f>IF(FT!B10&lt;&gt;"",FT!B10*100,"")</f>
        <v>56.139300000000006</v>
      </c>
      <c r="I10" s="50">
        <f t="shared" si="2"/>
        <v>1</v>
      </c>
      <c r="J10" t="str">
        <f>IF(FT!B10&lt;&gt;"",FT!E10,"")</f>
        <v>0 [3.245254]</v>
      </c>
      <c r="K10">
        <f>IF(FT!B10&lt;&gt;"",IF(FT!C10&lt;&gt;"",FT!C10,F10/$M$3*$M$4),"")</f>
        <v>3.24525</v>
      </c>
      <c r="M10">
        <v>2</v>
      </c>
      <c r="P10">
        <f t="shared" si="10"/>
        <v>7</v>
      </c>
      <c r="Q10">
        <f t="shared" si="12"/>
        <v>0</v>
      </c>
      <c r="R10">
        <f t="shared" si="13"/>
        <v>0</v>
      </c>
      <c r="S10">
        <f t="array" ref="S10">MAX(IF(ft_nq=P10,row_n))</f>
        <v>0</v>
      </c>
      <c r="T10">
        <f t="shared" si="11"/>
        <v>1</v>
      </c>
      <c r="V10" t="s">
        <v>215</v>
      </c>
      <c r="X10" s="71" t="s">
        <v>270</v>
      </c>
      <c r="Y10" s="75">
        <f t="shared" si="3"/>
        <v>12.19870623436845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4.6293199999999999</v>
      </c>
      <c r="H11" s="50">
        <f>IF(FT!B11&lt;&gt;"",FT!B11*100,"")</f>
        <v>55.167400000000001</v>
      </c>
      <c r="I11" s="50">
        <f t="shared" si="2"/>
        <v>1</v>
      </c>
      <c r="J11" t="str">
        <f>IF(FT!B11&lt;&gt;"",FT!E11,"")</f>
        <v>0 [3.647770]</v>
      </c>
      <c r="K11">
        <f>IF(FT!B11&lt;&gt;"",IF(FT!C11&lt;&gt;"",FT!C11,F11/$M$3*$M$4),"")</f>
        <v>3.64777</v>
      </c>
      <c r="M11" s="49">
        <f>MAX(IF(ft_nq=1,row_n))</f>
        <v>0</v>
      </c>
      <c r="P11">
        <f t="shared" si="10"/>
        <v>8</v>
      </c>
      <c r="Q11">
        <f t="shared" si="12"/>
        <v>0</v>
      </c>
      <c r="R11">
        <f t="shared" si="13"/>
        <v>0</v>
      </c>
      <c r="S11">
        <f t="array" ref="S11">MAX(IF(ft_nq=P11,row_n))</f>
        <v>0</v>
      </c>
      <c r="T11">
        <f t="shared" si="11"/>
        <v>1</v>
      </c>
      <c r="V11" s="71" t="s">
        <v>216</v>
      </c>
      <c r="W11" s="23">
        <f>FT!H11*100</f>
        <v>50.898900000000005</v>
      </c>
      <c r="Y11" s="75">
        <f t="shared" si="3"/>
        <v>11.916955405977552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4.7952200000000005</v>
      </c>
      <c r="H12" s="50">
        <f>IF(FT!B12&lt;&gt;"",FT!B12*100,"")</f>
        <v>52.2286</v>
      </c>
      <c r="I12" s="50">
        <f t="shared" si="2"/>
        <v>1</v>
      </c>
      <c r="J12" t="str">
        <f>IF(FT!B12&lt;&gt;"",FT!E12,"")</f>
        <v>0 [4.056943]</v>
      </c>
      <c r="K12">
        <f>IF(FT!B12&lt;&gt;"",IF(FT!C12&lt;&gt;"",FT!C12,F12/$M$3*$M$4),"")</f>
        <v>4.05694</v>
      </c>
      <c r="M12">
        <f>M11+1</f>
        <v>1</v>
      </c>
      <c r="P12">
        <f t="shared" si="10"/>
        <v>9</v>
      </c>
      <c r="Q12">
        <f t="shared" si="12"/>
        <v>0</v>
      </c>
      <c r="R12">
        <f t="shared" si="13"/>
        <v>0</v>
      </c>
      <c r="S12">
        <f t="array" ref="S12">MAX(IF(ft_nq=P12,row_n))</f>
        <v>0</v>
      </c>
      <c r="T12">
        <f t="shared" si="11"/>
        <v>1</v>
      </c>
      <c r="V12" s="71" t="s">
        <v>217</v>
      </c>
      <c r="W12" s="23">
        <f>FT!H12*100</f>
        <v>58.407299999999992</v>
      </c>
      <c r="Y12" s="75">
        <f t="shared" si="3"/>
        <v>10.891804755569087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v>
      </c>
      <c r="E13" s="50">
        <f t="shared" si="1"/>
        <v>1.1522836836240688E-4</v>
      </c>
      <c r="F13">
        <f t="shared" si="6"/>
        <v>11</v>
      </c>
      <c r="G13" s="50">
        <f>IF(FT!A13&lt;&gt;"",FT!A13*10,"")</f>
        <v>4.8766600000000002</v>
      </c>
      <c r="H13" s="50">
        <f>IF(FT!B13&lt;&gt;"",FT!B13*100,"")</f>
        <v>50.898900000000005</v>
      </c>
      <c r="I13" s="50">
        <f t="shared" si="2"/>
        <v>1</v>
      </c>
      <c r="J13" t="str">
        <f>IF(FT!B13&lt;&gt;"",FT!E13,"")</f>
        <v>0 [4.460873]</v>
      </c>
      <c r="K13">
        <f>IF(FT!B13&lt;&gt;"",IF(FT!C13&lt;&gt;"",FT!C13,F13/$M$3*$M$4),"")</f>
        <v>4.4608699999999999</v>
      </c>
      <c r="M13" s="49">
        <f t="array" ref="M13">MAX(IF(ft_nq=2,row_n))</f>
        <v>0</v>
      </c>
      <c r="P13">
        <f t="shared" si="10"/>
        <v>10</v>
      </c>
      <c r="Q13">
        <f t="shared" si="12"/>
        <v>0</v>
      </c>
      <c r="R13">
        <f t="shared" si="13"/>
        <v>0</v>
      </c>
      <c r="S13">
        <f t="array" ref="S13">MAX(IF(ft_nq=P13,row_n))</f>
        <v>0</v>
      </c>
      <c r="T13">
        <f t="shared" si="11"/>
        <v>1</v>
      </c>
      <c r="V13" s="71" t="s">
        <v>219</v>
      </c>
      <c r="W13">
        <f>FT!H13</f>
        <v>12</v>
      </c>
      <c r="Y13" s="75">
        <f t="shared" si="3"/>
        <v>10.437245983931625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5.00535</v>
      </c>
      <c r="H14" s="50">
        <f>IF(FT!B14&lt;&gt;"",FT!B14*100,"")</f>
        <v>51.444100000000006</v>
      </c>
      <c r="I14" s="50">
        <f t="shared" si="2"/>
        <v>1</v>
      </c>
      <c r="J14" t="str">
        <f>IF(FT!B14&lt;&gt;"",FT!E14,"")</f>
        <v>0 [4.866575]</v>
      </c>
      <c r="K14">
        <f>IF(FT!B14&lt;&gt;"",IF(FT!C14&lt;&gt;"",FT!C14,F14/$M$3*$M$4),"")</f>
        <v>4.8665799999999999</v>
      </c>
      <c r="M14">
        <f>M13+1</f>
        <v>1</v>
      </c>
      <c r="P14">
        <f t="shared" si="10"/>
        <v>11</v>
      </c>
      <c r="Q14">
        <f t="shared" si="12"/>
        <v>0</v>
      </c>
      <c r="R14">
        <f t="shared" si="13"/>
        <v>0</v>
      </c>
      <c r="S14">
        <f t="array" ref="S14">MAX(IF(ft_nq=P14,row_n))</f>
        <v>0</v>
      </c>
      <c r="T14">
        <f t="shared" si="11"/>
        <v>1</v>
      </c>
      <c r="V14" s="71" t="s">
        <v>221</v>
      </c>
      <c r="W14">
        <f>FT!H14</f>
        <v>5</v>
      </c>
      <c r="Y14" s="75">
        <f t="shared" si="3"/>
        <v>10.277822729679244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v>
      </c>
      <c r="E15" s="50">
        <f t="shared" si="1"/>
        <v>1.6938471460455832E-4</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4.8766600000000002</v>
      </c>
      <c r="W15" s="23">
        <f>FT!H15*100</f>
        <v>50.898900000000005</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4.3435499999999996</v>
      </c>
      <c r="W16" s="23">
        <f>FT!H16*100</f>
        <v>58.407299999999992</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t="str">
        <f>IF(FT!A17&lt;&gt;"",FT!A17*10,"")</f>
        <v/>
      </c>
      <c r="H17" s="50" t="str">
        <f>IF(FT!B17&lt;&gt;"",FT!B17*100,"")</f>
        <v/>
      </c>
      <c r="I17" s="50" t="str">
        <f t="shared" si="2"/>
        <v/>
      </c>
      <c r="J17" t="str">
        <f>IF(FT!B17&lt;&gt;"",FT!E17,"")</f>
        <v/>
      </c>
      <c r="K17" t="str">
        <f>IF(FT!B17&lt;&gt;"",IF(FT!C17&lt;&gt;"",FT!C17,F17/$M$3*$M$4),"")</f>
        <v/>
      </c>
      <c r="M17">
        <f>M3+1</f>
        <v>14</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v>
      </c>
      <c r="E18" s="50">
        <f t="shared" si="1"/>
        <v>2.9716369761879154E-4</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68.215099999999993</v>
      </c>
      <c r="W18" s="287">
        <f>100-M!B19*100</f>
        <v>56.9512</v>
      </c>
      <c r="X18" t="str">
        <f>"(" &amp; ROUND(V18,1) &amp; " , " &amp; ROUND(100-W18,1) &amp; ")"</f>
        <v>(68.2 , 43)</v>
      </c>
      <c r="Y18" s="75" t="str">
        <f t="shared" si="3"/>
        <v/>
      </c>
      <c r="Z18">
        <f>M!B18*100</f>
        <v>68.215099999999993</v>
      </c>
      <c r="AA18">
        <f>100-M!B19*100</f>
        <v>56.9512</v>
      </c>
      <c r="AQ18">
        <v>7</v>
      </c>
      <c r="AR18" s="440" t="str">
        <f t="shared" si="15"/>
        <v/>
      </c>
      <c r="AS18" s="441" t="str">
        <f t="shared" si="14"/>
        <v/>
      </c>
      <c r="AT18" s="441" t="str">
        <f t="shared" si="14"/>
        <v/>
      </c>
      <c r="AU18" s="441" t="str">
        <f t="shared" si="14"/>
        <v/>
      </c>
      <c r="AV18" s="442" t="str">
        <f t="shared" si="14"/>
        <v/>
      </c>
      <c r="AW18" s="441" t="str">
        <f t="shared" si="14"/>
        <v/>
      </c>
      <c r="AX18" s="441" t="str">
        <f t="shared" si="14"/>
        <v>기쁜</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v>
      </c>
      <c r="E21" s="50">
        <f t="shared" si="1"/>
        <v>5.1155989191839816E-4</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64.623867402034818</v>
      </c>
      <c r="W21" s="287">
        <f>'R3'!I3</f>
        <v>69.110933205064569</v>
      </c>
      <c r="X21" t="str">
        <f>"(" &amp; ROUND(V21,1) &amp; " , " &amp; ROUND(W21,1) &amp; ")" &amp; CHAR(10) &amp; AR26</f>
        <v>(64.6 , 69.1)
기쁜</v>
      </c>
      <c r="Y21" s="75" t="str">
        <f t="shared" si="3"/>
        <v/>
      </c>
      <c r="AA21">
        <f>100-M!B19*100</f>
        <v>56.9512</v>
      </c>
      <c r="AC21">
        <f>'R3'!I3</f>
        <v>69.110933205064569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v>
      </c>
      <c r="E23" s="50">
        <f t="shared" si="1"/>
        <v>7.2710399246906645E-4</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0.46337976470588232</v>
      </c>
      <c r="C26" s="50">
        <f>IF(FH!$C$2&gt;0,FH!A26/FH!$C$2,0)</f>
        <v>0</v>
      </c>
      <c r="D26" s="50">
        <f>IF(hist!$D$2&gt;0,hist!B26/hist!$D$2,0)</f>
        <v>0</v>
      </c>
      <c r="E26" s="50">
        <f t="shared" si="1"/>
        <v>1.2128188079122912E-3</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v>
      </c>
      <c r="D31" s="50">
        <f>IF(hist!$D$2&gt;0,hist!B31/hist!$D$2,0)</f>
        <v>0</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편안하고 기분좋은 정서 상태이다.심리적 정보가 감소할 가능성이 있다. 에너지 칼로리 소모량이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0.44717299999999999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55.282699999999998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75.191333333333333</v>
      </c>
      <c r="W35" s="23">
        <f>IF(FH_info!G2*1&lt;&gt;0,(1-NORMSDIST((FH_info!G2*1-0.5308)/0.1538))*100,0)</f>
        <v>70.668932438673181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v>
      </c>
      <c r="D36" s="50">
        <f>IF(hist!$D$2&gt;0,hist!B36/hist!$D$2,0)</f>
        <v>0</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2.2557399999999999</v>
      </c>
      <c r="W36" s="495">
        <f>IF(W34&gt;=60,30/40*(W34-60)+70,IF(W34&gt;=35,35/25*(W34-35)+35,IF(W34&gt;=0,W34,0)))</f>
        <v>63.395779999999995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v>
      </c>
      <c r="D39" s="50">
        <f>IF(hist!$D$2&gt;0,hist!B39/hist!$D$2,0)</f>
        <v>2.7278617322927046E-4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v>
      </c>
      <c r="D41" s="50">
        <f>IF(hist!$D$2&gt;0,hist!B41/hist!$D$2,0)</f>
        <v>8.86555062995129E-4</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14.5505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v>
      </c>
      <c r="D44" s="50">
        <f>IF(hist!$D$2&gt;0,hist!B44/hist!$D$2,0)</f>
        <v>3.6485150669414925E-3</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v>
      </c>
      <c r="D46" s="50">
        <f>IF(hist!$D$2&gt;0,hist!B46/hist!$D$2,0)</f>
        <v>1.5241927429185488E-2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v>
      </c>
      <c r="D49" s="50">
        <f>IF(hist!$D$2&gt;0,hist!B49/hist!$D$2,0)</f>
        <v>4.3543492901722297E-2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v>
      </c>
      <c r="D51" s="50">
        <f>IF(hist!$D$2&gt;0,hist!B51/hist!$D$2,0)</f>
        <v>0.10328366483893253</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64.623867402034818</v>
      </c>
      <c r="W52" s="303">
        <f ca="1">100-N9</f>
        <v>45.427892307692296</v>
      </c>
      <c r="X52" t="str">
        <f ca="1">"(" &amp; ROUND(V52,1) &amp; " , " &amp; ROUND(100-W52,1) &amp; ")"</f>
        <v>(64.6 , 54.6)</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v>
      </c>
      <c r="D54" s="50">
        <f>IF(hist!$D$2&gt;0,hist!B54/hist!$D$2,0)</f>
        <v>0.20888600788802991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v>
      </c>
      <c r="D57" s="50">
        <f>IF(hist!$D$2&gt;0,hist!B57/hist!$D$2,0)</f>
        <v>0.37739969623639941</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v>
      </c>
      <c r="D59" s="50">
        <f>IF(hist!$D$2&gt;0,hist!B59/hist!$D$2,0)</f>
        <v>0.62805608690016135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v>
      </c>
      <c r="D62" s="50">
        <f>IF(hist!$D$2&gt;0,hist!B62/hist!$D$2,0)</f>
        <v>0.85494596517218735</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v>
      </c>
      <c r="D64" s="50">
        <f>IF(hist!$D$2&gt;0,hist!B64/hist!$D$2,0)</f>
        <v>0.98165512558804757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v>
      </c>
      <c r="D67" s="50">
        <f>IF(hist!$D$2&gt;0,hist!B67/hist!$D$2,0)</f>
        <v>1</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v>
      </c>
      <c r="D69" s="50">
        <f>IF(hist!$D$2&gt;0,hist!B69/hist!$D$2,0)</f>
        <v>0.94237390385618081</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v>
      </c>
      <c r="D72" s="50">
        <f>IF(hist!$D$2&gt;0,hist!B72/hist!$D$2,0)</f>
        <v>0.87148364823563162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v>
      </c>
      <c r="D75" s="50">
        <f>IF(hist!$D$2&gt;0,hist!B75/hist!$D$2,0)</f>
        <v>0.80205952452594276</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v>
      </c>
      <c r="D77" s="50">
        <f>IF(hist!$D$2&gt;0,hist!B77/hist!$D$2,0)</f>
        <v>0.77822485395145502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v>
      </c>
      <c r="D80" s="50">
        <f>IF(hist!$D$2&gt;0,hist!B80/hist!$D$2,0)</f>
        <v>0.75179870620672129</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v>
      </c>
      <c r="D82" s="50">
        <f>IF(hist!$D$2&gt;0,hist!B82/hist!$D$2,0)</f>
        <v>0.7200873007819667</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0.12168666044106027</v>
      </c>
      <c r="D85" s="50">
        <f>IF(hist!$D$2&gt;0,hist!B85/hist!$D$2,0)</f>
        <v>0.65475499950670457</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0.41139285970835432</v>
      </c>
      <c r="D88" s="50">
        <f>IF(hist!$D$2&gt;0,hist!B88/hist!$D$2,0)</f>
        <v>0.5484706697131142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0.63328783851734793</v>
      </c>
      <c r="D90" s="50">
        <f>IF(hist!$D$2&gt;0,hist!B90/hist!$D$2,0)</f>
        <v>0.46619156578653925</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1</v>
      </c>
      <c r="D93" s="50">
        <f>IF(hist!$D$2&gt;0,hist!B93/hist!$D$2,0)</f>
        <v>0.37211444281866252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0.95833632641333233</v>
      </c>
      <c r="D95" s="50">
        <f>IF(hist!$D$2&gt;0,hist!B95/hist!$D$2,0)</f>
        <v>0.28226548848670369</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0.71101213993247614</v>
      </c>
      <c r="D98" s="50">
        <f>IF(hist!$D$2&gt;0,hist!B98/hist!$D$2,0)</f>
        <v>0.21908140389932576</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0.49989224912003449</v>
      </c>
      <c r="D100" s="50">
        <f>IF(hist!$D$2&gt;0,hist!B100/hist!$D$2,0)</f>
        <v>0.16329662294937203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0.53990374254723084</v>
      </c>
      <c r="D103" s="50">
        <f>IF(hist!$D$2&gt;0,hist!B103/hist!$D$2,0)</f>
        <v>0.11832100263819607</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0.58048990733424322</v>
      </c>
      <c r="D106" s="50">
        <f>IF(hist!$D$2&gt;0,hist!B106/hist!$D$2,0)</f>
        <v>9.3906640134176364E-2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0.43294303570145826</v>
      </c>
      <c r="D108" s="50">
        <f>IF(hist!$D$2&gt;0,hist!B108/hist!$D$2,0)</f>
        <v>7.11971912128396E-2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0.59485669132964591</v>
      </c>
      <c r="D111" s="50">
        <f>IF(hist!$D$2&gt;0,hist!B111/hist!$D$2,0)</f>
        <v>5.6637229216727286E-2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0.34674233172904245</v>
      </c>
      <c r="D113" s="50">
        <f>IF(hist!$D$2&gt;0,hist!B113/hist!$D$2,0)</f>
        <v>5.1863471185215046E-2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0.25666259607786795</v>
      </c>
      <c r="D116" s="50">
        <f>IF(hist!$D$2&gt;0,hist!B116/hist!$D$2,0)</f>
        <v>4.8828720745755456E-2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0.31764959413835214</v>
      </c>
      <c r="D118" s="50">
        <f>IF(hist!$D$2&gt;0,hist!B118/hist!$D$2,0)</f>
        <v>4.4532347041962357E-2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0.17477192730407298</v>
      </c>
      <c r="D121" s="50">
        <f>IF(hist!$D$2&gt;0,hist!B121/hist!$D$2,0)</f>
        <v>4.0781532897775932E-2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8.6775375332231883E-2</v>
      </c>
      <c r="D124" s="50">
        <f>IF(hist!$D$2&gt;0,hist!B124/hist!$D$2,0)</f>
        <v>3.8190064252097873E-2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0.16327850010775088</v>
      </c>
      <c r="D126" s="50">
        <f>IF(hist!$D$2&gt;0,hist!B126/hist!$D$2,0)</f>
        <v>3.5632693878073454E-2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0.23698010200416636</v>
      </c>
      <c r="D129" s="50">
        <f>IF(hist!$D$2&gt;0,hist!B129/hist!$D$2,0)</f>
        <v>3.3109421775702703E-2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0.14955822139214137</v>
      </c>
      <c r="D131" s="50">
        <f>IF(hist!$D$2&gt;0,hist!B131/hist!$D$2,0)</f>
        <v>3.1029427204829516E-2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0.11083973852453129</v>
      </c>
      <c r="D134" s="50">
        <f>IF(hist!$D$2&gt;0,hist!B134/hist!$D$2,0)</f>
        <v>3.0415658315063657E-2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0.46253861073198765</v>
      </c>
      <c r="D136" s="50">
        <f>IF(hist!$D$2&gt;0,hist!B136/hist!$D$2,0)</f>
        <v>2.6664848433161189E-2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0.61238416780403715</v>
      </c>
      <c r="D139" s="50">
        <f>IF(hist!$D$2&gt;0,hist!B139/hist!$D$2,0)</f>
        <v>2.4891738307170931E-2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0.46936283312980392</v>
      </c>
      <c r="D142" s="50">
        <f>IF(hist!$D$2&gt;0,hist!B142/hist!$D$2,0)</f>
        <v>2.2538957563068476E-2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0.67028230730550964</v>
      </c>
      <c r="D144" s="50">
        <f>IF(hist!$D$2&gt;0,hist!B144/hist!$D$2,0)</f>
        <v>2.0493061263848943E-2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0.69801020041663675</v>
      </c>
      <c r="D147" s="50">
        <f>IF(hist!$D$2&gt;0,hist!B147/hist!$D$2,0)</f>
        <v>1.6639956566985498E-2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0.46081459665253938</v>
      </c>
      <c r="D149" s="50">
        <f>IF(hist!$D$2&gt;0,hist!B149/hist!$D$2,0)</f>
        <v>1.0706857299248865E-2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0.34947202068816896</v>
      </c>
      <c r="D152" s="50">
        <f>IF(hist!$D$2&gt;0,hist!B152/hist!$D$2,0)</f>
        <v>8.4222730984537253E-3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0.32052295093743266</v>
      </c>
      <c r="D154" s="50">
        <f>IF(hist!$D$2&gt;0,hist!B154/hist!$D$2,0)</f>
        <v>5.5580182795463865E-3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0.33596724373249048</v>
      </c>
      <c r="D157" s="50">
        <f>IF(hist!$D$2&gt;0,hist!B157/hist!$D$2,0)</f>
        <v>2.7619600039463636E-3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0.13598161051648588</v>
      </c>
      <c r="D160" s="50">
        <f>IF(hist!$D$2&gt;0,hist!B160/hist!$D$2,0)</f>
        <v>1.3298325944926935E-3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6.7021047338553269E-2</v>
      </c>
      <c r="D162" s="50">
        <f>IF(hist!$D$2&gt;0,hist!B162/hist!$D$2,0)</f>
        <v>7.1606370472683501E-4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3.3402772789311114E-2</v>
      </c>
      <c r="D165" s="50">
        <f>IF(hist!$D$2&gt;0,hist!B165/hist!$D$2,0)</f>
        <v>3.0688444488292927E-4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2.2699518712736157E-2</v>
      </c>
      <c r="D167" s="50">
        <f>IF(hist!$D$2&gt;0,hist!B167/hist!$D$2,0)</f>
        <v>1.0229481496097644E-4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3.4098271653658808E-5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35.539299999999997</v>
      </c>
      <c r="C5" s="49">
        <v>2.3856999999999999</v>
      </c>
      <c r="D5" s="49">
        <v>6.7128500000000004</v>
      </c>
      <c r="E5" s="49">
        <v>20</v>
      </c>
      <c r="F5" s="49">
        <v>30.7666</v>
      </c>
      <c r="G5" s="49">
        <v>50</v>
      </c>
      <c r="H5" s="49">
        <v>44.471499999999999</v>
      </c>
    </row>
    <row r="6" spans="1:10">
      <c r="A6" t="s">
        <v>1111</v>
      </c>
      <c r="B6" s="49">
        <v>0</v>
      </c>
      <c r="C6" s="49">
        <v>6.1332199999999997</v>
      </c>
      <c r="D6" s="49">
        <v>0</v>
      </c>
      <c r="E6" s="49">
        <v>20</v>
      </c>
      <c r="F6" s="49">
        <v>0</v>
      </c>
      <c r="G6" s="49">
        <v>40</v>
      </c>
      <c r="H6" s="49">
        <v>17.856000000000002</v>
      </c>
    </row>
    <row r="7" spans="1:10">
      <c r="A7" t="s">
        <v>1112</v>
      </c>
      <c r="B7" s="49">
        <v>19.284800000000001</v>
      </c>
      <c r="C7" s="49">
        <v>5.0746700000000002</v>
      </c>
      <c r="D7" s="49">
        <v>26.314299999999999</v>
      </c>
      <c r="E7" s="49">
        <v>15</v>
      </c>
      <c r="F7" s="49">
        <v>11.523400000000001</v>
      </c>
      <c r="G7" s="49">
        <v>40</v>
      </c>
      <c r="H7" s="49">
        <v>30.873999999999999</v>
      </c>
    </row>
    <row r="8" spans="1:10">
      <c r="A8" t="s">
        <v>1113</v>
      </c>
      <c r="B8" s="49">
        <v>19.927</v>
      </c>
      <c r="C8" s="49">
        <v>0.69228000000000001</v>
      </c>
      <c r="D8" s="49">
        <v>3.4740799999999998</v>
      </c>
      <c r="E8" s="49">
        <v>20</v>
      </c>
      <c r="F8" s="49">
        <v>18.529599999999999</v>
      </c>
      <c r="G8" s="49">
        <v>50</v>
      </c>
      <c r="H8" s="49">
        <v>20.980899999999998</v>
      </c>
    </row>
    <row r="9" spans="1:10">
      <c r="A9" t="s">
        <v>1114</v>
      </c>
      <c r="B9" s="49">
        <v>26.224699999999999</v>
      </c>
      <c r="C9" s="49">
        <v>11.620900000000001</v>
      </c>
      <c r="D9" s="49">
        <v>44.3127</v>
      </c>
      <c r="E9" s="49">
        <v>50</v>
      </c>
      <c r="F9" s="49">
        <v>0</v>
      </c>
      <c r="G9" s="49">
        <v>100</v>
      </c>
      <c r="H9" s="49">
        <v>39.430199999999999</v>
      </c>
    </row>
    <row r="10" spans="1:10">
      <c r="A10" t="s">
        <v>1115</v>
      </c>
      <c r="B10" s="49">
        <v>89.071299999999994</v>
      </c>
      <c r="C10" s="49">
        <v>1.54634</v>
      </c>
      <c r="D10" s="49">
        <v>1.7360800000000001</v>
      </c>
      <c r="E10" s="49">
        <v>40</v>
      </c>
      <c r="F10" s="49">
        <v>86.666399999999996</v>
      </c>
      <c r="G10" s="49">
        <v>100</v>
      </c>
      <c r="H10" s="49">
        <v>91.886300000000006</v>
      </c>
    </row>
    <row r="11" spans="1:10">
      <c r="A11" t="s">
        <v>1116</v>
      </c>
      <c r="B11" s="49">
        <v>36.085000000000001</v>
      </c>
      <c r="C11" s="49">
        <v>1.81491</v>
      </c>
      <c r="D11" s="49">
        <v>5.0295300000000003</v>
      </c>
      <c r="E11" s="49">
        <v>10</v>
      </c>
      <c r="F11" s="49">
        <v>32.529899999999998</v>
      </c>
      <c r="G11" s="49">
        <v>50</v>
      </c>
      <c r="H11" s="49">
        <v>40.184800000000003</v>
      </c>
    </row>
    <row r="12" spans="1:10">
      <c r="A12" t="s">
        <v>1117</v>
      </c>
      <c r="B12" s="49">
        <v>58.072099999999999</v>
      </c>
      <c r="C12" s="49">
        <v>6.39893</v>
      </c>
      <c r="D12" s="49">
        <v>11.019</v>
      </c>
      <c r="E12" s="49">
        <v>50</v>
      </c>
      <c r="F12" s="49">
        <v>43.906399999999998</v>
      </c>
      <c r="G12" s="49">
        <v>100</v>
      </c>
      <c r="H12" s="49">
        <v>64.28</v>
      </c>
    </row>
    <row r="13" spans="1:10">
      <c r="A13" t="s">
        <v>1118</v>
      </c>
      <c r="B13" s="49">
        <v>17.615500000000001</v>
      </c>
      <c r="C13" s="49">
        <v>2.71183</v>
      </c>
      <c r="D13" s="49">
        <v>15.394600000000001</v>
      </c>
      <c r="E13" s="49">
        <v>10</v>
      </c>
      <c r="F13" s="49">
        <v>15.470499999999999</v>
      </c>
      <c r="G13" s="49">
        <v>25</v>
      </c>
      <c r="H13" s="49">
        <v>24.236999999999998</v>
      </c>
      <c r="J13" s="49"/>
    </row>
    <row r="14" spans="1:10">
      <c r="A14" t="s">
        <v>1119</v>
      </c>
      <c r="B14" s="49">
        <v>27.118300000000001</v>
      </c>
      <c r="C14" s="49">
        <v>8.5453600000000005</v>
      </c>
      <c r="D14" s="49">
        <v>31.511399999999998</v>
      </c>
      <c r="E14" s="49">
        <v>10</v>
      </c>
      <c r="F14" s="49">
        <v>2.5939199999999998</v>
      </c>
      <c r="G14" s="49">
        <v>50</v>
      </c>
      <c r="H14" s="49">
        <v>27.118300000000001</v>
      </c>
    </row>
    <row r="15" spans="1:10">
      <c r="A15" t="s">
        <v>1120</v>
      </c>
      <c r="B15" s="49">
        <v>0.67316399999999998</v>
      </c>
      <c r="C15" s="49">
        <v>0</v>
      </c>
      <c r="D15" s="49">
        <v>0</v>
      </c>
      <c r="E15" s="49">
        <v>0</v>
      </c>
      <c r="F15" s="49">
        <v>0</v>
      </c>
      <c r="G15" s="49">
        <v>0</v>
      </c>
      <c r="H15" s="49">
        <v>0</v>
      </c>
    </row>
    <row r="16" spans="1:10">
      <c r="A16" t="s">
        <v>1121</v>
      </c>
      <c r="B16" s="49">
        <v>0.915663</v>
      </c>
      <c r="C16" s="49">
        <v>0</v>
      </c>
      <c r="D16" s="49">
        <v>0</v>
      </c>
      <c r="E16" s="49">
        <v>0</v>
      </c>
      <c r="F16" s="49">
        <v>0</v>
      </c>
      <c r="G16" s="49">
        <v>0</v>
      </c>
      <c r="H16" s="49">
        <v>0</v>
      </c>
    </row>
    <row r="17" spans="1:8">
      <c r="A17" t="s">
        <v>1122</v>
      </c>
      <c r="B17" s="49">
        <v>14.5505</v>
      </c>
      <c r="C17" s="49">
        <v>0</v>
      </c>
      <c r="D17" s="49">
        <v>0</v>
      </c>
      <c r="E17" s="49">
        <v>0</v>
      </c>
      <c r="F17" s="49">
        <v>0</v>
      </c>
      <c r="G17" s="49">
        <v>0</v>
      </c>
      <c r="H17" s="49">
        <v>0</v>
      </c>
    </row>
    <row r="18" spans="1:8">
      <c r="A18" t="s">
        <v>1123</v>
      </c>
      <c r="B18" s="49">
        <v>0.68215099999999995</v>
      </c>
      <c r="C18" s="49">
        <v>0</v>
      </c>
      <c r="D18" s="49">
        <v>0</v>
      </c>
      <c r="E18" s="49">
        <v>0</v>
      </c>
      <c r="F18" s="49">
        <v>0</v>
      </c>
      <c r="G18" s="49">
        <v>0</v>
      </c>
      <c r="H18" s="49">
        <v>0</v>
      </c>
    </row>
    <row r="19" spans="1:8">
      <c r="A19" t="s">
        <v>1124</v>
      </c>
      <c r="B19" s="49">
        <v>0.43048799999999998</v>
      </c>
      <c r="C19" s="49">
        <v>0</v>
      </c>
      <c r="D19" s="49">
        <v>0</v>
      </c>
      <c r="E19" s="49">
        <v>0</v>
      </c>
      <c r="F19" s="49">
        <v>0</v>
      </c>
      <c r="G19" s="49">
        <v>0</v>
      </c>
      <c r="H19" s="49">
        <v>0</v>
      </c>
    </row>
    <row r="20" spans="1:8">
      <c r="A20" t="s">
        <v>1125</v>
      </c>
      <c r="B20" s="49">
        <v>1.1754599999999999</v>
      </c>
      <c r="C20" s="49">
        <v>3.1886100000000002</v>
      </c>
      <c r="D20" s="49">
        <v>2.7126399999999999</v>
      </c>
      <c r="E20" s="49">
        <v>0</v>
      </c>
      <c r="F20" s="49">
        <v>6.1557199999999999E-3</v>
      </c>
      <c r="G20" s="49">
        <v>0</v>
      </c>
      <c r="H20" s="49">
        <v>13.763299999999999</v>
      </c>
    </row>
    <row r="21" spans="1:8">
      <c r="A21" t="s">
        <v>1126</v>
      </c>
      <c r="B21" s="49">
        <v>9.1694200000000006</v>
      </c>
      <c r="C21" s="49">
        <v>13.7616</v>
      </c>
      <c r="D21" s="49">
        <v>1.50081</v>
      </c>
      <c r="E21" s="49">
        <v>0</v>
      </c>
      <c r="F21" s="49">
        <v>0.95105499999999998</v>
      </c>
      <c r="G21" s="49">
        <v>0</v>
      </c>
      <c r="H21" s="49">
        <v>53.898699999999998</v>
      </c>
    </row>
    <row r="22" spans="1:8">
      <c r="A22" t="s">
        <v>1127</v>
      </c>
      <c r="B22" s="49">
        <v>287.04399999999998</v>
      </c>
      <c r="C22" s="49">
        <v>69.730999999999995</v>
      </c>
      <c r="D22" s="49">
        <v>0.24292800000000001</v>
      </c>
      <c r="E22" s="49">
        <v>0</v>
      </c>
      <c r="F22" s="49">
        <v>171.09899999999999</v>
      </c>
      <c r="G22" s="49">
        <v>0</v>
      </c>
      <c r="H22" s="49">
        <v>442.64299999999997</v>
      </c>
    </row>
    <row r="23" spans="1:8">
      <c r="A23" t="s">
        <v>1128</v>
      </c>
      <c r="B23" s="49">
        <v>310.839</v>
      </c>
      <c r="C23" s="49">
        <v>5.7465099999999998</v>
      </c>
      <c r="D23" s="49">
        <v>1.8487099999999999E-2</v>
      </c>
      <c r="E23" s="49">
        <v>0</v>
      </c>
      <c r="F23" s="49">
        <v>303.12599999999998</v>
      </c>
      <c r="G23" s="49">
        <v>0</v>
      </c>
      <c r="H23" s="49">
        <v>322.892</v>
      </c>
    </row>
    <row r="24" spans="1:8">
      <c r="A24" t="s">
        <v>1129</v>
      </c>
      <c r="B24" s="49">
        <v>1.2537</v>
      </c>
      <c r="C24" s="49">
        <v>2.7364999999999999</v>
      </c>
      <c r="D24" s="49">
        <v>2.1827399999999999</v>
      </c>
      <c r="E24" s="49">
        <v>0</v>
      </c>
      <c r="F24" s="49">
        <v>0.13170899999999999</v>
      </c>
      <c r="G24" s="49">
        <v>0</v>
      </c>
      <c r="H24" s="49">
        <v>12.386900000000001</v>
      </c>
    </row>
    <row r="25" spans="1:8">
      <c r="A25" t="s">
        <v>1130</v>
      </c>
      <c r="B25" s="49">
        <v>11.087199999999999</v>
      </c>
      <c r="C25" s="49">
        <v>4.3122600000000002</v>
      </c>
      <c r="D25" s="49">
        <v>0.38894099999999998</v>
      </c>
      <c r="E25" s="49">
        <v>0</v>
      </c>
      <c r="F25" s="49">
        <v>6.4963499999999996</v>
      </c>
      <c r="G25" s="49">
        <v>0</v>
      </c>
      <c r="H25" s="49">
        <v>21.420400000000001</v>
      </c>
    </row>
    <row r="26" spans="1:8">
      <c r="A26" t="s">
        <v>1131</v>
      </c>
      <c r="B26" s="49">
        <v>8.4306099999999995E-2</v>
      </c>
      <c r="C26" s="49">
        <v>7.9374E-2</v>
      </c>
      <c r="D26" s="49">
        <v>0.94149799999999995</v>
      </c>
      <c r="E26" s="49">
        <v>0</v>
      </c>
      <c r="F26" s="173">
        <v>2.5111600000000001E-3</v>
      </c>
      <c r="G26" s="49">
        <v>0</v>
      </c>
      <c r="H26" s="49">
        <v>0.33885199999999999</v>
      </c>
    </row>
    <row r="27" spans="1:8">
      <c r="A27" t="s">
        <v>1132</v>
      </c>
      <c r="B27" s="49">
        <v>2.8065899999999999E-3</v>
      </c>
      <c r="C27" s="49">
        <v>3.3554399999999998E-2</v>
      </c>
      <c r="D27" s="49">
        <v>11.9556</v>
      </c>
      <c r="E27" s="49">
        <v>0</v>
      </c>
      <c r="F27" s="49">
        <v>-0.106375</v>
      </c>
      <c r="G27" s="49">
        <v>0</v>
      </c>
      <c r="H27" s="49">
        <v>0.110281</v>
      </c>
    </row>
    <row r="28" spans="1:8">
      <c r="A28" t="s">
        <v>1133</v>
      </c>
      <c r="B28" s="49">
        <v>0.28017300000000001</v>
      </c>
      <c r="C28" s="49">
        <v>0.13279099999999999</v>
      </c>
      <c r="D28" s="49">
        <v>0.47396300000000002</v>
      </c>
      <c r="E28" s="49">
        <v>0</v>
      </c>
      <c r="F28" s="49">
        <v>8.0198599999999995E-2</v>
      </c>
      <c r="G28" s="49">
        <v>0</v>
      </c>
      <c r="H28" s="49">
        <v>0.59636400000000001</v>
      </c>
    </row>
    <row r="29" spans="1:8">
      <c r="A29" t="s">
        <v>1134</v>
      </c>
      <c r="B29" s="49">
        <v>110.74299999999999</v>
      </c>
      <c r="C29" s="49">
        <v>9.2948400000000007</v>
      </c>
      <c r="D29" s="49">
        <v>8.3931800000000001E-2</v>
      </c>
      <c r="E29" s="49">
        <v>0</v>
      </c>
      <c r="F29" s="49">
        <v>92.378399999999999</v>
      </c>
      <c r="G29" s="49">
        <v>0</v>
      </c>
      <c r="H29" s="49">
        <v>129.10599999999999</v>
      </c>
    </row>
    <row r="30" spans="1:8">
      <c r="A30" t="s">
        <v>1135</v>
      </c>
      <c r="B30" s="49">
        <v>37.795099999999998</v>
      </c>
      <c r="C30" s="49">
        <v>10.9617</v>
      </c>
      <c r="D30" s="49">
        <v>0.29002800000000001</v>
      </c>
      <c r="E30" s="49">
        <v>0</v>
      </c>
      <c r="F30" s="49">
        <v>35.299599999999998</v>
      </c>
      <c r="G30" s="49">
        <v>0</v>
      </c>
      <c r="H30" s="49">
        <v>65.369900000000001</v>
      </c>
    </row>
    <row r="31" spans="1:8">
      <c r="A31" t="s">
        <v>1136</v>
      </c>
      <c r="B31" s="49">
        <v>636.02800000000002</v>
      </c>
      <c r="C31" s="49">
        <v>34.549900000000001</v>
      </c>
      <c r="D31" s="49">
        <v>5.4321399999999999E-2</v>
      </c>
      <c r="E31" s="49">
        <v>0</v>
      </c>
      <c r="F31" s="49">
        <v>562.86300000000006</v>
      </c>
      <c r="G31" s="49">
        <v>0</v>
      </c>
      <c r="H31" s="49">
        <v>671.84500000000003</v>
      </c>
    </row>
    <row r="32" spans="1:8">
      <c r="A32" t="s">
        <v>1137</v>
      </c>
      <c r="B32" s="49">
        <v>0.19284799999999999</v>
      </c>
      <c r="C32" s="49">
        <v>5.0746600000000003E-2</v>
      </c>
      <c r="D32" s="49">
        <v>0.26314300000000002</v>
      </c>
      <c r="E32" s="49">
        <v>0.15</v>
      </c>
      <c r="F32" s="49">
        <v>0.115234</v>
      </c>
      <c r="G32" s="49">
        <v>0.4</v>
      </c>
      <c r="H32" s="49">
        <v>0.30874000000000001</v>
      </c>
    </row>
    <row r="33" spans="1:8">
      <c r="A33" t="s">
        <v>1138</v>
      </c>
      <c r="B33" s="49">
        <v>0.252799</v>
      </c>
      <c r="C33" s="49">
        <v>6.2208000000000003E-3</v>
      </c>
      <c r="D33" s="49">
        <v>2.46077E-2</v>
      </c>
      <c r="E33" s="49">
        <v>0</v>
      </c>
      <c r="F33" s="49">
        <v>0.242174</v>
      </c>
      <c r="G33" s="49">
        <v>0</v>
      </c>
      <c r="H33" s="49">
        <v>0.26938299999999998</v>
      </c>
    </row>
    <row r="34" spans="1:8">
      <c r="A34" t="s">
        <v>1139</v>
      </c>
      <c r="B34" s="49">
        <v>0.17615500000000001</v>
      </c>
      <c r="C34" s="49">
        <v>2.7118300000000001E-2</v>
      </c>
      <c r="D34" s="49">
        <v>0.153946</v>
      </c>
      <c r="E34" s="49">
        <v>0.1</v>
      </c>
      <c r="F34" s="49">
        <v>0.15470500000000001</v>
      </c>
      <c r="G34" s="49">
        <v>0.25</v>
      </c>
      <c r="H34" s="49">
        <v>0.24237</v>
      </c>
    </row>
    <row r="35" spans="1:8">
      <c r="A35" t="s">
        <v>1140</v>
      </c>
      <c r="B35" s="49">
        <v>7.9611699999999994E-2</v>
      </c>
      <c r="C35" s="49">
        <v>1.46623E-2</v>
      </c>
      <c r="D35" s="49">
        <v>0.184173</v>
      </c>
      <c r="E35" s="49">
        <v>0</v>
      </c>
      <c r="F35" s="49">
        <v>4.7343200000000002E-2</v>
      </c>
      <c r="G35" s="49">
        <v>0</v>
      </c>
      <c r="H35" s="49">
        <v>9.6467200000000003E-2</v>
      </c>
    </row>
    <row r="36" spans="1:8">
      <c r="A36" t="s">
        <v>1141</v>
      </c>
      <c r="B36" s="49">
        <v>0.12557599999999999</v>
      </c>
      <c r="C36" s="49">
        <v>6.1933099999999998E-2</v>
      </c>
      <c r="D36" s="49">
        <v>0.49319200000000002</v>
      </c>
      <c r="E36" s="49">
        <v>0</v>
      </c>
      <c r="F36" s="49">
        <v>8.8297700000000007E-2</v>
      </c>
      <c r="G36" s="49">
        <v>0</v>
      </c>
      <c r="H36" s="49">
        <v>0.39344000000000001</v>
      </c>
    </row>
    <row r="37" spans="1:8">
      <c r="A37" t="s">
        <v>1142</v>
      </c>
      <c r="B37" s="49">
        <v>0.27118300000000001</v>
      </c>
      <c r="C37" s="49">
        <v>8.5453600000000005E-2</v>
      </c>
      <c r="D37" s="49">
        <v>0.31511400000000001</v>
      </c>
      <c r="E37" s="49">
        <v>0.1</v>
      </c>
      <c r="F37" s="49">
        <v>2.5939199999999999E-2</v>
      </c>
      <c r="G37" s="49">
        <v>0.5</v>
      </c>
      <c r="H37" s="49">
        <v>0.27118300000000001</v>
      </c>
    </row>
    <row r="38" spans="1:8">
      <c r="A38" t="s">
        <v>1143</v>
      </c>
      <c r="B38" s="49">
        <v>-0.2777</v>
      </c>
      <c r="C38" s="49">
        <v>111.001</v>
      </c>
      <c r="D38" s="49">
        <v>-399.71600000000001</v>
      </c>
      <c r="E38" s="49">
        <v>0</v>
      </c>
      <c r="F38" s="49">
        <v>-175.22900000000001</v>
      </c>
      <c r="G38" s="49">
        <v>0</v>
      </c>
      <c r="H38" s="49">
        <v>240.09700000000001</v>
      </c>
    </row>
    <row r="39" spans="1:8">
      <c r="A39" t="s">
        <v>1144</v>
      </c>
      <c r="B39" s="49">
        <v>-22.247800000000002</v>
      </c>
      <c r="C39" s="49">
        <v>36.7027</v>
      </c>
      <c r="D39" s="49">
        <v>-1.6497299999999999</v>
      </c>
      <c r="E39" s="49">
        <v>0</v>
      </c>
      <c r="F39" s="49">
        <v>-82.516400000000004</v>
      </c>
      <c r="G39" s="49">
        <v>0</v>
      </c>
      <c r="H39" s="49">
        <v>31.744</v>
      </c>
    </row>
    <row r="40" spans="1:8">
      <c r="A40" t="s">
        <v>1145</v>
      </c>
      <c r="B40" s="49">
        <v>-31.981100000000001</v>
      </c>
      <c r="C40" s="49">
        <v>8.9001999999999999</v>
      </c>
      <c r="D40" s="49">
        <v>-0.27829500000000001</v>
      </c>
      <c r="E40" s="49">
        <v>0</v>
      </c>
      <c r="F40" s="49">
        <v>-50.604700000000001</v>
      </c>
      <c r="G40" s="49">
        <v>0</v>
      </c>
      <c r="H40" s="49">
        <v>-17.1812</v>
      </c>
    </row>
    <row r="41" spans="1:8">
      <c r="A41" t="s">
        <v>1146</v>
      </c>
      <c r="B41" s="49">
        <v>-6.2871399999999994E-2</v>
      </c>
      <c r="C41" s="49">
        <v>0.12688199999999999</v>
      </c>
      <c r="D41" s="49">
        <v>-2.0181300000000002</v>
      </c>
      <c r="E41" s="49">
        <v>0</v>
      </c>
      <c r="F41" s="49">
        <v>-0.18664600000000001</v>
      </c>
      <c r="G41" s="49">
        <v>0</v>
      </c>
      <c r="H41" s="49">
        <v>0.20385400000000001</v>
      </c>
    </row>
    <row r="42" spans="1:8">
      <c r="A42" t="s">
        <v>1147</v>
      </c>
      <c r="B42" s="49">
        <v>-8.3534600000000001E-2</v>
      </c>
      <c r="C42" s="49">
        <v>0.10187</v>
      </c>
      <c r="D42" s="49">
        <v>-1.2195</v>
      </c>
      <c r="E42" s="49">
        <v>0</v>
      </c>
      <c r="F42" s="49">
        <v>-0.231604</v>
      </c>
      <c r="G42" s="49">
        <v>0</v>
      </c>
      <c r="H42" s="49">
        <v>8.3191200000000007E-2</v>
      </c>
    </row>
    <row r="43" spans="1:8">
      <c r="A43" t="s">
        <v>1148</v>
      </c>
      <c r="B43" s="49">
        <v>-2.1600299999999999E-2</v>
      </c>
      <c r="C43" s="49">
        <v>2.5059100000000001E-2</v>
      </c>
      <c r="D43" s="49">
        <v>-1.16012</v>
      </c>
      <c r="E43" s="49">
        <v>0</v>
      </c>
      <c r="F43" s="49">
        <v>-8.8314100000000006E-2</v>
      </c>
      <c r="G43" s="49">
        <v>0</v>
      </c>
      <c r="H43" s="49">
        <v>-8.2384299999999997E-3</v>
      </c>
    </row>
    <row r="44" spans="1:8">
      <c r="A44" t="s">
        <v>1149</v>
      </c>
      <c r="B44" s="49">
        <v>-45.416699999999999</v>
      </c>
      <c r="C44" s="49">
        <v>35.822699999999998</v>
      </c>
      <c r="D44" s="49">
        <v>-0.78875600000000001</v>
      </c>
      <c r="E44" s="49">
        <v>0</v>
      </c>
      <c r="F44" s="49">
        <v>-129.995</v>
      </c>
      <c r="G44" s="49">
        <v>0</v>
      </c>
      <c r="H44" s="49">
        <v>10.2003</v>
      </c>
    </row>
    <row r="45" spans="1:8">
      <c r="A45" t="s">
        <v>1150</v>
      </c>
      <c r="B45" s="49">
        <v>27.286300000000001</v>
      </c>
      <c r="C45" s="49">
        <v>5.3242099999999999</v>
      </c>
      <c r="D45" s="49">
        <v>0.19512399999999999</v>
      </c>
      <c r="E45" s="49">
        <v>0</v>
      </c>
      <c r="F45" s="49">
        <v>22.597300000000001</v>
      </c>
      <c r="G45" s="49">
        <v>0</v>
      </c>
      <c r="H45" s="49">
        <v>39.874000000000002</v>
      </c>
    </row>
    <row r="46" spans="1:8">
      <c r="A46" t="s">
        <v>1151</v>
      </c>
      <c r="B46" s="49">
        <v>24.296399999999998</v>
      </c>
      <c r="C46" s="49">
        <v>1.4633499999999999</v>
      </c>
      <c r="D46" s="49">
        <v>6.0228900000000002E-2</v>
      </c>
      <c r="E46" s="49">
        <v>0</v>
      </c>
      <c r="F46" s="49">
        <v>19.1523</v>
      </c>
      <c r="G46" s="49">
        <v>0</v>
      </c>
      <c r="H46" s="49">
        <v>26.284800000000001</v>
      </c>
    </row>
    <row r="47" spans="1:8">
      <c r="A47" t="s">
        <v>1152</v>
      </c>
      <c r="B47" s="49">
        <v>7.1864299999999997</v>
      </c>
      <c r="C47" s="49">
        <v>4.6430699999999998</v>
      </c>
      <c r="D47" s="49">
        <v>0.646088</v>
      </c>
      <c r="E47" s="49">
        <v>0</v>
      </c>
      <c r="F47" s="49">
        <v>3.7970999999999999</v>
      </c>
      <c r="G47" s="49">
        <v>0</v>
      </c>
      <c r="H47" s="49">
        <v>18.477799999999998</v>
      </c>
    </row>
    <row r="48" spans="1:8">
      <c r="A48" t="s">
        <v>1153</v>
      </c>
      <c r="B48" s="49">
        <v>2.4291800000000001</v>
      </c>
      <c r="C48" s="49">
        <v>0.168627</v>
      </c>
      <c r="D48" s="49">
        <v>6.9417199999999998E-2</v>
      </c>
      <c r="E48" s="49">
        <v>0</v>
      </c>
      <c r="F48" s="49">
        <v>2.1644600000000001</v>
      </c>
      <c r="G48" s="49">
        <v>0</v>
      </c>
      <c r="H48" s="49">
        <v>2.7732600000000001</v>
      </c>
    </row>
    <row r="50" spans="1:4">
      <c r="A50" t="str">
        <f>lang!B7</f>
        <v>긍정감정</v>
      </c>
      <c r="B50" s="134">
        <f>SUM(B9:B12)</f>
        <v>209.45310000000001</v>
      </c>
      <c r="C50" s="134"/>
      <c r="D50" s="134">
        <f t="shared" ref="D50" si="0">SUM(D9:D12)</f>
        <v>62.09731</v>
      </c>
    </row>
    <row r="51" spans="1:4">
      <c r="A51" t="str">
        <f>lang!B8</f>
        <v>부정감정</v>
      </c>
      <c r="B51" s="134">
        <f>SUM(B5:B8)</f>
        <v>74.751100000000008</v>
      </c>
      <c r="C51" s="134"/>
      <c r="D51" s="134">
        <f t="shared" ref="D51" si="1">SUM(D5:D8)</f>
        <v>36.50123</v>
      </c>
    </row>
    <row r="52" spans="1:4">
      <c r="A52" t="str">
        <f>lang!B9</f>
        <v>생리감정</v>
      </c>
      <c r="B52" s="134">
        <f>SUM(B13:B14)</f>
        <v>44.733800000000002</v>
      </c>
      <c r="C52" s="134"/>
      <c r="D52" s="134">
        <f t="shared" ref="D52" si="2">SUM(D13:D14)</f>
        <v>46.905999999999999</v>
      </c>
    </row>
    <row r="53" spans="1:4">
      <c r="B53" s="50">
        <f>SUM(B50:B52)</f>
        <v>328.93799999999999</v>
      </c>
      <c r="D53" s="50">
        <f>SUM(D50:D52)</f>
        <v>145.50453999999999</v>
      </c>
    </row>
    <row r="54" spans="1:4">
      <c r="A54" t="str">
        <f>lang!B7</f>
        <v>긍정감정</v>
      </c>
      <c r="B54" s="135">
        <f>IF(B$53&lt;&gt;0,B50/B$53,0)</f>
        <v>0.63675555879831458</v>
      </c>
      <c r="C54" s="135"/>
      <c r="D54" s="135">
        <f>IF(D$53&lt;&gt;0,D50/D$53,0)</f>
        <v>0.42677231926921322</v>
      </c>
    </row>
    <row r="55" spans="1:4">
      <c r="A55" t="str">
        <f>lang!B8</f>
        <v>부정감정</v>
      </c>
      <c r="B55" s="135">
        <f>IF(B$53&lt;&gt;0,B51/B$53,0)</f>
        <v>0.22724981607476183</v>
      </c>
      <c r="C55" s="135"/>
      <c r="D55" s="135">
        <f>IF(D$53&lt;&gt;0,D51/D$53,0)</f>
        <v>0.25085973262415046</v>
      </c>
    </row>
    <row r="56" spans="1:4">
      <c r="A56" t="str">
        <f>lang!B9</f>
        <v>생리감정</v>
      </c>
      <c r="B56" s="135">
        <f>IF(B$53&lt;&gt;0,B52/B$53,0)</f>
        <v>0.13599462512692362</v>
      </c>
      <c r="C56" s="135"/>
      <c r="D56" s="135">
        <f>IF(D$53&lt;&gt;0,D52/D$53,0)</f>
        <v>0.32236794810663638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111.36799999999999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13.552</v>
      </c>
      <c r="B85" s="49">
        <v>13.552</v>
      </c>
    </row>
    <row r="86" spans="1:2">
      <c r="A86" s="49">
        <v>0</v>
      </c>
      <c r="B86" s="49">
        <v>0</v>
      </c>
    </row>
    <row r="87" spans="1:2">
      <c r="A87" s="49">
        <v>0</v>
      </c>
      <c r="B87" s="49">
        <v>0</v>
      </c>
    </row>
    <row r="88" spans="1:2">
      <c r="A88" s="49">
        <v>45.816000000000003</v>
      </c>
      <c r="B88" s="49">
        <v>45.816000000000003</v>
      </c>
    </row>
    <row r="89" spans="1:2">
      <c r="A89" s="49">
        <v>0</v>
      </c>
      <c r="B89" s="49">
        <v>0</v>
      </c>
    </row>
    <row r="90" spans="1:2">
      <c r="A90" s="49">
        <v>70.528000000000006</v>
      </c>
      <c r="B90" s="49">
        <v>70.528000000000006</v>
      </c>
    </row>
    <row r="91" spans="1:2">
      <c r="A91" s="49">
        <v>0</v>
      </c>
      <c r="B91" s="49">
        <v>0</v>
      </c>
    </row>
    <row r="92" spans="1:2">
      <c r="A92" s="49">
        <v>0</v>
      </c>
      <c r="B92" s="49">
        <v>0</v>
      </c>
    </row>
    <row r="93" spans="1:2">
      <c r="A93" s="49">
        <v>111.36799999999999</v>
      </c>
      <c r="B93" s="49">
        <v>111.36799999999999</v>
      </c>
    </row>
    <row r="94" spans="1:2">
      <c r="A94" s="49">
        <v>0</v>
      </c>
      <c r="B94" s="49">
        <v>0</v>
      </c>
    </row>
    <row r="95" spans="1:2">
      <c r="A95" s="49">
        <v>106.72799999999999</v>
      </c>
      <c r="B95" s="49">
        <v>106.72799999999999</v>
      </c>
    </row>
    <row r="96" spans="1:2">
      <c r="A96" s="49">
        <v>0</v>
      </c>
      <c r="B96" s="49">
        <v>0</v>
      </c>
    </row>
    <row r="97" spans="1:2">
      <c r="A97" s="49">
        <v>0</v>
      </c>
      <c r="B97" s="49">
        <v>0</v>
      </c>
    </row>
    <row r="98" spans="1:2">
      <c r="A98" s="49">
        <v>79.183999999999997</v>
      </c>
      <c r="B98" s="49">
        <v>79.183999999999997</v>
      </c>
    </row>
    <row r="99" spans="1:2">
      <c r="A99" s="49">
        <v>0</v>
      </c>
      <c r="B99" s="49">
        <v>0</v>
      </c>
    </row>
    <row r="100" spans="1:2">
      <c r="A100" s="49">
        <v>55.671999999999997</v>
      </c>
      <c r="B100" s="49">
        <v>55.671999999999997</v>
      </c>
    </row>
    <row r="101" spans="1:2">
      <c r="A101" s="49">
        <v>0</v>
      </c>
      <c r="B101" s="49">
        <v>0</v>
      </c>
    </row>
    <row r="102" spans="1:2">
      <c r="A102" s="49">
        <v>0</v>
      </c>
      <c r="B102" s="49">
        <v>0</v>
      </c>
    </row>
    <row r="103" spans="1:2">
      <c r="A103" s="49">
        <v>60.128</v>
      </c>
      <c r="B103" s="49">
        <v>60.128</v>
      </c>
    </row>
    <row r="104" spans="1:2">
      <c r="A104" s="49">
        <v>0</v>
      </c>
      <c r="B104" s="49">
        <v>0</v>
      </c>
    </row>
    <row r="105" spans="1:2">
      <c r="A105" s="49">
        <v>0</v>
      </c>
      <c r="B105" s="49">
        <v>0</v>
      </c>
    </row>
    <row r="106" spans="1:2">
      <c r="A106" s="49">
        <v>64.647999999999996</v>
      </c>
      <c r="B106" s="49">
        <v>64.647999999999996</v>
      </c>
    </row>
    <row r="107" spans="1:2">
      <c r="A107" s="49">
        <v>0</v>
      </c>
      <c r="B107" s="49">
        <v>0</v>
      </c>
    </row>
    <row r="108" spans="1:2">
      <c r="A108" s="49">
        <v>48.216000000000001</v>
      </c>
      <c r="B108" s="49">
        <v>48.216000000000001</v>
      </c>
    </row>
    <row r="109" spans="1:2">
      <c r="A109" s="49">
        <v>0</v>
      </c>
      <c r="B109" s="49">
        <v>0</v>
      </c>
    </row>
    <row r="110" spans="1:2">
      <c r="A110" s="49">
        <v>0</v>
      </c>
      <c r="B110" s="49">
        <v>0</v>
      </c>
    </row>
    <row r="111" spans="1:2">
      <c r="A111" s="49">
        <v>66.248000000000005</v>
      </c>
      <c r="B111" s="49">
        <v>66.248000000000005</v>
      </c>
    </row>
    <row r="112" spans="1:2">
      <c r="A112" s="49">
        <v>0</v>
      </c>
      <c r="B112" s="49">
        <v>0</v>
      </c>
    </row>
    <row r="113" spans="1:2">
      <c r="A113" s="49">
        <v>38.616</v>
      </c>
      <c r="B113" s="49">
        <v>38.616</v>
      </c>
    </row>
    <row r="114" spans="1:2">
      <c r="A114" s="49">
        <v>0</v>
      </c>
      <c r="B114" s="49">
        <v>0</v>
      </c>
    </row>
    <row r="115" spans="1:2">
      <c r="A115" s="49">
        <v>0</v>
      </c>
      <c r="B115" s="49">
        <v>0</v>
      </c>
    </row>
    <row r="116" spans="1:2">
      <c r="A116" s="49">
        <v>28.584</v>
      </c>
      <c r="B116" s="49">
        <v>28.584</v>
      </c>
    </row>
    <row r="117" spans="1:2">
      <c r="A117" s="49">
        <v>0</v>
      </c>
      <c r="B117" s="49">
        <v>0</v>
      </c>
    </row>
    <row r="118" spans="1:2">
      <c r="A118" s="49">
        <v>35.375999999999998</v>
      </c>
      <c r="B118" s="49">
        <v>35.375999999999998</v>
      </c>
    </row>
    <row r="119" spans="1:2">
      <c r="A119" s="49">
        <v>0</v>
      </c>
      <c r="B119" s="49">
        <v>0</v>
      </c>
    </row>
    <row r="120" spans="1:2">
      <c r="A120" s="49">
        <v>0</v>
      </c>
      <c r="B120" s="49">
        <v>0</v>
      </c>
    </row>
    <row r="121" spans="1:2">
      <c r="A121" s="49">
        <v>19.463999999999999</v>
      </c>
      <c r="B121" s="49">
        <v>19.463999999999999</v>
      </c>
    </row>
    <row r="122" spans="1:2">
      <c r="A122" s="49">
        <v>0</v>
      </c>
      <c r="B122" s="49">
        <v>0</v>
      </c>
    </row>
    <row r="123" spans="1:2">
      <c r="A123" s="49">
        <v>0</v>
      </c>
      <c r="B123" s="49">
        <v>0</v>
      </c>
    </row>
    <row r="124" spans="1:2">
      <c r="A124" s="49">
        <v>9.6639999999999997</v>
      </c>
      <c r="B124" s="49">
        <v>9.6639999999999997</v>
      </c>
    </row>
    <row r="125" spans="1:2">
      <c r="A125" s="49">
        <v>0</v>
      </c>
      <c r="B125" s="49">
        <v>0</v>
      </c>
    </row>
    <row r="126" spans="1:2">
      <c r="A126" s="49">
        <v>18.184000000000001</v>
      </c>
      <c r="B126" s="49">
        <v>18.184000000000001</v>
      </c>
    </row>
    <row r="127" spans="1:2">
      <c r="A127" s="49">
        <v>0</v>
      </c>
      <c r="B127" s="49">
        <v>0</v>
      </c>
    </row>
    <row r="128" spans="1:2">
      <c r="A128" s="49">
        <v>0</v>
      </c>
      <c r="B128" s="49">
        <v>0</v>
      </c>
    </row>
    <row r="129" spans="1:2">
      <c r="A129" s="49">
        <v>26.391999999999999</v>
      </c>
      <c r="B129" s="49">
        <v>26.391999999999999</v>
      </c>
    </row>
    <row r="130" spans="1:2">
      <c r="A130" s="49">
        <v>0</v>
      </c>
      <c r="B130" s="49">
        <v>0</v>
      </c>
    </row>
    <row r="131" spans="1:2">
      <c r="A131" s="49">
        <v>16.655999999999999</v>
      </c>
      <c r="B131" s="49">
        <v>16.655999999999999</v>
      </c>
    </row>
    <row r="132" spans="1:2">
      <c r="A132" s="49">
        <v>0</v>
      </c>
      <c r="B132" s="49">
        <v>0</v>
      </c>
    </row>
    <row r="133" spans="1:2">
      <c r="A133" s="49">
        <v>0</v>
      </c>
      <c r="B133" s="49">
        <v>0</v>
      </c>
    </row>
    <row r="134" spans="1:2">
      <c r="A134" s="49">
        <v>12.343999999999999</v>
      </c>
      <c r="B134" s="49">
        <v>12.343999999999999</v>
      </c>
    </row>
    <row r="135" spans="1:2">
      <c r="A135" s="49">
        <v>0</v>
      </c>
      <c r="B135" s="49">
        <v>0</v>
      </c>
    </row>
    <row r="136" spans="1:2">
      <c r="A136" s="49">
        <v>51.512</v>
      </c>
      <c r="B136" s="49">
        <v>51.512</v>
      </c>
    </row>
    <row r="137" spans="1:2">
      <c r="A137" s="49">
        <v>0</v>
      </c>
      <c r="B137" s="49">
        <v>0</v>
      </c>
    </row>
    <row r="138" spans="1:2">
      <c r="A138" s="49">
        <v>0</v>
      </c>
      <c r="B138" s="49">
        <v>0</v>
      </c>
    </row>
    <row r="139" spans="1:2">
      <c r="A139" s="49">
        <v>68.2</v>
      </c>
      <c r="B139" s="49">
        <v>68.2</v>
      </c>
    </row>
    <row r="140" spans="1:2">
      <c r="A140" s="49">
        <v>0</v>
      </c>
      <c r="B140" s="49">
        <v>0</v>
      </c>
    </row>
    <row r="141" spans="1:2">
      <c r="A141" s="49">
        <v>0</v>
      </c>
      <c r="B141" s="49">
        <v>0</v>
      </c>
    </row>
    <row r="142" spans="1:2">
      <c r="A142" s="49">
        <v>52.271999999999998</v>
      </c>
      <c r="B142" s="49">
        <v>52.271999999999998</v>
      </c>
    </row>
    <row r="143" spans="1:2">
      <c r="A143" s="49">
        <v>0</v>
      </c>
      <c r="B143" s="49">
        <v>0</v>
      </c>
    </row>
    <row r="144" spans="1:2">
      <c r="A144" s="49">
        <v>74.647999999999996</v>
      </c>
      <c r="B144" s="49">
        <v>74.647999999999996</v>
      </c>
    </row>
    <row r="145" spans="1:2">
      <c r="A145" s="49">
        <v>0</v>
      </c>
      <c r="B145" s="49">
        <v>0</v>
      </c>
    </row>
    <row r="146" spans="1:2">
      <c r="A146" s="49">
        <v>0</v>
      </c>
      <c r="B146" s="49">
        <v>0</v>
      </c>
    </row>
    <row r="147" spans="1:2">
      <c r="A147" s="49">
        <v>77.736000000000004</v>
      </c>
      <c r="B147" s="49">
        <v>77.736000000000004</v>
      </c>
    </row>
    <row r="148" spans="1:2">
      <c r="A148" s="49">
        <v>0</v>
      </c>
      <c r="B148" s="49">
        <v>0</v>
      </c>
    </row>
    <row r="149" spans="1:2">
      <c r="A149" s="49">
        <v>51.32</v>
      </c>
      <c r="B149" s="49">
        <v>51.32</v>
      </c>
    </row>
    <row r="150" spans="1:2">
      <c r="A150" s="49">
        <v>0</v>
      </c>
      <c r="B150" s="49">
        <v>0</v>
      </c>
    </row>
    <row r="151" spans="1:2">
      <c r="A151" s="49">
        <v>0</v>
      </c>
      <c r="B151" s="49">
        <v>0</v>
      </c>
    </row>
    <row r="152" spans="1:2">
      <c r="A152" s="49">
        <v>38.92</v>
      </c>
      <c r="B152" s="49">
        <v>38.92</v>
      </c>
    </row>
    <row r="153" spans="1:2">
      <c r="A153" s="49">
        <v>0</v>
      </c>
      <c r="B153" s="49">
        <v>0</v>
      </c>
    </row>
    <row r="154" spans="1:2">
      <c r="A154" s="49">
        <v>35.695999999999998</v>
      </c>
      <c r="B154" s="49">
        <v>35.695999999999998</v>
      </c>
    </row>
    <row r="155" spans="1:2">
      <c r="A155" s="49">
        <v>0</v>
      </c>
      <c r="B155" s="49">
        <v>0</v>
      </c>
    </row>
    <row r="156" spans="1:2">
      <c r="A156" s="49">
        <v>0</v>
      </c>
      <c r="B156" s="49">
        <v>0</v>
      </c>
    </row>
    <row r="157" spans="1:2">
      <c r="A157" s="49">
        <v>37.415999999999997</v>
      </c>
      <c r="B157" s="49">
        <v>37.415999999999997</v>
      </c>
    </row>
    <row r="158" spans="1:2">
      <c r="A158" s="49">
        <v>0</v>
      </c>
      <c r="B158" s="49">
        <v>0</v>
      </c>
    </row>
    <row r="159" spans="1:2">
      <c r="A159" s="49">
        <v>0</v>
      </c>
      <c r="B159" s="49">
        <v>0</v>
      </c>
    </row>
    <row r="160" spans="1:2">
      <c r="A160" s="49">
        <v>15.144</v>
      </c>
      <c r="B160" s="49">
        <v>15.144</v>
      </c>
    </row>
    <row r="161" spans="1:2">
      <c r="A161" s="49">
        <v>0</v>
      </c>
      <c r="B161" s="49">
        <v>0</v>
      </c>
    </row>
    <row r="162" spans="1:2">
      <c r="A162" s="49">
        <v>7.4640000000000004</v>
      </c>
      <c r="B162" s="49">
        <v>7.4640000000000004</v>
      </c>
    </row>
    <row r="163" spans="1:2">
      <c r="A163" s="49">
        <v>0</v>
      </c>
      <c r="B163" s="49">
        <v>0</v>
      </c>
    </row>
    <row r="164" spans="1:2">
      <c r="A164" s="49">
        <v>0</v>
      </c>
      <c r="B164" s="49">
        <v>0</v>
      </c>
    </row>
    <row r="165" spans="1:2">
      <c r="A165" s="49">
        <v>3.72</v>
      </c>
      <c r="B165" s="49">
        <v>3.72</v>
      </c>
    </row>
    <row r="166" spans="1:2">
      <c r="A166" s="49">
        <v>0</v>
      </c>
      <c r="B166" s="49">
        <v>0</v>
      </c>
    </row>
    <row r="167" spans="1:2">
      <c r="A167" s="49">
        <v>2.528</v>
      </c>
      <c r="B167" s="49">
        <v>2.528</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0.42916100000000001</v>
      </c>
      <c r="B2" s="49">
        <v>0.53144800000000003</v>
      </c>
      <c r="C2">
        <v>0</v>
      </c>
      <c r="D2">
        <v>0</v>
      </c>
      <c r="E2" t="s">
        <v>1161</v>
      </c>
      <c r="F2" s="49">
        <f>IF(A2&lt;&gt;"",1,"")</f>
        <v>1</v>
      </c>
      <c r="G2">
        <f>IF($H8&gt;0,LOOKUP(COUNT(A2:A1000)*$H8,F2:F1000,A2:A1000),LOOKUP(1,F2:F1000,A2:A1000))</f>
        <v>0.42916100000000001</v>
      </c>
      <c r="H2">
        <f>IF($H8&gt;0,LOOKUP(COUNT(B2:B1000)*$H8,F2:F1000,B2:B1000),LOOKUP(1,F2:F1000,B2:B1000))</f>
        <v>0.53144800000000003</v>
      </c>
      <c r="J2" s="49">
        <f>IF(A2&lt;&gt;"",A2*10,"")</f>
        <v>4.2916100000000004</v>
      </c>
      <c r="K2" s="49">
        <f>IF(B2&lt;&gt;"",B2*100,"")</f>
        <v>53.144800000000004</v>
      </c>
      <c r="L2" s="49">
        <f>IF(F2&lt;&gt;"",IF(K2&lt;&gt;0,K2/J2,0),"")</f>
        <v>12.383417878138973</v>
      </c>
    </row>
    <row r="3" spans="1:12">
      <c r="A3" s="49">
        <v>0.43488199999999999</v>
      </c>
      <c r="B3" s="49">
        <v>0.53669699999999998</v>
      </c>
      <c r="C3">
        <v>0.39725100000000002</v>
      </c>
      <c r="D3">
        <v>0</v>
      </c>
      <c r="E3" t="s">
        <v>2560</v>
      </c>
      <c r="F3" s="49">
        <f>IF(A3&lt;&gt;"",F2+1,"")</f>
        <v>2</v>
      </c>
      <c r="G3">
        <f>IF($H9&gt;0,LOOKUP(COUNT(A2:A1000)*$H9,F2:F1000,A2:A1000),LOOKUP(1,F2:F1000,A2:A1000))</f>
        <v>0.479522</v>
      </c>
      <c r="H3">
        <f>IF($H9&gt;0,LOOKUP(COUNT(B2:B1000)*$H9,F2:F1000,B2:B1000),LOOKUP(1,F2:F1000,B2:B1000))</f>
        <v>0.52228600000000003</v>
      </c>
      <c r="J3" s="49">
        <f t="shared" ref="J3:J66" si="0">IF(A3&lt;&gt;"",A3*10,"")</f>
        <v>4.3488199999999999</v>
      </c>
      <c r="K3" s="49">
        <f t="shared" ref="K3:K66" si="1">IF(B3&lt;&gt;"",B3*100,"")</f>
        <v>53.669699999999999</v>
      </c>
      <c r="L3" s="49">
        <f t="shared" ref="L3:L66" si="2">IF(F3&lt;&gt;"",IF(K3&lt;&gt;0,K3/J3,0),"")</f>
        <v>12.341209799439849</v>
      </c>
    </row>
    <row r="4" spans="1:12">
      <c r="A4" s="49">
        <v>0.43773000000000001</v>
      </c>
      <c r="B4" s="49">
        <v>0.54675799999999997</v>
      </c>
      <c r="C4">
        <v>0.80732800000000005</v>
      </c>
      <c r="D4">
        <v>0</v>
      </c>
      <c r="E4" t="s">
        <v>2561</v>
      </c>
      <c r="F4" s="49">
        <f t="shared" ref="F4:F67" si="3">IF(A4&lt;&gt;"",F3+1,"")</f>
        <v>3</v>
      </c>
      <c r="G4" s="71" t="s">
        <v>209</v>
      </c>
      <c r="H4" s="23">
        <f>IF(ISERROR(G3-G2)=FALSE,(G3-G2)*10,0)</f>
        <v>0.50360999999999989</v>
      </c>
      <c r="J4" s="49">
        <f t="shared" si="0"/>
        <v>4.3773</v>
      </c>
      <c r="K4" s="49">
        <f t="shared" si="1"/>
        <v>54.675799999999995</v>
      </c>
      <c r="L4" s="49">
        <f t="shared" si="2"/>
        <v>12.49075914376442</v>
      </c>
    </row>
    <row r="5" spans="1:12">
      <c r="A5" s="49">
        <v>0.43287799999999999</v>
      </c>
      <c r="B5" s="49">
        <v>0.57347000000000004</v>
      </c>
      <c r="C5">
        <v>1.2138599999999999</v>
      </c>
      <c r="D5">
        <v>0</v>
      </c>
      <c r="E5" t="s">
        <v>2562</v>
      </c>
      <c r="F5" s="49">
        <f t="shared" si="3"/>
        <v>4</v>
      </c>
      <c r="G5" s="71" t="s">
        <v>210</v>
      </c>
      <c r="H5" s="23">
        <f>IF(ISERROR(H3-H2)=FALSE,H3-H2,0)</f>
        <v>-9.1620000000000035E-3</v>
      </c>
      <c r="J5" s="49">
        <f t="shared" si="0"/>
        <v>4.3287800000000001</v>
      </c>
      <c r="K5" s="49">
        <f t="shared" si="1"/>
        <v>57.347000000000001</v>
      </c>
      <c r="L5" s="49">
        <f t="shared" si="2"/>
        <v>13.247843503250339</v>
      </c>
    </row>
    <row r="6" spans="1:12">
      <c r="A6" s="49">
        <v>0.43435499999999999</v>
      </c>
      <c r="B6" s="49">
        <v>0.58407299999999995</v>
      </c>
      <c r="C6">
        <v>1.61646</v>
      </c>
      <c r="D6">
        <v>0</v>
      </c>
      <c r="E6" t="s">
        <v>2563</v>
      </c>
      <c r="F6" s="49">
        <f t="shared" si="3"/>
        <v>5</v>
      </c>
      <c r="G6" s="71" t="s">
        <v>211</v>
      </c>
      <c r="H6" s="23">
        <f>IF(H4&lt;&gt;0,H5/H4,0)</f>
        <v>-1.8192649073687985E-2</v>
      </c>
      <c r="J6" s="49">
        <f t="shared" si="0"/>
        <v>4.3435499999999996</v>
      </c>
      <c r="K6" s="49">
        <f t="shared" si="1"/>
        <v>58.407299999999992</v>
      </c>
      <c r="L6" s="49">
        <f t="shared" si="2"/>
        <v>13.446904030113616</v>
      </c>
    </row>
    <row r="7" spans="1:12">
      <c r="A7" s="49">
        <v>0.445826</v>
      </c>
      <c r="B7" s="49">
        <v>0.56304799999999999</v>
      </c>
      <c r="C7">
        <v>2.02556</v>
      </c>
      <c r="D7">
        <v>0</v>
      </c>
      <c r="E7" t="s">
        <v>2564</v>
      </c>
      <c r="F7" s="49">
        <f t="shared" si="3"/>
        <v>6</v>
      </c>
      <c r="G7" s="71" t="s">
        <v>212</v>
      </c>
      <c r="H7" s="23">
        <f>DEGREES(ATAN(H6))</f>
        <v>-1.0422470352028688</v>
      </c>
      <c r="J7" s="49">
        <f t="shared" si="0"/>
        <v>4.4582600000000001</v>
      </c>
      <c r="K7" s="49">
        <f t="shared" si="1"/>
        <v>56.3048</v>
      </c>
      <c r="L7" s="49">
        <f t="shared" si="2"/>
        <v>12.629321753329775</v>
      </c>
    </row>
    <row r="8" spans="1:12">
      <c r="A8" s="49">
        <v>0.45816600000000002</v>
      </c>
      <c r="B8" s="49">
        <v>0.545871</v>
      </c>
      <c r="C8">
        <v>2.43208</v>
      </c>
      <c r="D8">
        <v>0</v>
      </c>
      <c r="E8" t="s">
        <v>2565</v>
      </c>
      <c r="F8" s="49">
        <f t="shared" si="3"/>
        <v>7</v>
      </c>
      <c r="G8" s="71" t="s">
        <v>213</v>
      </c>
      <c r="H8" s="72">
        <v>0.1</v>
      </c>
      <c r="J8" s="49">
        <f t="shared" si="0"/>
        <v>4.5816600000000003</v>
      </c>
      <c r="K8" s="49">
        <f t="shared" si="1"/>
        <v>54.5871</v>
      </c>
      <c r="L8" s="49">
        <f t="shared" si="2"/>
        <v>11.914262516205916</v>
      </c>
    </row>
    <row r="9" spans="1:12">
      <c r="A9" s="49">
        <v>0.459069</v>
      </c>
      <c r="B9" s="49">
        <v>0.554226</v>
      </c>
      <c r="C9">
        <v>2.8379099999999999</v>
      </c>
      <c r="D9">
        <v>0</v>
      </c>
      <c r="E9" t="s">
        <v>2566</v>
      </c>
      <c r="F9" s="49">
        <f t="shared" si="3"/>
        <v>8</v>
      </c>
      <c r="G9" s="71" t="s">
        <v>214</v>
      </c>
      <c r="H9" s="72">
        <v>0.9</v>
      </c>
      <c r="J9" s="49">
        <f t="shared" si="0"/>
        <v>4.5906900000000004</v>
      </c>
      <c r="K9" s="49">
        <f t="shared" si="1"/>
        <v>55.422600000000003</v>
      </c>
      <c r="L9" s="49">
        <f t="shared" si="2"/>
        <v>12.072825653659907</v>
      </c>
    </row>
    <row r="10" spans="1:12">
      <c r="A10" s="49">
        <v>0.46020699999999998</v>
      </c>
      <c r="B10" s="49">
        <v>0.56139300000000003</v>
      </c>
      <c r="C10">
        <v>3.24525</v>
      </c>
      <c r="D10">
        <v>0</v>
      </c>
      <c r="E10" t="s">
        <v>2567</v>
      </c>
      <c r="F10" s="49">
        <f t="shared" si="3"/>
        <v>9</v>
      </c>
      <c r="G10" t="s">
        <v>215</v>
      </c>
      <c r="J10" s="49">
        <f t="shared" si="0"/>
        <v>4.6020699999999994</v>
      </c>
      <c r="K10" s="49">
        <f t="shared" si="1"/>
        <v>56.139300000000006</v>
      </c>
      <c r="L10" s="49">
        <f t="shared" si="2"/>
        <v>12.19870623436845</v>
      </c>
    </row>
    <row r="11" spans="1:12">
      <c r="A11" s="49">
        <v>0.46293200000000001</v>
      </c>
      <c r="B11" s="49">
        <v>0.551674</v>
      </c>
      <c r="C11">
        <v>3.64777</v>
      </c>
      <c r="D11">
        <v>0</v>
      </c>
      <c r="E11" t="s">
        <v>2568</v>
      </c>
      <c r="F11" s="49">
        <f t="shared" si="3"/>
        <v>10</v>
      </c>
      <c r="G11" s="71" t="s">
        <v>216</v>
      </c>
      <c r="H11" s="73">
        <f>MIN(B2:B1000)</f>
        <v>0.50898900000000002</v>
      </c>
      <c r="J11" s="49">
        <f t="shared" si="0"/>
        <v>4.6293199999999999</v>
      </c>
      <c r="K11" s="49">
        <f t="shared" si="1"/>
        <v>55.167400000000001</v>
      </c>
      <c r="L11" s="49">
        <f t="shared" si="2"/>
        <v>11.916955405977552</v>
      </c>
    </row>
    <row r="12" spans="1:12">
      <c r="A12" s="49">
        <v>0.479522</v>
      </c>
      <c r="B12" s="49">
        <v>0.52228600000000003</v>
      </c>
      <c r="C12">
        <v>4.05694</v>
      </c>
      <c r="D12">
        <v>0</v>
      </c>
      <c r="E12" t="s">
        <v>2569</v>
      </c>
      <c r="F12" s="49">
        <f t="shared" si="3"/>
        <v>11</v>
      </c>
      <c r="G12" s="71" t="s">
        <v>218</v>
      </c>
      <c r="H12" s="73">
        <f>MAX(B2:B1000)</f>
        <v>0.58407299999999995</v>
      </c>
      <c r="J12" s="49">
        <f t="shared" si="0"/>
        <v>4.7952200000000005</v>
      </c>
      <c r="K12" s="49">
        <f t="shared" si="1"/>
        <v>52.2286</v>
      </c>
      <c r="L12" s="49">
        <f t="shared" si="2"/>
        <v>10.891804755569087</v>
      </c>
    </row>
    <row r="13" spans="1:12">
      <c r="A13" s="49">
        <v>0.48766599999999999</v>
      </c>
      <c r="B13" s="49">
        <v>0.50898900000000002</v>
      </c>
      <c r="C13">
        <v>4.4608699999999999</v>
      </c>
      <c r="D13">
        <v>0</v>
      </c>
      <c r="E13" t="s">
        <v>2570</v>
      </c>
      <c r="F13" s="49">
        <f t="shared" si="3"/>
        <v>12</v>
      </c>
      <c r="G13" s="71" t="s">
        <v>220</v>
      </c>
      <c r="H13">
        <f>MATCH($H$11,B2:B1000,0)</f>
        <v>12</v>
      </c>
      <c r="J13" s="49">
        <f t="shared" si="0"/>
        <v>4.8766600000000002</v>
      </c>
      <c r="K13" s="49">
        <f t="shared" si="1"/>
        <v>50.898900000000005</v>
      </c>
      <c r="L13" s="49">
        <f t="shared" si="2"/>
        <v>10.437245983931625</v>
      </c>
    </row>
    <row r="14" spans="1:12">
      <c r="A14" s="49">
        <v>0.50053499999999995</v>
      </c>
      <c r="B14" s="49">
        <v>0.51444100000000004</v>
      </c>
      <c r="C14">
        <v>4.8665799999999999</v>
      </c>
      <c r="D14">
        <v>0</v>
      </c>
      <c r="E14" t="s">
        <v>2571</v>
      </c>
      <c r="F14" s="49">
        <f t="shared" si="3"/>
        <v>13</v>
      </c>
      <c r="G14" s="71" t="s">
        <v>221</v>
      </c>
      <c r="H14">
        <f>MATCH($H$12,B2:B1000,0)</f>
        <v>5</v>
      </c>
      <c r="J14" s="49">
        <f t="shared" si="0"/>
        <v>5.00535</v>
      </c>
      <c r="K14" s="49">
        <f t="shared" si="1"/>
        <v>51.444100000000006</v>
      </c>
      <c r="L14" s="49">
        <f t="shared" si="2"/>
        <v>10.277822729679244</v>
      </c>
    </row>
    <row r="15" spans="1:12">
      <c r="A15" s="49"/>
      <c r="B15" s="49"/>
      <c r="F15" s="49" t="str">
        <f t="shared" si="3"/>
        <v/>
      </c>
      <c r="G15">
        <f>LOOKUP($H13,F2:F1000,A2:A1000)</f>
        <v>0.48766599999999999</v>
      </c>
      <c r="H15">
        <f>LOOKUP($H13,F2:F1000,B2:B1000)</f>
        <v>0.50898900000000002</v>
      </c>
      <c r="J15" s="49" t="str">
        <f t="shared" si="0"/>
        <v/>
      </c>
      <c r="K15" s="49" t="str">
        <f t="shared" si="1"/>
        <v/>
      </c>
      <c r="L15" s="49" t="str">
        <f t="shared" si="2"/>
        <v/>
      </c>
    </row>
    <row r="16" spans="1:12">
      <c r="A16" s="49"/>
      <c r="B16" s="49"/>
      <c r="F16" s="49" t="str">
        <f t="shared" si="3"/>
        <v/>
      </c>
      <c r="G16">
        <f>LOOKUP($H14,F2:F1000,A2:A1000)</f>
        <v>0.43435499999999999</v>
      </c>
      <c r="H16">
        <f>LOOKUP($H14,F2:F1000,B2:B1000)</f>
        <v>0.58407299999999995</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13</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45823.547418981485</v>
      </c>
      <c r="B2" t="s">
        <v>2572</v>
      </c>
      <c r="C2" s="49"/>
      <c r="D2" s="49"/>
      <c r="E2" s="49">
        <v>4.9234099999999996</v>
      </c>
      <c r="F2" s="49">
        <v>2.2557399999999999</v>
      </c>
      <c r="G2" s="49">
        <v>0.44717299999999999</v>
      </c>
      <c r="H2" s="49">
        <v>0</v>
      </c>
      <c r="I2" s="49">
        <v>111.36799999999999</v>
      </c>
      <c r="J2" s="49">
        <v>91</v>
      </c>
      <c r="K2" s="49">
        <v>91</v>
      </c>
      <c r="L2" s="49">
        <v>100</v>
      </c>
      <c r="M2" s="521" t="s">
        <v>1549</v>
      </c>
      <c r="O2" s="565" t="str">
        <f>IF(FH_info!B2="","",TRIM(MID(SUBSTITUTE(FH_info!B2,"^",REPT(" ",LEN(FH_info!B2))),LEN(FH_info!B2)*2-LEN(FH_info!B2)+1,LEN(FH_info!B2))))</f>
        <v>Uuxk</v>
      </c>
      <c r="P2" s="565" t="str">
        <f>IF(FH_info!O2="","",TRIM(MID(SUBSTITUTE(FH_info!O2," ",REPT(" ",LEN(FH_info!O2))),LEN(FH_info!O2)*1-LEN(FH_info!O2)+1,LEN(FH_info!O2))))</f>
        <v>Uuxk</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58</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111.36799600000001</v>
      </c>
      <c r="D2">
        <f>MAX(B2:B257)</f>
        <v>234.61599699999999</v>
      </c>
      <c r="G2" t="s">
        <v>1590</v>
      </c>
      <c r="H2">
        <v>4.9234140000000002</v>
      </c>
      <c r="I2">
        <v>111.36799600000001</v>
      </c>
      <c r="J2">
        <v>0</v>
      </c>
      <c r="K2">
        <v>91</v>
      </c>
      <c r="L2">
        <v>91</v>
      </c>
      <c r="M2">
        <v>2.2557420000000001</v>
      </c>
      <c r="N2">
        <v>0.44717299999999999</v>
      </c>
      <c r="O2">
        <v>0.199963</v>
      </c>
    </row>
    <row r="3" spans="1:15">
      <c r="A3">
        <v>0</v>
      </c>
      <c r="B3">
        <v>0</v>
      </c>
      <c r="G3" t="s">
        <v>1591</v>
      </c>
      <c r="H3">
        <v>4.9234140000000002</v>
      </c>
      <c r="I3">
        <v>234.61599699999999</v>
      </c>
      <c r="J3">
        <v>0</v>
      </c>
      <c r="K3">
        <v>65</v>
      </c>
      <c r="L3">
        <v>65</v>
      </c>
      <c r="M3">
        <v>1.4490909999999999</v>
      </c>
      <c r="N3">
        <v>0.31588899999999998</v>
      </c>
      <c r="O3">
        <v>9.9786E-2</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6.4000000000000001E-2</v>
      </c>
    </row>
    <row r="40" spans="1:2">
      <c r="A40">
        <v>0</v>
      </c>
      <c r="B40">
        <v>0</v>
      </c>
    </row>
    <row r="41" spans="1:2">
      <c r="A41">
        <v>0</v>
      </c>
      <c r="B41">
        <v>0.20799999999999999</v>
      </c>
    </row>
    <row r="42" spans="1:2">
      <c r="A42">
        <v>0</v>
      </c>
      <c r="B42">
        <v>0</v>
      </c>
    </row>
    <row r="43" spans="1:2">
      <c r="A43">
        <v>0</v>
      </c>
      <c r="B43">
        <v>0</v>
      </c>
    </row>
    <row r="44" spans="1:2">
      <c r="A44">
        <v>0</v>
      </c>
      <c r="B44">
        <v>0.85599999999999998</v>
      </c>
    </row>
    <row r="45" spans="1:2">
      <c r="A45">
        <v>0</v>
      </c>
      <c r="B45">
        <v>0</v>
      </c>
    </row>
    <row r="46" spans="1:2">
      <c r="A46">
        <v>0</v>
      </c>
      <c r="B46">
        <v>3.5760000000000001</v>
      </c>
    </row>
    <row r="47" spans="1:2">
      <c r="A47">
        <v>0</v>
      </c>
      <c r="B47">
        <v>0</v>
      </c>
    </row>
    <row r="48" spans="1:2">
      <c r="A48">
        <v>0</v>
      </c>
      <c r="B48">
        <v>0</v>
      </c>
    </row>
    <row r="49" spans="1:2">
      <c r="A49">
        <v>0</v>
      </c>
      <c r="B49">
        <v>10.215999999999999</v>
      </c>
    </row>
    <row r="50" spans="1:2">
      <c r="A50">
        <v>0</v>
      </c>
      <c r="B50">
        <v>0</v>
      </c>
    </row>
    <row r="51" spans="1:2">
      <c r="A51">
        <v>0</v>
      </c>
      <c r="B51">
        <v>24.231999999999999</v>
      </c>
    </row>
    <row r="52" spans="1:2">
      <c r="A52">
        <v>0</v>
      </c>
      <c r="B52">
        <v>0</v>
      </c>
    </row>
    <row r="53" spans="1:2">
      <c r="A53">
        <v>0</v>
      </c>
      <c r="B53">
        <v>0</v>
      </c>
    </row>
    <row r="54" spans="1:2">
      <c r="A54">
        <v>0</v>
      </c>
      <c r="B54">
        <v>49.007998999999998</v>
      </c>
    </row>
    <row r="55" spans="1:2">
      <c r="A55">
        <v>0</v>
      </c>
      <c r="B55">
        <v>0</v>
      </c>
    </row>
    <row r="56" spans="1:2">
      <c r="A56">
        <v>0</v>
      </c>
      <c r="B56">
        <v>0</v>
      </c>
    </row>
    <row r="57" spans="1:2">
      <c r="A57">
        <v>0</v>
      </c>
      <c r="B57">
        <v>88.544005999999996</v>
      </c>
    </row>
    <row r="58" spans="1:2">
      <c r="A58">
        <v>0</v>
      </c>
      <c r="B58">
        <v>0</v>
      </c>
    </row>
    <row r="59" spans="1:2">
      <c r="A59">
        <v>0</v>
      </c>
      <c r="B59">
        <v>147.35200499999999</v>
      </c>
    </row>
    <row r="60" spans="1:2">
      <c r="A60">
        <v>0</v>
      </c>
      <c r="B60">
        <v>0</v>
      </c>
    </row>
    <row r="61" spans="1:2">
      <c r="A61">
        <v>0</v>
      </c>
      <c r="B61">
        <v>0</v>
      </c>
    </row>
    <row r="62" spans="1:2">
      <c r="A62">
        <v>0</v>
      </c>
      <c r="B62">
        <v>200.584</v>
      </c>
    </row>
    <row r="63" spans="1:2">
      <c r="A63">
        <v>0</v>
      </c>
      <c r="B63">
        <v>0</v>
      </c>
    </row>
    <row r="64" spans="1:2">
      <c r="A64">
        <v>0</v>
      </c>
      <c r="B64">
        <v>230.31199599999999</v>
      </c>
    </row>
    <row r="65" spans="1:2">
      <c r="A65">
        <v>0</v>
      </c>
      <c r="B65">
        <v>0</v>
      </c>
    </row>
    <row r="66" spans="1:2">
      <c r="A66">
        <v>0</v>
      </c>
      <c r="B66">
        <v>0</v>
      </c>
    </row>
    <row r="67" spans="1:2">
      <c r="A67">
        <v>0</v>
      </c>
      <c r="B67">
        <v>234.61599699999999</v>
      </c>
    </row>
    <row r="68" spans="1:2">
      <c r="A68">
        <v>0</v>
      </c>
      <c r="B68">
        <v>0</v>
      </c>
    </row>
    <row r="69" spans="1:2">
      <c r="A69">
        <v>0</v>
      </c>
      <c r="B69">
        <v>221.09599299999999</v>
      </c>
    </row>
    <row r="70" spans="1:2">
      <c r="A70">
        <v>0</v>
      </c>
      <c r="B70">
        <v>0</v>
      </c>
    </row>
    <row r="71" spans="1:2">
      <c r="A71">
        <v>0</v>
      </c>
      <c r="B71">
        <v>0</v>
      </c>
    </row>
    <row r="72" spans="1:2">
      <c r="A72">
        <v>0</v>
      </c>
      <c r="B72">
        <v>204.46400499999999</v>
      </c>
    </row>
    <row r="73" spans="1:2">
      <c r="A73">
        <v>0</v>
      </c>
      <c r="B73">
        <v>0</v>
      </c>
    </row>
    <row r="74" spans="1:2">
      <c r="A74">
        <v>0</v>
      </c>
      <c r="B74">
        <v>0</v>
      </c>
    </row>
    <row r="75" spans="1:2">
      <c r="A75">
        <v>0</v>
      </c>
      <c r="B75">
        <v>188.175995</v>
      </c>
    </row>
    <row r="76" spans="1:2">
      <c r="A76">
        <v>0</v>
      </c>
      <c r="B76">
        <v>0</v>
      </c>
    </row>
    <row r="77" spans="1:2">
      <c r="A77">
        <v>0</v>
      </c>
      <c r="B77">
        <v>182.584</v>
      </c>
    </row>
    <row r="78" spans="1:2">
      <c r="A78">
        <v>0</v>
      </c>
      <c r="B78">
        <v>0</v>
      </c>
    </row>
    <row r="79" spans="1:2">
      <c r="A79">
        <v>0</v>
      </c>
      <c r="B79">
        <v>0</v>
      </c>
    </row>
    <row r="80" spans="1:2">
      <c r="A80">
        <v>0</v>
      </c>
      <c r="B80">
        <v>176.38400300000001</v>
      </c>
    </row>
    <row r="81" spans="1:2">
      <c r="A81">
        <v>0</v>
      </c>
      <c r="B81">
        <v>0</v>
      </c>
    </row>
    <row r="82" spans="1:2">
      <c r="A82">
        <v>0</v>
      </c>
      <c r="B82">
        <v>168.94399999999999</v>
      </c>
    </row>
    <row r="83" spans="1:2">
      <c r="A83">
        <v>0</v>
      </c>
      <c r="B83">
        <v>0</v>
      </c>
    </row>
    <row r="84" spans="1:2">
      <c r="A84">
        <v>0</v>
      </c>
      <c r="B84">
        <v>0</v>
      </c>
    </row>
    <row r="85" spans="1:2">
      <c r="A85">
        <v>13.551999</v>
      </c>
      <c r="B85">
        <v>153.61599699999999</v>
      </c>
    </row>
    <row r="86" spans="1:2">
      <c r="A86">
        <v>0</v>
      </c>
      <c r="B86">
        <v>0</v>
      </c>
    </row>
    <row r="87" spans="1:2">
      <c r="A87">
        <v>0</v>
      </c>
      <c r="B87">
        <v>0</v>
      </c>
    </row>
    <row r="88" spans="1:2">
      <c r="A88">
        <v>45.816001999999997</v>
      </c>
      <c r="B88">
        <v>128.679993</v>
      </c>
    </row>
    <row r="89" spans="1:2">
      <c r="A89">
        <v>0</v>
      </c>
      <c r="B89">
        <v>0</v>
      </c>
    </row>
    <row r="90" spans="1:2">
      <c r="A90">
        <v>70.528000000000006</v>
      </c>
      <c r="B90">
        <v>109.37599899999999</v>
      </c>
    </row>
    <row r="91" spans="1:2">
      <c r="A91">
        <v>0</v>
      </c>
      <c r="B91">
        <v>0</v>
      </c>
    </row>
    <row r="92" spans="1:2">
      <c r="A92">
        <v>0</v>
      </c>
      <c r="B92">
        <v>0</v>
      </c>
    </row>
    <row r="93" spans="1:2">
      <c r="A93">
        <v>111.36799600000001</v>
      </c>
      <c r="B93">
        <v>87.304001</v>
      </c>
    </row>
    <row r="94" spans="1:2">
      <c r="A94">
        <v>0</v>
      </c>
      <c r="B94">
        <v>0</v>
      </c>
    </row>
    <row r="95" spans="1:2">
      <c r="A95">
        <v>106.727997</v>
      </c>
      <c r="B95">
        <v>66.223999000000006</v>
      </c>
    </row>
    <row r="96" spans="1:2">
      <c r="A96">
        <v>0</v>
      </c>
      <c r="B96">
        <v>0</v>
      </c>
    </row>
    <row r="97" spans="1:2">
      <c r="A97">
        <v>0</v>
      </c>
      <c r="B97">
        <v>0</v>
      </c>
    </row>
    <row r="98" spans="1:2">
      <c r="A98">
        <v>79.183998000000003</v>
      </c>
      <c r="B98">
        <v>51.400002000000001</v>
      </c>
    </row>
    <row r="99" spans="1:2">
      <c r="A99">
        <v>0</v>
      </c>
      <c r="B99">
        <v>0</v>
      </c>
    </row>
    <row r="100" spans="1:2">
      <c r="A100">
        <v>55.672001000000002</v>
      </c>
      <c r="B100">
        <v>38.311999999999998</v>
      </c>
    </row>
    <row r="101" spans="1:2">
      <c r="A101">
        <v>0</v>
      </c>
      <c r="B101">
        <v>0</v>
      </c>
    </row>
    <row r="102" spans="1:2">
      <c r="A102">
        <v>0</v>
      </c>
      <c r="B102">
        <v>0</v>
      </c>
    </row>
    <row r="103" spans="1:2">
      <c r="A103">
        <v>60.127997999999998</v>
      </c>
      <c r="B103">
        <v>27.76</v>
      </c>
    </row>
    <row r="104" spans="1:2">
      <c r="A104">
        <v>0</v>
      </c>
      <c r="B104">
        <v>0</v>
      </c>
    </row>
    <row r="105" spans="1:2">
      <c r="A105">
        <v>0</v>
      </c>
      <c r="B105">
        <v>0</v>
      </c>
    </row>
    <row r="106" spans="1:2">
      <c r="A106">
        <v>64.647994999999995</v>
      </c>
      <c r="B106">
        <v>22.032</v>
      </c>
    </row>
    <row r="107" spans="1:2">
      <c r="A107">
        <v>0</v>
      </c>
      <c r="B107">
        <v>0</v>
      </c>
    </row>
    <row r="108" spans="1:2">
      <c r="A108">
        <v>48.216000000000001</v>
      </c>
      <c r="B108">
        <v>16.704000000000001</v>
      </c>
    </row>
    <row r="109" spans="1:2">
      <c r="A109">
        <v>0</v>
      </c>
      <c r="B109">
        <v>0</v>
      </c>
    </row>
    <row r="110" spans="1:2">
      <c r="A110">
        <v>0</v>
      </c>
      <c r="B110">
        <v>0</v>
      </c>
    </row>
    <row r="111" spans="1:2">
      <c r="A111">
        <v>66.248001000000002</v>
      </c>
      <c r="B111">
        <v>13.288</v>
      </c>
    </row>
    <row r="112" spans="1:2">
      <c r="A112">
        <v>0</v>
      </c>
      <c r="B112">
        <v>0</v>
      </c>
    </row>
    <row r="113" spans="1:2">
      <c r="A113">
        <v>38.616000999999997</v>
      </c>
      <c r="B113">
        <v>12.167999999999999</v>
      </c>
    </row>
    <row r="114" spans="1:2">
      <c r="A114">
        <v>0</v>
      </c>
      <c r="B114">
        <v>0</v>
      </c>
    </row>
    <row r="115" spans="1:2">
      <c r="A115">
        <v>0</v>
      </c>
      <c r="B115">
        <v>0</v>
      </c>
    </row>
    <row r="116" spans="1:2">
      <c r="A116">
        <v>28.584</v>
      </c>
      <c r="B116">
        <v>11.455999</v>
      </c>
    </row>
    <row r="117" spans="1:2">
      <c r="A117">
        <v>0</v>
      </c>
      <c r="B117">
        <v>0</v>
      </c>
    </row>
    <row r="118" spans="1:2">
      <c r="A118">
        <v>35.375999</v>
      </c>
      <c r="B118">
        <v>10.448001</v>
      </c>
    </row>
    <row r="119" spans="1:2">
      <c r="A119">
        <v>0</v>
      </c>
      <c r="B119">
        <v>0</v>
      </c>
    </row>
    <row r="120" spans="1:2">
      <c r="A120">
        <v>0</v>
      </c>
      <c r="B120">
        <v>0</v>
      </c>
    </row>
    <row r="121" spans="1:2">
      <c r="A121">
        <v>19.464001</v>
      </c>
      <c r="B121">
        <v>9.5679999999999996</v>
      </c>
    </row>
    <row r="122" spans="1:2">
      <c r="A122">
        <v>0</v>
      </c>
      <c r="B122">
        <v>0</v>
      </c>
    </row>
    <row r="123" spans="1:2">
      <c r="A123">
        <v>0</v>
      </c>
      <c r="B123">
        <v>0</v>
      </c>
    </row>
    <row r="124" spans="1:2">
      <c r="A124">
        <v>9.6640010000000007</v>
      </c>
      <c r="B124">
        <v>8.9600000000000009</v>
      </c>
    </row>
    <row r="125" spans="1:2">
      <c r="A125">
        <v>0</v>
      </c>
      <c r="B125">
        <v>0</v>
      </c>
    </row>
    <row r="126" spans="1:2">
      <c r="A126">
        <v>18.184000000000001</v>
      </c>
      <c r="B126">
        <v>8.36</v>
      </c>
    </row>
    <row r="127" spans="1:2">
      <c r="A127">
        <v>0</v>
      </c>
      <c r="B127">
        <v>0</v>
      </c>
    </row>
    <row r="128" spans="1:2">
      <c r="A128">
        <v>0</v>
      </c>
      <c r="B128">
        <v>0</v>
      </c>
    </row>
    <row r="129" spans="1:2">
      <c r="A129">
        <v>26.391999999999999</v>
      </c>
      <c r="B129">
        <v>7.7679999999999998</v>
      </c>
    </row>
    <row r="130" spans="1:2">
      <c r="A130">
        <v>0</v>
      </c>
      <c r="B130">
        <v>0</v>
      </c>
    </row>
    <row r="131" spans="1:2">
      <c r="A131">
        <v>16.655999999999999</v>
      </c>
      <c r="B131">
        <v>7.28</v>
      </c>
    </row>
    <row r="132" spans="1:2">
      <c r="A132">
        <v>0</v>
      </c>
      <c r="B132">
        <v>0</v>
      </c>
    </row>
    <row r="133" spans="1:2">
      <c r="A133">
        <v>0</v>
      </c>
      <c r="B133">
        <v>0</v>
      </c>
    </row>
    <row r="134" spans="1:2">
      <c r="A134">
        <v>12.343999999999999</v>
      </c>
      <c r="B134">
        <v>7.1360000000000001</v>
      </c>
    </row>
    <row r="135" spans="1:2">
      <c r="A135">
        <v>0</v>
      </c>
      <c r="B135">
        <v>0</v>
      </c>
    </row>
    <row r="136" spans="1:2">
      <c r="A136">
        <v>51.512000999999998</v>
      </c>
      <c r="B136">
        <v>6.2560000000000002</v>
      </c>
    </row>
    <row r="137" spans="1:2">
      <c r="A137">
        <v>0</v>
      </c>
      <c r="B137">
        <v>0</v>
      </c>
    </row>
    <row r="138" spans="1:2">
      <c r="A138">
        <v>0</v>
      </c>
      <c r="B138">
        <v>0</v>
      </c>
    </row>
    <row r="139" spans="1:2">
      <c r="A139">
        <v>68.199996999999996</v>
      </c>
      <c r="B139">
        <v>5.84</v>
      </c>
    </row>
    <row r="140" spans="1:2">
      <c r="A140">
        <v>0</v>
      </c>
      <c r="B140">
        <v>0</v>
      </c>
    </row>
    <row r="141" spans="1:2">
      <c r="A141">
        <v>0</v>
      </c>
      <c r="B141">
        <v>0</v>
      </c>
    </row>
    <row r="142" spans="1:2">
      <c r="A142">
        <v>52.272002999999998</v>
      </c>
      <c r="B142">
        <v>5.2880000000000003</v>
      </c>
    </row>
    <row r="143" spans="1:2">
      <c r="A143">
        <v>0</v>
      </c>
      <c r="B143">
        <v>0</v>
      </c>
    </row>
    <row r="144" spans="1:2">
      <c r="A144">
        <v>74.647994999999995</v>
      </c>
      <c r="B144">
        <v>4.8079999999999998</v>
      </c>
    </row>
    <row r="145" spans="1:2">
      <c r="A145">
        <v>0</v>
      </c>
      <c r="B145">
        <v>0</v>
      </c>
    </row>
    <row r="146" spans="1:2">
      <c r="A146">
        <v>0</v>
      </c>
      <c r="B146">
        <v>0</v>
      </c>
    </row>
    <row r="147" spans="1:2">
      <c r="A147">
        <v>77.736000000000004</v>
      </c>
      <c r="B147">
        <v>3.9039999999999999</v>
      </c>
    </row>
    <row r="148" spans="1:2">
      <c r="A148">
        <v>0</v>
      </c>
      <c r="B148">
        <v>0</v>
      </c>
    </row>
    <row r="149" spans="1:2">
      <c r="A149">
        <v>51.32</v>
      </c>
      <c r="B149">
        <v>2.512</v>
      </c>
    </row>
    <row r="150" spans="1:2">
      <c r="A150">
        <v>0</v>
      </c>
      <c r="B150">
        <v>0</v>
      </c>
    </row>
    <row r="151" spans="1:2">
      <c r="A151">
        <v>0</v>
      </c>
      <c r="B151">
        <v>0</v>
      </c>
    </row>
    <row r="152" spans="1:2">
      <c r="A152">
        <v>38.919998</v>
      </c>
      <c r="B152">
        <v>1.976</v>
      </c>
    </row>
    <row r="153" spans="1:2">
      <c r="A153">
        <v>0</v>
      </c>
      <c r="B153">
        <v>0</v>
      </c>
    </row>
    <row r="154" spans="1:2">
      <c r="A154">
        <v>35.695999</v>
      </c>
      <c r="B154">
        <v>1.304</v>
      </c>
    </row>
    <row r="155" spans="1:2">
      <c r="A155">
        <v>0</v>
      </c>
      <c r="B155">
        <v>0</v>
      </c>
    </row>
    <row r="156" spans="1:2">
      <c r="A156">
        <v>0</v>
      </c>
      <c r="B156">
        <v>0</v>
      </c>
    </row>
    <row r="157" spans="1:2">
      <c r="A157">
        <v>37.415999999999997</v>
      </c>
      <c r="B157">
        <v>0.64800000000000002</v>
      </c>
    </row>
    <row r="158" spans="1:2">
      <c r="A158">
        <v>0</v>
      </c>
      <c r="B158">
        <v>0</v>
      </c>
    </row>
    <row r="159" spans="1:2">
      <c r="A159">
        <v>0</v>
      </c>
      <c r="B159">
        <v>0</v>
      </c>
    </row>
    <row r="160" spans="1:2">
      <c r="A160">
        <v>15.144</v>
      </c>
      <c r="B160">
        <v>0.312</v>
      </c>
    </row>
    <row r="161" spans="1:2">
      <c r="A161">
        <v>0</v>
      </c>
      <c r="B161">
        <v>0</v>
      </c>
    </row>
    <row r="162" spans="1:2">
      <c r="A162">
        <v>7.4640000000000004</v>
      </c>
      <c r="B162">
        <v>0.16800000000000001</v>
      </c>
    </row>
    <row r="163" spans="1:2">
      <c r="A163">
        <v>0</v>
      </c>
      <c r="B163">
        <v>0</v>
      </c>
    </row>
    <row r="164" spans="1:2">
      <c r="A164">
        <v>0</v>
      </c>
      <c r="B164">
        <v>0</v>
      </c>
    </row>
    <row r="165" spans="1:2">
      <c r="A165">
        <v>3.72</v>
      </c>
      <c r="B165">
        <v>7.1999999999999995E-2</v>
      </c>
    </row>
    <row r="166" spans="1:2">
      <c r="A166">
        <v>0</v>
      </c>
      <c r="B166">
        <v>0</v>
      </c>
    </row>
    <row r="167" spans="1:2">
      <c r="A167">
        <v>2.528</v>
      </c>
      <c r="B167">
        <v>2.4E-2</v>
      </c>
    </row>
    <row r="168" spans="1:2">
      <c r="A168">
        <v>0</v>
      </c>
      <c r="B168">
        <v>0</v>
      </c>
    </row>
    <row r="169" spans="1:2">
      <c r="A169">
        <v>0</v>
      </c>
      <c r="B169">
        <v>0</v>
      </c>
    </row>
    <row r="170" spans="1:2">
      <c r="A170">
        <v>0</v>
      </c>
      <c r="B170">
        <v>8.0000000000000002E-3</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-2.10416215591088
-2.1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-2.1041621559108794</v>
      </c>
      <c r="I4" s="322">
        <f>IF(Measurement!AQ7&lt;&gt;"",NORMSDIST((H6-$B$2)/$B$3)*100,"")</f>
        <v>21.738798019478491</v>
      </c>
      <c r="J4" t="str">
        <f>Measurement!AR7</f>
        <v>주의</v>
      </c>
    </row>
    <row r="5" spans="1:11">
      <c r="B5" s="171">
        <v>-10</v>
      </c>
      <c r="C5" s="171">
        <f>NORMSDIST(($B5-$B$2)/$B$3)*100</f>
        <v>7.1097265868555281E-5</v>
      </c>
      <c r="G5" t="s">
        <v>1539</v>
      </c>
      <c r="H5" s="320">
        <f>IF(Measurement!AQ7&lt;-7,-7,Measurement!AQ7)</f>
        <v>-2.1041621559108794</v>
      </c>
      <c r="I5" s="321">
        <f>IF(Measurement!AQ7&lt;&gt;"",0,"")</f>
        <v>0</v>
      </c>
    </row>
    <row r="6" spans="1:11">
      <c r="B6" s="171">
        <f>B5+0.1</f>
        <v>-9.9</v>
      </c>
      <c r="C6" s="171">
        <f t="shared" ref="C6:C57" si="0">NORMSDIST(($B6-$B$2)/$B$3)*100</f>
        <v>9.1781224195367343E-5</v>
      </c>
      <c r="H6" s="320">
        <f>IF(Measurement!AQ7&lt;-7,-7,Measurement!AQ7)</f>
        <v>-2.1041621559108794</v>
      </c>
      <c r="I6" s="321">
        <f>IF(Measurement!AQ7&lt;&gt;"",NORMSDIST((H6-$B$2)/$B$3)*100,"")</f>
        <v>21.738798019478491</v>
      </c>
    </row>
    <row r="7" spans="1:11">
      <c r="B7" s="171">
        <f t="shared" ref="B7:B70" si="1">B6+0.1</f>
        <v>-9.8000000000000007</v>
      </c>
      <c r="C7" s="171">
        <f t="shared" si="0"/>
        <v>1.1818368021892541E-4</v>
      </c>
      <c r="D7" s="171"/>
      <c r="H7" s="320">
        <f>IF(Measurement!AQ7&lt;&gt;"",-7,"")</f>
        <v>-7</v>
      </c>
      <c r="I7" s="321">
        <f>IF(Measurement!AQ7&lt;&gt;"",NORMSDIST((H6-$B$2)/$B$3)*100,"")</f>
        <v>21.738798019478491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63.4</v>
      </c>
      <c r="V4" t="s">
        <v>1218</v>
      </c>
    </row>
    <row r="5" spans="1:29">
      <c r="B5" s="171">
        <v>0</v>
      </c>
      <c r="C5" s="171">
        <f>NORMSDIST(($B5-$B$2)/$B$3)*100</f>
        <v>1.2153167836658598</v>
      </c>
      <c r="H5">
        <f>info!W36</f>
        <v>63.395779999999995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63.395779999999995</v>
      </c>
      <c r="I6" s="171">
        <f>NORMSDIST((H6-$B$2)/$B$3)*100</f>
        <v>72.688318269680622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72.688318269680622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2.2557399999999999</v>
      </c>
    </row>
    <row r="3" spans="1:11" ht="18">
      <c r="A3" s="71" t="s">
        <v>1065</v>
      </c>
      <c r="B3" s="557">
        <v>0.71290976993199895</v>
      </c>
      <c r="C3" s="523"/>
      <c r="H3" s="561" t="s">
        <v>2223</v>
      </c>
      <c r="I3" s="562">
        <f>IF(I2=0,0,NORMSDIST((I2-$B$2)/$B$3)*100)</f>
        <v>69.110933205064569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2.26</v>
      </c>
    </row>
    <row r="6" spans="1:11">
      <c r="B6" s="23">
        <v>0</v>
      </c>
      <c r="C6" s="23">
        <f>NORMSDIST(($B6-$B$2)/$B$3)*100</f>
        <v>0.38478836223957635</v>
      </c>
      <c r="H6" s="205">
        <f>IF(info!V36&gt;I1,I1,info!V36)</f>
        <v>2.2557399999999999</v>
      </c>
      <c r="I6" s="560">
        <v>0</v>
      </c>
    </row>
    <row r="7" spans="1:11">
      <c r="B7" s="23">
        <f>B5+0.05</f>
        <v>0</v>
      </c>
      <c r="C7" s="23">
        <f t="shared" ref="C7:E58" si="0">NORMSDIST(($B7-$B$2)/$B$3)*100</f>
        <v>0.38478836223957635</v>
      </c>
      <c r="H7" s="205">
        <f>IF(info!V36&gt;I1,I1,info!V36)</f>
        <v>2.2557399999999999</v>
      </c>
      <c r="I7" s="560">
        <f>NORMSDIST((H7-$B$2)/$B$3)*100</f>
        <v>69.110933205064569</v>
      </c>
    </row>
    <row r="8" spans="1:11">
      <c r="B8" s="23">
        <f t="shared" ref="B8:B71" si="1">B7+0.05</f>
        <v>0.05</v>
      </c>
      <c r="C8" s="23">
        <f t="shared" si="0"/>
        <v>0.47295624138584591</v>
      </c>
      <c r="D8" s="171"/>
      <c r="H8" s="205">
        <v>0</v>
      </c>
      <c r="I8" s="560">
        <f>NORMSDIST((H7-$B$2)/$B$3)*100</f>
        <v>69.110933205064569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2.2557399999999999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2.2557399999999999</v>
      </c>
      <c r="I6" s="171">
        <f>NORMSDIST((H6-$B$2)/$B$3)*100</f>
        <v>8.1956592781886148E-2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8.1956592781886148E-2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45823.547418981485</v>
      </c>
      <c r="I7" s="876"/>
      <c r="J7" s="877"/>
      <c r="K7" s="166" t="str">
        <f>lang!B160</f>
        <v>나이</v>
      </c>
      <c r="L7" s="879" t="str">
        <f>IF(FH_info!B2="","", FH_info!T2)</f>
        <v>58</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Uuxk</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45823.547418981485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Uuxk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2025-06-15T04:08:26Z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