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nFQ6^1^1^\"/>
    </mc:Choice>
  </mc:AlternateContent>
  <xr:revisionPtr revIDLastSave="0" documentId="13_ncr:1_{7BC04859-11EA-4170-A24A-279B2D22ACB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Q8" i="45"/>
  <c r="L8" i="44"/>
  <c r="L7" i="30"/>
  <c r="H8" i="33"/>
  <c r="Q8" i="36"/>
  <c r="L7" i="38"/>
  <c r="H8" i="39"/>
  <c r="Q8" i="40"/>
  <c r="L7" i="42"/>
  <c r="H8" i="43"/>
  <c r="Q8" i="44"/>
  <c r="L7" i="46"/>
  <c r="L7" i="33"/>
  <c r="Q8" i="37"/>
  <c r="H8" i="40"/>
  <c r="Q8" i="41"/>
  <c r="H8" i="44"/>
  <c r="L8" i="36"/>
  <c r="L8" i="40"/>
  <c r="L8" i="33"/>
  <c r="L8" i="39"/>
  <c r="L8" i="43"/>
  <c r="H8" i="36"/>
  <c r="L7" i="39"/>
  <c r="L7"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8" i="1"/>
  <c r="I33" i="48" s="1"/>
  <c r="L16" i="1"/>
  <c r="I41" i="48" s="1"/>
  <c r="L15" i="1"/>
  <c r="I40" i="48" s="1"/>
  <c r="L14" i="1"/>
  <c r="I39" i="48" s="1"/>
  <c r="L7" i="1"/>
  <c r="I32"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CA7" i="1"/>
  <c r="CD7" i="1"/>
  <c r="CD6" i="1" s="1"/>
  <c r="CB7" i="1"/>
  <c r="BY6" i="1" s="1"/>
  <c r="CC7" i="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BW6" i="1" l="1"/>
  <c r="BV6" i="1"/>
  <c r="CH4" i="1" s="1"/>
  <c r="CH8" i="1" s="1"/>
  <c r="N12" i="49" s="1"/>
  <c r="BX6" i="1"/>
  <c r="CH7" i="1" s="1"/>
  <c r="CK7" i="1" s="1"/>
  <c r="CC6" i="1"/>
  <c r="BZ6" i="1"/>
  <c r="CA6" i="1"/>
  <c r="CB6" i="1"/>
  <c r="CE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B84" i="23"/>
  <c r="E83" i="23"/>
  <c r="B28" i="21"/>
  <c r="C27" i="21"/>
  <c r="C29" i="23"/>
  <c r="S20" i="18"/>
  <c r="C27" i="18"/>
  <c r="F16" i="13"/>
  <c r="L15" i="13"/>
  <c r="M18" i="1"/>
  <c r="A55" i="6"/>
  <c r="A51" i="6"/>
  <c r="F10" i="11"/>
  <c r="A11" i="11"/>
  <c r="B10" i="11"/>
  <c r="E10" i="11" s="1"/>
  <c r="CG7" i="1" l="1"/>
  <c r="CG4" i="1"/>
  <c r="CG8" i="1" s="1"/>
  <c r="M12" i="49" s="1"/>
  <c r="L12" i="45"/>
  <c r="L12" i="38"/>
  <c r="L12" i="30"/>
  <c r="L12" i="40"/>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37" l="1"/>
  <c r="L12" i="36"/>
  <c r="L12" i="33"/>
  <c r="L12" i="44"/>
  <c r="CG13" i="1"/>
  <c r="L12" i="43"/>
  <c r="CJ8" i="1"/>
  <c r="K12" i="48" s="1"/>
  <c r="L12" i="41"/>
  <c r="L12" i="42"/>
  <c r="CK13" i="1"/>
  <c r="K12" i="18"/>
  <c r="AZ20" i="11"/>
  <c r="CD16" i="11"/>
  <c r="CD24" i="11"/>
  <c r="CL7" i="1"/>
  <c r="D18" i="48" s="1"/>
  <c r="B56" i="24"/>
  <c r="D56" i="24" s="1"/>
  <c r="C11" i="17"/>
  <c r="B11" i="17" s="1"/>
  <c r="D24" i="1" s="1"/>
  <c r="A12" i="17"/>
  <c r="B49" i="25"/>
  <c r="G49" i="25" s="1"/>
  <c r="B30" i="21"/>
  <c r="C29" i="21"/>
  <c r="C31" i="23"/>
  <c r="F18" i="13"/>
  <c r="L17" i="13"/>
  <c r="F12" i="11"/>
  <c r="A13" i="11"/>
  <c r="B12" i="11"/>
  <c r="E12" i="11" s="1"/>
  <c r="CJ13" i="1" l="1"/>
  <c r="CL8" i="1"/>
  <c r="M12" i="48" s="1"/>
  <c r="L12" i="48" s="1"/>
  <c r="M12" i="18"/>
  <c r="L12" i="1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6"/>
  <c r="O7" i="42"/>
  <c r="O7" i="38"/>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4" i="1" l="1"/>
  <c r="Y12" i="1"/>
  <c r="Y10" i="1"/>
  <c r="Y16" i="1"/>
  <c r="Y8" i="1"/>
  <c r="Y7" i="1"/>
  <c r="C213" i="17"/>
  <c r="B213" i="17" s="1"/>
  <c r="A214" i="17"/>
  <c r="F211" i="11"/>
  <c r="A212" i="11"/>
  <c r="B211" i="11"/>
  <c r="E211" i="11" s="1"/>
  <c r="L32" i="48" l="1"/>
  <c r="L32" i="18"/>
  <c r="L33" i="48"/>
  <c r="L33" i="18"/>
  <c r="L41" i="48"/>
  <c r="L41" i="18"/>
  <c r="L35" i="48"/>
  <c r="L35" i="18"/>
  <c r="Y9" i="1"/>
  <c r="Y11" i="1"/>
  <c r="L37" i="48"/>
  <c r="L37" i="18"/>
  <c r="L39" i="48"/>
  <c r="L39" i="18"/>
  <c r="C214" i="17"/>
  <c r="B214" i="17" s="1"/>
  <c r="A215" i="17"/>
  <c r="F212" i="11"/>
  <c r="A213" i="11"/>
  <c r="B212" i="11"/>
  <c r="E212" i="11" s="1"/>
  <c r="L36" i="48" l="1"/>
  <c r="L36"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G10" i="1"/>
  <c r="CK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G11" i="1" l="1"/>
  <c r="CK11" i="1"/>
  <c r="CJ11" i="1"/>
  <c r="G13" i="18" s="1"/>
  <c r="C274" i="17"/>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K17" i="1" l="1"/>
  <c r="CJ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K18" i="1" l="1"/>
  <c r="CJ18" i="1"/>
  <c r="G13" i="48" s="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G12" i="1" l="1"/>
  <c r="CK12" i="1"/>
  <c r="CK19" i="1"/>
  <c r="CJ19" i="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<sst xmlns="http://schemas.openxmlformats.org/spreadsheetml/2006/main" count="7311" uniqueCount="2585">
  <si>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</si>
  <si>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</si>
  <si>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</si>
  <si>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</si>
  <si>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</si>
  <si>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</si>
  <si>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</si>
  <si>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</si>
  <si>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</si>
  <si>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</si>
  <si>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</si>
  <si>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</si>
  <si>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</si>
  <si>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</si>
  <si>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</si>
  <si>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</si>
  <si>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</si>
  <si>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</si>
  <si>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</si>
  <si>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</si>
  <si>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</si>
  <si>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</si>
  <si>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</si>
  <si>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</si>
  <si>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</si>
  <si>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</si>
  <si>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</si>
  <si>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</si>
  <si>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</si>
  <si>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</si>
  <si>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</si>
  <si>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</si>
  <si>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</si>
  <si>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</si>
  <si>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</si>
  <si>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</si>
  <si>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</si>
  <si>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</si>
  <si>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</si>
  <si>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</si>
  <si>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</si>
  <si>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</si>
  <si>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</si>
  <si>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</si>
  <si>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</si>
  <si>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</si>
  <si>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</si>
  <si>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</si>
  <si>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</si>
  <si>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</si>
  <si>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</si>
  <si>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</si>
  <si>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</si>
  <si>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</si>
  <si>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</si>
  <si>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</si>
  <si>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</si>
  <si>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</si>
  <si>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</si>
  <si>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</si>
  <si>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</si>
  <si>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</si>
  <si>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</si>
  <si>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</si>
  <si>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</si>
  <si>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</si>
  <si>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</si>
  <si>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</si>
  <si>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</si>
  <si>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</si>
  <si>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</si>
  <si>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</si>
  <si>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</si>
  <si>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</si>
  <si>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</si>
  <si>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</si>
  <si>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</si>
  <si>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</si>
  <si>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</si>
  <si>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</si>
  <si>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</si>
  <si>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</si>
  <si>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</si>
  <si>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</si>
  <si>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</si>
  <si>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</si>
  <si>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</si>
  <si>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</si>
  <si>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</si>
  <si>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</si>
  <si>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</si>
  <si>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</si>
  <si>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</si>
  <si>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</si>
  <si>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</si>
  <si>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</si>
  <si>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</si>
  <si>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</si>
  <si>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</si>
  <si>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</si>
  <si>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</si>
  <si>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</si>
  <si>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</si>
  <si>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</si>
  <si>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</si>
  <si>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</si>
  <si>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</si>
  <si>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</si>
  <si>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</si>
  <si>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</si>
  <si>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</si>
  <si>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</si>
  <si>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</si>
  <si>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</si>
  <si>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</si>
  <si>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</si>
  <si>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</si>
  <si>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</si>
  <si>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</si>
  <si>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</si>
  <si>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</si>
  <si>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</si>
  <si>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</si>
  <si>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</si>
  <si>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</si>
  <si>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</si>
  <si>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</si>
  <si>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</si>
  <si>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</si>
  <si>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</si>
  <si>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</si>
  <si>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</si>
  <si>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</si>
  <si>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</si>
  <si>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</si>
  <si>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</si>
  <si>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</si>
  <si>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</si>
  <si>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</si>
  <si>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</si>
  <si>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</si>
  <si>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</si>
  <si>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</si>
  <si>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</si>
  <si>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</si>
  <si>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</si>
  <si>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</si>
  <si>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</si>
  <si>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</si>
  <si>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</si>
  <si>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</si>
  <si>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</si>
  <si>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</si>
  <si>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</si>
  <si>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</si>
  <si>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</si>
  <si>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</si>
  <si>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</si>
  <si>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</si>
  <si>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</si>
  <si>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</si>
  <si>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</si>
  <si>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</si>
  <si>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</si>
  <si>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</si>
  <si>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</si>
  <si>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</si>
  <si>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</si>
  <si>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</si>
  <si>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</si>
  <si>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</si>
  <si>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</si>
  <si>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</si>
  <si>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</si>
  <si>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</si>
  <si>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</si>
  <si>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</si>
  <si>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</si>
  <si>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</si>
  <si>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</si>
  <si>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</si>
  <si>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</si>
  <si>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</si>
  <si>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</si>
  <si>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</si>
  <si>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</si>
  <si>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</si>
  <si>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</si>
  <si>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</si>
  <si>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</si>
  <si>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</si>
  <si>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</si>
  <si>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</si>
  <si>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</si>
  <si>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</si>
  <si>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</si>
  <si>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</si>
  <si>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</si>
  <si>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</si>
  <si>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</si>
  <si>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</si>
  <si>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</si>
  <si>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</si>
  <si>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</si>
  <si>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</si>
  <si>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</si>
  <si>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</si>
  <si>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</si>
  <si>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</si>
  <si>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</si>
  <si>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</si>
  <si>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</si>
  <si>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</si>
  <si>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</si>
  <si>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</si>
  <si>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</si>
  <si>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</si>
  <si>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</si>
  <si>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</si>
  <si>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</si>
  <si>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</si>
  <si>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</si>
  <si>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</si>
  <si>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</si>
  <si>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</si>
  <si>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</si>
  <si>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</si>
  <si>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</si>
  <si>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</si>
  <si>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</si>
  <si>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</si>
  <si>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</si>
  <si>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</si>
  <si>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</si>
  <si>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</si>
  <si>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</si>
  <si>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</si>
  <si>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</si>
  <si>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</si>
  <si>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</si>
  <si>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</si>
  <si>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</si>
  <si>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</si>
  <si>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</si>
  <si>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</si>
  <si>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</si>
  <si>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</si>
  <si>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</si>
  <si>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</si>
  <si>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</si>
  <si>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</si>
  <si>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</si>
  <si>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</si>
  <si>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</si>
  <si>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</si>
  <si>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</si>
  <si>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</si>
  <si>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</si>
  <si>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</si>
  <si>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</si>
  <si>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</si>
  <si>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</si>
  <si>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</si>
  <si>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</si>
  <si>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</si>
  <si>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</si>
  <si>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</si>
  <si>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</si>
  <si>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</si>
  <si>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</si>
  <si>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</si>
  <si>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</si>
  <si>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</si>
  <si>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</si>
  <si>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</si>
  <si>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</si>
  <si>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</si>
  <si>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</si>
  <si>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</si>
  <si>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</si>
  <si>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</si>
  <si>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</si>
  <si>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</si>
  <si>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</si>
  <si>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</si>
  <si>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</si>
  <si>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</si>
  <si>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</si>
  <si>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</si>
  <si>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</si>
  <si>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</si>
  <si>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</si>
  <si>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</si>
  <si>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</si>
  <si>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</si>
  <si>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</si>
  <si>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</si>
  <si>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</si>
  <si>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</si>
  <si>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</si>
  <si>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</si>
  <si>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</si>
  <si>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</si>
  <si>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</si>
  <si>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</si>
  <si>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</si>
  <si>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</si>
  <si>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</si>
  <si>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</si>
  <si>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</si>
  <si>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</si>
  <si>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</si>
  <si>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</si>
  <si>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</si>
  <si>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</si>
  <si>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</si>
  <si>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</si>
  <si>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</si>
  <si>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</si>
  <si>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</si>
  <si>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</si>
  <si>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</si>
  <si>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</si>
  <si>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</si>
  <si>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</si>
  <si>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</si>
  <si>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</si>
  <si>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</si>
  <si>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</si>
  <si>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</si>
  <si>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</si>
  <si>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</si>
  <si>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</si>
  <si>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</si>
  <si>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</si>
  <si>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</si>
  <si>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</si>
  <si>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</si>
  <si>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</si>
  <si>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</si>
  <si>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</si>
  <si>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</si>
  <si>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</si>
  <si>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</si>
  <si>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</si>
  <si>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</si>
  <si>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</si>
  <si>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</si>
  <si>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</si>
  <si>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</si>
  <si>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</si>
  <si>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</si>
  <si>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</si>
  <si>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</si>
  <si>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</si>
  <si>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</si>
  <si>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</si>
  <si>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</si>
  <si>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</si>
  <si>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</si>
  <si>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</si>
  <si>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</si>
  <si>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</si>
  <si>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</si>
  <si>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</si>
  <si>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</si>
  <si>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</si>
  <si>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</si>
  <si>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</si>
  <si>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</si>
  <si>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</si>
  <si>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</si>
  <si>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</si>
  <si>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</si>
  <si>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</si>
  <si>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</si>
  <si>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</si>
  <si>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</si>
  <si>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</si>
  <si>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</si>
  <si>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</si>
  <si>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</si>
  <si>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</si>
  <si>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</si>
  <si>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</si>
  <si>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</si>
  <si>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</si>
  <si>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</si>
  <si>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</si>
  <si>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</si>
  <si>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</si>
  <si>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</si>
  <si>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</si>
  <si>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</si>
  <si>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</si>
  <si>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</si>
  <si>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</si>
  <si>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</si>
  <si>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</si>
  <si>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</si>
  <si>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</si>
  <si>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</si>
  <si>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</si>
  <si>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</si>
  <si>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</si>
  <si>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</si>
  <si>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</si>
  <si>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</si>
  <si>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</si>
  <si>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</si>
  <si>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</si>
  <si>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</si>
  <si>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</si>
  <si>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</si>
  <si>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</si>
  <si>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</si>
  <si>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</si>
  <si>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</si>
  <si>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</si>
  <si>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</si>
  <si>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</si>
  <si>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</si>
  <si>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</si>
  <si>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</si>
  <si>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</si>
  <si>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</si>
  <si>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</si>
  <si>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</si>
  <si>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</si>
  <si>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</si>
  <si>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</si>
  <si>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</si>
  <si>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</si>
  <si>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</si>
  <si>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</si>
  <si>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</si>
  <si>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</si>
  <si>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</si>
  <si>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</si>
  <si>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</si>
  <si>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</si>
  <si>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</si>
  <si>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</si>
  <si>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</si>
  <si>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</si>
  <si>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</si>
  <si>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</si>
  <si>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</si>
  <si>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</si>
  <si>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</si>
  <si>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</si>
  <si>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</si>
  <si>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</si>
  <si>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</si>
  <si>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</si>
  <si>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</si>
  <si>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</si>
  <si>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</si>
  <si>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</si>
  <si>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</si>
  <si>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</si>
  <si>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</si>
  <si>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</si>
  <si>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</si>
  <si>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</si>
  <si>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</si>
  <si>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</si>
  <si>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</si>
  <si>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</si>
  <si>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</si>
  <si>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</si>
  <si>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</si>
  <si>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</si>
  <si>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</si>
  <si>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</si>
  <si>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</si>
  <si>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</si>
  <si>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</si>
  <si>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</si>
  <si>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</si>
  <si>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</si>
  <si>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</si>
  <si>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</si>
  <si>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</si>
  <si>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</si>
  <si>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</si>
  <si>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</si>
  <si>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</si>
  <si>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</si>
  <si>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</si>
  <si>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</si>
  <si>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</si>
  <si>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</si>
  <si>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</si>
  <si>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</si>
  <si>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</si>
  <si>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</si>
  <si>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</si>
  <si>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</si>
  <si>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</si>
  <si>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</si>
  <si>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</si>
  <si>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</si>
  <si>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</si>
  <si>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</si>
  <si>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</si>
  <si>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</si>
  <si>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</si>
  <si>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</si>
  <si>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</si>
  <si>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</si>
  <si>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</si>
  <si>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</si>
  <si>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</si>
  <si>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</si>
  <si>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</si>
  <si>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</si>
  <si>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</si>
  <si>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</si>
  <si>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</si>
  <si>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</si>
  <si>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</si>
  <si>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</si>
  <si>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</si>
  <si>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</si>
  <si>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</si>
  <si>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</si>
  <si>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</si>
  <si>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</si>
  <si>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</si>
  <si>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</si>
  <si>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</si>
  <si>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</si>
  <si>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</si>
  <si>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</si>
  <si>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</si>
  <si>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</si>
  <si>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</si>
  <si>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</si>
  <si>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</si>
  <si>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</si>
  <si>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</si>
  <si>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</si>
  <si>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</si>
  <si>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</si>
  <si>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</si>
  <si>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</si>
  <si>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</si>
  <si>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</si>
  <si>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</si>
  <si>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</si>
  <si>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</si>
  <si>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</si>
  <si>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</si>
  <si>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</si>
  <si>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</si>
  <si>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</si>
  <si>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</si>
  <si>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</si>
  <si>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</si>
  <si>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</si>
  <si>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</si>
  <si>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</si>
  <si>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</si>
  <si>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</si>
  <si>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</si>
  <si>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</si>
  <si>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</si>
  <si>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</si>
  <si>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</si>
  <si>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</si>
  <si>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</si>
  <si>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</si>
  <si>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</si>
  <si>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</si>
  <si>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</si>
  <si>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</si>
  <si>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</si>
  <si>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</si>
  <si>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</si>
  <si>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</si>
  <si>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</si>
  <si>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</si>
  <si>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</si>
  <si>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</si>
  <si>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</si>
  <si>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</si>
  <si>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</si>
  <si>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</si>
  <si>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</si>
  <si>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</si>
  <si>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</si>
  <si>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</si>
  <si>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</si>
  <si>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</si>
  <si>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</si>
  <si>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</si>
  <si>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</si>
  <si>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</si>
  <si>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</si>
  <si>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</si>
  <si>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</si>
  <si>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</si>
  <si>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</si>
  <si>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</si>
  <si>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</si>
  <si>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</si>
  <si>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</si>
  <si>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</si>
  <si>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</si>
  <si>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</si>
  <si>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</si>
  <si>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</si>
  <si>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</si>
  <si>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</si>
  <si>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</si>
  <si>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</si>
  <si>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</si>
  <si>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</si>
  <si>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</si>
  <si>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</si>
  <si>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</si>
  <si>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</si>
  <si>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</si>
  <si>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</si>
  <si>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</si>
  <si>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</si>
  <si>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</si>
  <si>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</si>
  <si>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</si>
  <si>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</si>
  <si>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</si>
  <si>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</si>
  <si>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</si>
  <si>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</si>
  <si>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</si>
  <si>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</si>
  <si>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</si>
  <si>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</si>
  <si>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</si>
  <si>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</si>
  <si>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</si>
  <si>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</si>
  <si>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</si>
  <si>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</si>
  <si>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</si>
  <si>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</si>
  <si>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</si>
  <si>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</si>
  <si>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</si>
  <si>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</si>
  <si>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</si>
  <si>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</si>
  <si>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</si>
  <si>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</si>
  <si>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</si>
  <si>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</si>
  <si>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</si>
  <si>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</si>
  <si>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</si>
  <si>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</si>
  <si>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</si>
  <si>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</si>
  <si>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</si>
  <si>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</si>
  <si>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</si>
  <si>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</si>
  <si>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</si>
  <si>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</si>
  <si>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</si>
  <si>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</si>
  <si>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</si>
  <si>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</si>
  <si>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</si>
  <si>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</si>
  <si>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</si>
  <si>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</si>
  <si>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</si>
  <si>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</si>
  <si>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</si>
  <si>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</si>
  <si>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</si>
  <si>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</si>
  <si>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</si>
  <si>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</si>
  <si>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</si>
  <si>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</si>
  <si>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</si>
  <si>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</si>
  <si>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</si>
  <si>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</si>
  <si>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</si>
  <si>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</si>
  <si>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</si>
  <si>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</si>
  <si>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</si>
  <si>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</si>
  <si>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</si>
  <si>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</si>
  <si>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</si>
  <si>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</si>
  <si>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</si>
  <si>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</si>
  <si>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</si>
  <si>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</si>
  <si>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</si>
  <si>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</si>
  <si>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</si>
  <si>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</si>
  <si>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</si>
  <si>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</si>
  <si>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</si>
  <si>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</si>
  <si>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</si>
  <si>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</si>
  <si>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</si>
  <si>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</si>
  <si>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</si>
  <si>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</si>
  <si>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</si>
  <si>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</si>
  <si>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</si>
  <si>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</si>
  <si>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</si>
  <si>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</si>
  <si>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</si>
  <si>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</si>
  <si>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</si>
  <si>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</si>
  <si>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</si>
  <si>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</si>
  <si>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</si>
  <si>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</si>
  <si>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</si>
  <si>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</si>
  <si>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</si>
  <si>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</si>
  <si>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</si>
  <si>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</si>
  <si>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</si>
  <si>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</si>
  <si>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</si>
  <si>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</si>
  <si>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</si>
  <si>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</si>
  <si>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</si>
  <si>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</si>
  <si>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</si>
  <si>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</si>
  <si>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</si>
  <si>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</si>
  <si>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</si>
  <si>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</si>
  <si>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</si>
  <si>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</si>
  <si>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</si>
  <si>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</si>
  <si>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</si>
  <si>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</si>
  <si>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</si>
  <si>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</si>
  <si>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</si>
  <si>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</si>
  <si>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</si>
  <si>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</si>
  <si>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</si>
  <si>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</si>
  <si>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</si>
  <si>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</si>
  <si>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</si>
  <si>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</si>
  <si>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</si>
  <si>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</si>
  <si>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</si>
  <si>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</si>
  <si>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</si>
  <si>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</si>
  <si>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</si>
  <si>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</si>
  <si>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</si>
  <si>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</si>
  <si>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</si>
  <si>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</si>
  <si>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</si>
  <si>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</si>
  <si>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</si>
  <si>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</si>
  <si>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</si>
  <si>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</si>
  <si>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</si>
  <si>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</si>
  <si>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</si>
  <si>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</si>
  <si>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</si>
  <si>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</si>
  <si>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</si>
  <si>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</si>
  <si>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</si>
  <si>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</si>
  <si>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</si>
  <si>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</si>
  <si>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</si>
  <si>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</si>
  <si>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</si>
  <si>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</si>
  <si>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</si>
  <si>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</si>
  <si>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</si>
  <si>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</si>
  <si>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</si>
  <si>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</si>
  <si>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</si>
  <si>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</si>
  <si>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</si>
  <si>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</si>
  <si>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</si>
  <si>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</si>
  <si>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</si>
  <si>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</si>
  <si>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</si>
  <si>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</si>
  <si>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</si>
  <si>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</si>
  <si>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</si>
  <si>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</si>
  <si>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</si>
  <si>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</si>
  <si>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</si>
  <si>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</si>
  <si>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</si>
  <si>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</si>
  <si>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</si>
  <si>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</si>
  <si>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</si>
  <si>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</si>
  <si>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</si>
  <si>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</si>
  <si>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</si>
  <si>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</si>
  <si>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</si>
  <si>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</si>
  <si>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</si>
  <si>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</si>
  <si>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</si>
  <si>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</si>
  <si>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</si>
  <si>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</si>
  <si>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</si>
  <si>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</si>
  <si>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</si>
  <si>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</si>
  <si>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</si>
  <si>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</si>
  <si>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</si>
  <si>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</si>
  <si>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</si>
  <si>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</si>
  <si>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</si>
  <si>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</si>
  <si>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</si>
  <si>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</si>
  <si>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</si>
  <si>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</si>
  <si>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</si>
  <si>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</si>
  <si>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</si>
  <si>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</si>
  <si>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</si>
  <si>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</si>
  <si>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</si>
  <si>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</si>
  <si>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</si>
  <si>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</si>
  <si>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</si>
  <si>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</si>
  <si>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</si>
  <si>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</si>
  <si>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</si>
  <si>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</si>
  <si>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</si>
  <si>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</si>
  <si>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</si>
  <si>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</si>
  <si>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</si>
  <si>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</si>
  <si>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</si>
  <si>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</si>
  <si>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</si>
  <si>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</si>
  <si>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</si>
  <si>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</si>
  <si>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</si>
  <si>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</si>
  <si>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</si>
  <si>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</si>
  <si>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</si>
  <si>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</si>
  <si>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</si>
  <si>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</si>
  <si>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</si>
  <si>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</si>
  <si>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</si>
  <si>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</si>
  <si>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</si>
  <si>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</si>
  <si>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</si>
  <si>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</si>
  <si>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</si>
  <si>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</si>
  <si>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</si>
  <si>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</si>
  <si>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</si>
  <si>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</si>
  <si>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</si>
  <si>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</si>
  <si>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</si>
  <si>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</si>
  <si>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</si>
  <si>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</si>
  <si>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</si>
  <si>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</si>
  <si>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</si>
  <si>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</si>
  <si>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</si>
  <si>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</si>
  <si>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</si>
  <si>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</si>
  <si>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</si>
  <si>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</si>
  <si>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</si>
  <si>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</si>
  <si>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</si>
  <si>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</si>
  <si>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</si>
  <si>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</si>
  <si>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</si>
  <si>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</si>
  <si>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</si>
  <si>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</si>
  <si>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</si>
  <si>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</si>
  <si>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</si>
  <si>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</si>
  <si>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</si>
  <si>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</si>
  <si>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</si>
  <si>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</si>
  <si>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</si>
  <si>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</si>
  <si>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</si>
  <si>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</si>
  <si>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</si>
  <si>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</si>
  <si>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</si>
  <si>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</si>
  <si>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</si>
  <si>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</si>
  <si>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</si>
  <si>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</si>
  <si>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</si>
  <si>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</si>
  <si>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</si>
  <si>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</si>
  <si>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</si>
  <si>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</si>
  <si>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</si>
  <si>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</si>
  <si>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</si>
  <si>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</si>
  <si>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</si>
  <si>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</si>
  <si>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</si>
  <si>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</si>
  <si>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</si>
  <si>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</si>
  <si>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</si>
  <si>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</si>
  <si>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</si>
  <si>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</si>
  <si>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</si>
  <si>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</si>
  <si>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</si>
  <si>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</si>
  <si>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</si>
  <si>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</si>
  <si>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</si>
  <si>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</si>
  <si>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</si>
  <si>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</si>
  <si>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</si>
  <si>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</si>
  <si>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</si>
  <si>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</si>
  <si>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</si>
  <si>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</si>
  <si>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</si>
  <si>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</si>
  <si>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</si>
  <si>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</si>
  <si>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</si>
  <si>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</si>
  <si>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</si>
  <si>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</si>
  <si>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</si>
  <si>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</si>
  <si>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</si>
  <si>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</si>
  <si>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</si>
  <si>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</si>
  <si>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</si>
  <si>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</si>
  <si>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</si>
  <si>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</si>
  <si>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</si>
  <si>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</si>
  <si>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</si>
  <si>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</si>
  <si>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</si>
  <si>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</si>
  <si>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</si>
  <si>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</si>
  <si>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</si>
  <si>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</si>
  <si>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</si>
  <si>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</si>
  <si>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</si>
  <si>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</si>
  <si>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</si>
  <si>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</si>
  <si>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</si>
  <si>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</si>
  <si>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</si>
  <si>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</si>
  <si>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</si>
  <si>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</si>
  <si>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</si>
  <si>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</si>
  <si>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</si>
  <si>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</si>
  <si>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</si>
  <si>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</si>
  <si>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</si>
  <si>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</si>
  <si>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</si>
  <si>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</si>
  <si>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</si>
  <si>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</si>
  <si>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</si>
  <si>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</si>
  <si>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</si>
  <si>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</si>
  <si>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</si>
  <si>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</si>
  <si>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</si>
  <si>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</si>
  <si>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</si>
  <si>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</si>
  <si>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</si>
  <si>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</si>
  <si>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</si>
  <si>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</si>
  <si>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</si>
  <si>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</si>
  <si>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</si>
  <si>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</si>
  <si>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</si>
  <si>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</si>
  <si>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</si>
  <si>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</si>
  <si>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</si>
  <si>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</si>
  <si>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</si>
  <si>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</si>
  <si>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</si>
  <si>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</si>
  <si>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</si>
  <si>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</si>
  <si>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</si>
  <si>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</si>
  <si>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</si>
  <si>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</si>
  <si>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</si>
  <si>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</si>
  <si>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</si>
  <si>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</si>
  <si>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</si>
  <si>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</si>
  <si>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</si>
  <si>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</si>
  <si>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</si>
  <si>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</si>
  <si>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</si>
  <si>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</si>
  <si>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</si>
  <si>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</si>
  <si>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</si>
  <si>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</si>
  <si>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</si>
  <si>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</si>
  <si>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</si>
  <si>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</si>
  <si>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</si>
  <si>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</si>
  <si>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</si>
  <si>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</si>
  <si>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</si>
  <si>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</si>
  <si>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</si>
  <si>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</si>
  <si>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</si>
  <si>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</si>
  <si>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</si>
  <si>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</si>
  <si>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</si>
  <si>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</si>
  <si>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</si>
  <si>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</si>
  <si>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</si>
  <si>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</si>
  <si>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</si>
  <si>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</si>
  <si>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</si>
  <si>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</si>
  <si>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</si>
  <si>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</si>
  <si>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</si>
  <si>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</si>
  <si>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</si>
  <si>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</si>
  <si>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</si>
  <si>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</si>
  <si>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</si>
  <si>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</si>
  <si>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</si>
  <si>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</si>
  <si>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</si>
  <si>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</si>
  <si>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</si>
  <si>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</si>
  <si>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</si>
  <si>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</si>
  <si>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</si>
  <si>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</si>
  <si>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</si>
  <si>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</si>
  <si>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</si>
  <si>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</si>
  <si>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</si>
  <si>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</si>
  <si>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</si>
  <si>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</si>
  <si>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</si>
  <si>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</si>
  <si>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</si>
  <si>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</si>
  <si>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</si>
  <si>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</si>
  <si>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</si>
  <si>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</si>
  <si>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</si>
  <si>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</si>
  <si>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</si>
  <si>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</si>
  <si>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</si>
  <si>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</si>
  <si>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</si>
  <si>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</si>
  <si>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</si>
  <si>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</si>
  <si>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</si>
  <si>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</si>
  <si>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</si>
  <si>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</si>
  <si>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</si>
  <si>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</si>
  <si>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</si>
  <si>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</si>
  <si>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</si>
  <si>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</si>
  <si>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</si>
  <si>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</si>
  <si>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</si>
  <si>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</si>
  <si>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</si>
  <si>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</si>
  <si>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</si>
  <si>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</si>
  <si>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</si>
  <si>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</si>
  <si>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</si>
  <si>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</si>
  <si>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</si>
  <si>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</si>
  <si>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</si>
  <si>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</si>
  <si>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</si>
  <si>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</si>
  <si>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</si>
  <si>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</si>
  <si>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</si>
  <si>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</si>
  <si>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</si>
  <si>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</si>
  <si>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</si>
  <si>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</si>
  <si>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</si>
  <si>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</si>
  <si>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</si>
  <si>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</si>
  <si>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</si>
  <si>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</si>
  <si>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</si>
  <si>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</si>
  <si>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</si>
  <si>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</si>
  <si>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</si>
  <si>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</si>
  <si>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</si>
  <si>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</si>
  <si>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</si>
  <si>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</si>
  <si>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</si>
  <si>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</si>
  <si>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</si>
  <si>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</si>
  <si>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</si>
  <si>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</si>
  <si>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</si>
  <si>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</si>
  <si>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</si>
  <si>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</si>
  <si>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</si>
  <si>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</si>
  <si>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</si>
  <si>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</si>
  <si>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</si>
  <si>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</si>
  <si>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</si>
  <si>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</si>
  <si>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</si>
  <si>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</si>
  <si>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</si>
  <si>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</si>
  <si>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</si>
  <si>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</si>
  <si>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</si>
  <si>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</si>
  <si>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</si>
  <si>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</si>
  <si>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</si>
  <si>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</si>
  <si>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</si>
  <si>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</si>
  <si>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</si>
  <si>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</si>
  <si>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</si>
  <si>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</si>
  <si>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</si>
  <si>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</si>
  <si>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</si>
  <si>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</si>
  <si>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</si>
  <si>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</si>
  <si>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</si>
  <si>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</si>
  <si>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</si>
  <si>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</si>
  <si>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</si>
  <si>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</si>
  <si>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</si>
  <si>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</si>
  <si>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</si>
  <si>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</si>
  <si>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</si>
  <si>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</si>
  <si>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</si>
  <si>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</si>
  <si>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</si>
  <si>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</si>
  <si>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</si>
  <si>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</si>
  <si>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</si>
  <si>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</si>
  <si>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</si>
  <si>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</si>
  <si>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</si>
  <si>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</si>
  <si>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</si>
  <si>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</si>
  <si>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</si>
  <si>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</si>
  <si>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</si>
  <si>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</si>
  <si>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</si>
  <si>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</si>
  <si>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</si>
  <si>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</si>
  <si>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</si>
  <si>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</si>
  <si>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</si>
  <si>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</si>
  <si>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</si>
  <si>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</si>
  <si>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</si>
  <si>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</si>
  <si>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</si>
  <si>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</si>
  <si>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</si>
  <si>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</si>
  <si>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</si>
  <si>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</si>
  <si>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</si>
  <si>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</si>
  <si>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</si>
  <si>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</si>
  <si>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</si>
  <si>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</si>
  <si>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</si>
  <si>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</si>
  <si>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</si>
  <si>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</si>
  <si>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</si>
  <si>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</si>
  <si>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</si>
  <si>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</si>
  <si>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</si>
  <si>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</si>
  <si>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</si>
  <si>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</si>
  <si>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</si>
  <si>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</si>
  <si>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</si>
  <si>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</si>
  <si>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</si>
  <si>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</si>
  <si>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</si>
  <si>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</si>
  <si>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</si>
  <si>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</si>
  <si>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</si>
  <si>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</si>
  <si>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</si>
  <si>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</si>
  <si>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</si>
  <si>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</si>
  <si>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</si>
  <si>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</si>
  <si>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</si>
  <si>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</si>
  <si>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</si>
  <si>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</si>
  <si>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</si>
  <si>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</si>
  <si>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</si>
  <si>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</si>
  <si>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</si>
  <si>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</si>
  <si>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</si>
  <si>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</si>
  <si>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</si>
  <si>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</si>
  <si>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</si>
  <si>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</si>
  <si>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</si>
  <si>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</si>
  <si>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</si>
  <si>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</si>
  <si>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</si>
  <si>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</si>
  <si>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</si>
  <si>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</si>
  <si>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</si>
  <si>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</si>
  <si>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</si>
  <si>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</si>
  <si>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</si>
  <si>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</si>
  <si>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</si>
  <si>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</si>
  <si>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</si>
  <si>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</si>
  <si>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</si>
  <si>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</si>
  <si>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</si>
  <si>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</si>
  <si>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</si>
  <si>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</si>
  <si>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</si>
  <si>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</si>
  <si>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</si>
  <si>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</si>
  <si>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</si>
  <si>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</si>
  <si>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</si>
  <si>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</si>
  <si>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</si>
  <si>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</si>
  <si>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</si>
  <si>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</si>
  <si>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</si>
  <si>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</si>
  <si>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</si>
  <si>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</si>
  <si>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</si>
  <si>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</si>
  <si>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</si>
  <si>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</si>
  <si>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</si>
  <si>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</si>
  <si>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</si>
  <si>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</si>
  <si>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</si>
  <si>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</si>
  <si>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</si>
  <si>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</si>
  <si>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</si>
  <si>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</si>
  <si>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</si>
  <si>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</si>
  <si>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</si>
  <si>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</si>
  <si>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</si>
  <si>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</si>
  <si>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</si>
  <si>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</si>
  <si>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</si>
  <si>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</si>
  <si>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</si>
  <si>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</si>
  <si>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</si>
  <si>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</si>
  <si>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</si>
  <si>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</si>
  <si>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</si>
  <si>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</si>
  <si>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</si>
  <si>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</si>
  <si>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</si>
  <si>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</si>
  <si>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</si>
  <si>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</si>
  <si>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</si>
  <si>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</si>
  <si>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</si>
  <si>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</si>
  <si>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</si>
  <si>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</si>
  <si>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</si>
  <si>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</si>
  <si>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</si>
  <si>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</si>
  <si>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</si>
  <si>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</si>
  <si>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</si>
  <si>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</si>
  <si>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</si>
  <si>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</si>
  <si>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</si>
  <si>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</si>
  <si>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</si>
  <si>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</si>
  <si>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</si>
  <si>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</si>
  <si>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</si>
  <si>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</si>
  <si>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</si>
  <si>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</si>
  <si>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</si>
  <si>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</si>
  <si>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</si>
  <si>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</si>
  <si>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</si>
  <si>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</si>
  <si>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</si>
  <si>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</si>
  <si>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</si>
  <si>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</si>
  <si>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</si>
  <si>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</si>
  <si>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</si>
  <si>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</si>
  <si>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</si>
  <si>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</si>
  <si>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</si>
  <si>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</si>
  <si>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</si>
  <si>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</si>
  <si>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</si>
  <si>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</si>
  <si>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</si>
  <si>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</si>
  <si>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</si>
  <si>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</si>
  <si>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</si>
  <si>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</si>
  <si>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</si>
  <si>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</si>
  <si>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</si>
  <si>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</si>
  <si>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</si>
  <si>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</si>
  <si>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</si>
  <si>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</si>
  <si>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</si>
  <si>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</si>
  <si>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</si>
  <si>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</si>
  <si>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</si>
  <si>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</si>
  <si>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</si>
  <si>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</si>
  <si>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</si>
  <si>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</si>
  <si>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</si>
  <si>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</si>
  <si>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</si>
  <si>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</si>
  <si>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</si>
  <si>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</si>
  <si>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</si>
  <si>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</si>
  <si>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</si>
  <si>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</si>
  <si>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</si>
  <si>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</si>
  <si>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</si>
  <si>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</si>
  <si>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</si>
  <si>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</si>
  <si>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</si>
  <si>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</si>
  <si>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</si>
  <si>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</si>
  <si>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</si>
  <si>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</si>
  <si>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</si>
  <si>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</si>
  <si>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</si>
  <si>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</si>
  <si>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</si>
  <si>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</si>
  <si>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</si>
  <si>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</si>
  <si>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</si>
  <si>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</si>
  <si>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</si>
  <si>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</si>
  <si>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</si>
  <si>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</si>
  <si>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</si>
  <si>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</si>
  <si>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</si>
  <si>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</si>
  <si>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</si>
  <si>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</si>
  <si>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</si>
  <si>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</si>
  <si>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</si>
  <si>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</si>
  <si>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</si>
  <si>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</si>
  <si>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</si>
  <si>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</si>
  <si>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</si>
  <si>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</si>
  <si>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</si>
  <si>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</si>
  <si>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</si>
  <si>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</si>
  <si>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</si>
  <si>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</si>
  <si>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</si>
  <si>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</si>
  <si>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</si>
  <si>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</si>
  <si>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</si>
  <si>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</si>
  <si>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</si>
  <si>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</si>
  <si>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</si>
  <si>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</si>
  <si>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</si>
  <si>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</si>
  <si>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</si>
  <si>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</si>
  <si>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</si>
  <si>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</si>
  <si>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</si>
  <si>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</si>
  <si>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</si>
  <si>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</si>
  <si>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</si>
  <si>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</si>
  <si>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</si>
  <si>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</si>
  <si>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</si>
  <si>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</si>
  <si>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</si>
  <si>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</si>
  <si>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</si>
  <si>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</si>
  <si>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</si>
  <si>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</si>
  <si>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</si>
  <si>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</si>
  <si>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</si>
  <si>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</si>
  <si>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</si>
  <si>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</si>
  <si>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</si>
  <si>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</si>
  <si>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</si>
  <si>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</si>
  <si>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</si>
  <si>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</si>
  <si>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</si>
  <si>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</si>
  <si>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</si>
  <si>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</si>
  <si>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</si>
  <si>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</si>
  <si>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</si>
  <si>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</si>
  <si>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</si>
  <si>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</si>
  <si>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</si>
  <si>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</si>
  <si>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</si>
  <si>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</si>
  <si>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</si>
  <si>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</si>
  <si>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</si>
  <si>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</si>
  <si>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</si>
  <si>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</si>
  <si>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</si>
  <si>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</si>
  <si>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</si>
  <si>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</si>
  <si>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</si>
  <si>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</si>
  <si>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</si>
  <si>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</si>
  <si>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</si>
  <si>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</si>
  <si>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</si>
  <si>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</si>
  <si>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</si>
  <si>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</si>
  <si>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</si>
  <si>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</si>
  <si>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</si>
  <si>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</si>
  <si>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</si>
  <si>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</si>
  <si>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</si>
  <si>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</si>
  <si>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</si>
  <si>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</si>
  <si>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</si>
  <si>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</si>
  <si>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</si>
  <si>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</si>
  <si>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</si>
  <si>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</si>
  <si>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</si>
  <si>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</si>
  <si>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</si>
  <si>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</si>
  <si>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</si>
  <si>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</si>
  <si>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</si>
  <si>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</si>
  <si>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</si>
  <si>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</si>
  <si>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</si>
  <si>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</si>
  <si>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</si>
  <si>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</si>
  <si>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</si>
  <si>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</si>
  <si>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</si>
  <si>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</si>
  <si>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</si>
  <si>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</si>
  <si>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</si>
  <si>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</si>
  <si>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</si>
  <si>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</si>
  <si>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</si>
  <si>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</si>
  <si>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</si>
  <si>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</si>
  <si>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</si>
  <si>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</si>
  <si>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</si>
  <si>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</si>
  <si>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</si>
  <si>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</si>
  <si>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</si>
  <si>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</si>
  <si>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</si>
  <si>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</si>
  <si>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</si>
  <si>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</si>
  <si>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</si>
  <si>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</si>
  <si>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</si>
  <si>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</si>
  <si>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</si>
  <si>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</si>
  <si>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</si>
  <si>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</si>
  <si>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</si>
  <si>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</si>
  <si>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</si>
  <si>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</si>
  <si>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</si>
  <si>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</si>
  <si>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</si>
  <si>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</si>
  <si>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</si>
  <si>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</si>
  <si>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</si>
  <si>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</si>
  <si>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</si>
  <si>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</si>
  <si>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</si>
  <si>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</si>
  <si>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</si>
  <si>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</si>
  <si>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</si>
  <si>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</si>
  <si>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</si>
  <si>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</si>
  <si>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</si>
  <si>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</si>
  <si>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</si>
  <si>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</si>
  <si>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</si>
  <si>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</si>
  <si>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</si>
  <si>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</si>
  <si>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</si>
  <si>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</si>
  <si>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</si>
  <si>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</si>
  <si>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</si>
  <si>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</si>
  <si>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</si>
  <si>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</si>
  <si>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</si>
  <si>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</si>
  <si>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</si>
  <si>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</si>
  <si>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</si>
  <si>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</si>
  <si>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</si>
  <si>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</si>
  <si>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</si>
  <si>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</si>
  <si>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</si>
  <si>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</si>
  <si>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</si>
  <si>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</si>
  <si>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</si>
  <si>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</si>
  <si>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</si>
  <si>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</si>
  <si>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</si>
  <si>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</si>
  <si>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</si>
  <si>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</si>
  <si>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</si>
  <si>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</si>
  <si>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</si>
  <si>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</si>
  <si>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</si>
  <si>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</si>
  <si>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</si>
  <si>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</si>
  <si>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</si>
  <si>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</si>
  <si>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</si>
  <si>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</si>
  <si>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</si>
  <si>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</si>
  <si>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</si>
  <si>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</si>
  <si>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</si>
  <si>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</si>
  <si>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</si>
  <si>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</si>
  <si>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</si>
  <si>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</si>
  <si>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</si>
  <si>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</si>
  <si>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</si>
  <si>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</si>
  <si>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</si>
  <si>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</si>
  <si>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</si>
  <si>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</si>
  <si>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</si>
  <si>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</si>
  <si>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</si>
  <si>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</si>
  <si>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</si>
  <si>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</si>
  <si>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</si>
  <si>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</si>
  <si>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</si>
  <si>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</si>
  <si>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</si>
  <si>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</si>
  <si>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</si>
  <si>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</si>
  <si>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</si>
  <si>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</si>
  <si>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</si>
  <si>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</si>
  <si>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</si>
  <si>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</si>
  <si>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</si>
  <si>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</si>
  <si>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</si>
  <si>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</si>
  <si>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</si>
  <si>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</si>
  <si>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</si>
  <si>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</si>
  <si>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</si>
  <si>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</si>
  <si>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</si>
  <si>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</si>
  <si>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</si>
  <si>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</si>
  <si>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</si>
  <si>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</si>
  <si>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</si>
  <si>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</si>
  <si>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</si>
  <si>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</si>
  <si>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</si>
  <si>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</si>
  <si>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</si>
  <si>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</si>
  <si>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</si>
  <si>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</si>
  <si>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</si>
  <si>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</si>
  <si>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</si>
  <si>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</si>
  <si>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</si>
  <si>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</si>
  <si>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</si>
  <si>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</si>
  <si>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</si>
  <si>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</si>
  <si>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</si>
  <si>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</si>
  <si>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</si>
  <si>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</si>
  <si>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</si>
  <si>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</si>
  <si>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</si>
  <si>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</si>
  <si>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</si>
  <si>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</si>
  <si>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</si>
  <si>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</si>
  <si>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</si>
  <si>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</si>
  <si>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</si>
  <si>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</si>
  <si>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</si>
  <si>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</si>
  <si>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</si>
  <si>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</si>
  <si>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</si>
  <si>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</si>
  <si>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</si>
  <si>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</si>
  <si>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</si>
  <si>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</si>
  <si>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</si>
  <si>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</si>
  <si>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</si>
  <si>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</si>
  <si>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</si>
  <si>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</si>
  <si>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</si>
  <si>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</si>
  <si>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</si>
  <si>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</si>
  <si>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</si>
  <si>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</si>
  <si>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</si>
  <si>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</si>
  <si>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</si>
  <si>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</si>
  <si>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</si>
  <si>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</si>
  <si>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</si>
  <si>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</si>
  <si>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</si>
  <si>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</si>
  <si>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</si>
  <si>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</si>
  <si>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</si>
  <si>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</si>
  <si>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</si>
  <si>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</si>
  <si>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</si>
  <si>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</si>
  <si>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</si>
  <si>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</si>
  <si>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</si>
  <si>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</si>
  <si>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</si>
  <si>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</si>
  <si>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</si>
  <si>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</si>
  <si>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</si>
  <si>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</si>
  <si>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</si>
  <si>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</si>
  <si>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</si>
  <si>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</si>
  <si>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</si>
  <si>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</si>
  <si>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</si>
  <si>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</si>
  <si>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</si>
  <si>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</si>
  <si>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</si>
  <si>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</si>
  <si>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</si>
  <si>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</si>
  <si>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</si>
  <si>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</si>
  <si>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</si>
  <si>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</si>
  <si>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</si>
  <si>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</si>
  <si>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</si>
  <si>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</si>
  <si>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</si>
  <si>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</si>
  <si>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</si>
  <si>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</si>
  <si>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</si>
  <si>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</si>
  <si>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</si>
  <si>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</si>
  <si>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</si>
  <si>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</si>
  <si>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</si>
  <si>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</si>
  <si>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</si>
  <si>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</si>
  <si>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</si>
  <si>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</si>
  <si>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</si>
  <si>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</si>
  <si>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</si>
  <si>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</si>
  <si>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</si>
  <si>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</si>
  <si>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</si>
  <si>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</si>
  <si>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</si>
  <si>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</si>
  <si>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</si>
  <si>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</si>
  <si>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</si>
  <si>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</si>
  <si>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</si>
  <si>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</si>
  <si>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</si>
  <si>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</si>
  <si>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</si>
  <si>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</si>
  <si>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</si>
  <si>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</si>
  <si>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</si>
  <si>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</si>
  <si>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</si>
  <si>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</si>
  <si>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</si>
  <si>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</si>
  <si>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</si>
  <si>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</si>
  <si>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</si>
  <si>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</si>
  <si>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</si>
  <si>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</si>
  <si>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</si>
  <si>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</si>
  <si>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</si>
  <si>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</si>
  <si>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</si>
  <si>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</si>
  <si>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</si>
  <si>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</si>
  <si>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</si>
  <si>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</si>
  <si>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</si>
  <si>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</si>
  <si>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</si>
  <si>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</si>
  <si>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</si>
  <si>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</si>
  <si>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</si>
  <si>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</si>
  <si>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</si>
  <si>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</si>
  <si>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</si>
  <si>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</si>
  <si>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</si>
  <si>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</si>
  <si>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</si>
  <si>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</si>
  <si>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</si>
  <si>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</si>
  <si>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</si>
  <si>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</si>
  <si>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</si>
  <si>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</si>
  <si>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</si>
  <si>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</si>
  <si>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</si>
  <si>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</si>
  <si>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</si>
  <si>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</si>
  <si>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</si>
  <si>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</si>
  <si>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</si>
  <si>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</si>
  <si>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</si>
  <si>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</si>
  <si>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</si>
  <si>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</si>
  <si>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</si>
  <si>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</si>
  <si>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</si>
  <si>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</si>
  <si>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</si>
  <si>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</si>
  <si>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</si>
  <si>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</si>
  <si>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</si>
  <si>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</si>
  <si>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</si>
  <si>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</si>
  <si>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</si>
  <si>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</si>
  <si>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</si>
  <si>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</si>
  <si>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</si>
  <si>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</si>
  <si>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</si>
  <si>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</si>
  <si>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</si>
  <si>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</si>
  <si>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</si>
  <si>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</si>
  <si>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</si>
  <si>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</si>
  <si>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</si>
  <si>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</si>
  <si>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</si>
  <si>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</si>
  <si>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</si>
  <si>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</si>
  <si>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</si>
  <si>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</si>
  <si>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</si>
  <si>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</si>
  <si>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</si>
  <si>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</si>
  <si>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</si>
  <si>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</si>
  <si>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</si>
  <si>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</si>
  <si>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</si>
  <si>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</si>
  <si>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</si>
  <si>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</si>
  <si>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</si>
  <si>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</si>
  <si>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</si>
  <si>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</si>
  <si>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</si>
  <si>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</si>
  <si>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</si>
  <si>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</si>
  <si>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</si>
  <si>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</si>
  <si>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</si>
  <si>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</si>
  <si>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</si>
  <si>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</si>
  <si>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</si>
  <si>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</si>
  <si>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</si>
  <si>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</si>
  <si>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</si>
  <si>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</si>
  <si>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</si>
  <si>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</si>
  <si>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</si>
  <si>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</si>
  <si>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</si>
  <si>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</si>
  <si>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</si>
  <si>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</si>
  <si>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</si>
  <si>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</si>
  <si>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</si>
  <si>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</si>
  <si>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</si>
  <si>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</si>
  <si>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</si>
  <si>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</si>
  <si>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</si>
  <si>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</si>
  <si>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</si>
  <si>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</si>
  <si>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</si>
  <si>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</si>
  <si>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</si>
  <si>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</si>
  <si>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</si>
  <si>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</si>
  <si>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</si>
  <si>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</si>
  <si>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</si>
  <si>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</si>
  <si>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</si>
  <si>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</si>
  <si>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</si>
  <si>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</si>
  <si>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</si>
  <si>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</si>
  <si>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</si>
  <si>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</si>
  <si>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</si>
  <si>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</si>
  <si>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</si>
  <si>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</si>
  <si>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</si>
  <si>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</si>
  <si>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</si>
  <si>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</si>
  <si>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</si>
  <si>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</si>
  <si>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</si>
  <si>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</si>
  <si>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</si>
  <si>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</si>
  <si>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</si>
  <si>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</si>
  <si>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</si>
  <si>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</si>
  <si>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</si>
  <si>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</si>
  <si>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</si>
  <si>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</si>
  <si>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</si>
  <si>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</si>
  <si>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</si>
  <si>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</si>
  <si>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</si>
  <si>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</si>
  <si>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</si>
  <si>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</si>
  <si>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</si>
  <si>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</si>
  <si>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</si>
  <si>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</si>
  <si>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</si>
  <si>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</si>
  <si>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</si>
  <si>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</si>
  <si>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</si>
  <si>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</si>
  <si>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</si>
  <si>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</si>
  <si>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</si>
  <si>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</si>
  <si>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</si>
  <si>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</si>
  <si>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</si>
  <si>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</si>
  <si>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</si>
  <si>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</si>
  <si>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</si>
  <si>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</si>
  <si>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</si>
  <si>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</si>
  <si>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</si>
  <si>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</si>
  <si>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</si>
  <si>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</si>
  <si>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</si>
  <si>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</si>
  <si>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</si>
  <si>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</si>
  <si>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</si>
  <si>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</si>
  <si>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</si>
  <si>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</si>
  <si>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</si>
  <si>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</si>
  <si>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</si>
  <si>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</si>
  <si>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</si>
  <si>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</si>
  <si>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</si>
  <si>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</si>
  <si>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</si>
  <si>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</si>
  <si>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</si>
  <si>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</si>
  <si>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</si>
  <si>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</si>
  <si>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</si>
  <si>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</si>
  <si>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</si>
  <si>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</si>
  <si>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</si>
  <si>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</si>
  <si>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</si>
  <si>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</si>
  <si>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</si>
  <si>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</si>
  <si>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</si>
  <si>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</si>
  <si>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</si>
  <si>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</si>
  <si>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</si>
  <si>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</si>
  <si>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</si>
  <si>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</si>
  <si>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</si>
  <si>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</si>
  <si>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</si>
  <si>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</si>
  <si>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</si>
  <si>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</si>
  <si>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</si>
  <si>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</si>
  <si>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</si>
  <si>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</si>
  <si>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</si>
  <si>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</si>
  <si>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</si>
  <si>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</si>
  <si>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</si>
  <si>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</si>
  <si>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</si>
  <si>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</si>
  <si>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</si>
  <si>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</si>
  <si>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</si>
  <si>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</si>
  <si>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</si>
  <si>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</si>
  <si>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</si>
  <si>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</si>
  <si>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</si>
  <si>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</si>
  <si>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</si>
  <si>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</si>
  <si>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</si>
  <si>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</si>
  <si>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</si>
  <si>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</si>
  <si>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</si>
  <si>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</si>
  <si>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</si>
  <si>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</si>
  <si>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</si>
  <si>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</si>
  <si>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</si>
  <si>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</si>
  <si>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</si>
  <si>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</si>
  <si>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</si>
  <si>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</si>
  <si>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</si>
  <si>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</si>
  <si>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</si>
  <si>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</si>
  <si>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</si>
  <si>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</si>
  <si>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</si>
  <si>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</si>
  <si>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</si>
  <si>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</si>
  <si>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</si>
  <si>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</si>
  <si>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</si>
  <si>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</si>
  <si>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</si>
  <si>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</si>
  <si>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</si>
  <si>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</si>
  <si>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</si>
  <si>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</si>
  <si>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</si>
  <si>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</si>
  <si>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</si>
  <si>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</si>
  <si>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</si>
  <si>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</si>
  <si>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</si>
  <si>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</si>
  <si>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</si>
  <si>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</si>
  <si>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</si>
  <si>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</si>
  <si>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</si>
  <si>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</si>
  <si>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</si>
  <si>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</si>
  <si>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</si>
  <si>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</si>
  <si>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</si>
  <si>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</si>
  <si>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</si>
  <si>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</si>
  <si>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</si>
  <si>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</si>
  <si>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</si>
  <si>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</si>
  <si>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</si>
  <si>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</si>
  <si>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</si>
  <si>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</si>
  <si>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</si>
  <si>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</si>
  <si>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</si>
  <si>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</si>
  <si>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</si>
  <si>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</si>
  <si>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</si>
  <si>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</si>
  <si>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</si>
  <si>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</si>
  <si>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</si>
  <si>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</si>
  <si>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</si>
  <si>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</si>
  <si>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</si>
  <si>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</si>
  <si>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</si>
  <si>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</si>
  <si>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</si>
  <si>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</si>
  <si>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</si>
  <si>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</si>
  <si>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</si>
  <si>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</si>
  <si>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</si>
  <si>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</si>
  <si>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</si>
  <si>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</si>
  <si>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</si>
  <si>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</si>
  <si>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</si>
  <si>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</si>
  <si>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</si>
  <si>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</si>
  <si>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</si>
  <si>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</si>
  <si>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</si>
  <si>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</si>
  <si>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</si>
  <si>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</si>
  <si>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</si>
  <si>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</si>
  <si>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</si>
  <si>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</si>
  <si>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</si>
  <si>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</si>
  <si>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</si>
  <si>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</si>
  <si>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</si>
  <si>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</si>
  <si>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</si>
  <si>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</si>
  <si>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</si>
  <si>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</si>
  <si>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</si>
  <si>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</si>
  <si>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</si>
  <si>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</si>
  <si>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</si>
  <si>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</si>
  <si>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</si>
  <si>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</si>
  <si>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</si>
  <si>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</si>
  <si>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</si>
  <si>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</si>
  <si>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</si>
  <si>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</si>
  <si>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</si>
  <si>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</si>
  <si>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</si>
  <si>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</si>
  <si>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</si>
  <si>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</si>
  <si>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</si>
  <si>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</si>
  <si>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</si>
  <si>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</si>
  <si>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</si>
  <si>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</si>
  <si>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</si>
  <si>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</si>
  <si>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</si>
  <si>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</si>
  <si>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</si>
  <si>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</si>
  <si>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</si>
  <si>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</si>
  <si>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</si>
  <si>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</si>
  <si>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</si>
  <si>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</si>
  <si>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</si>
  <si>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</si>
  <si>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</si>
  <si>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</si>
  <si>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</si>
  <si>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</si>
  <si>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</si>
  <si>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</si>
  <si>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</si>
  <si>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</si>
  <si>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</si>
  <si>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</si>
  <si>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</si>
  <si>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</si>
  <si>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</si>
  <si>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</si>
  <si>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</si>
  <si>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</si>
  <si>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</si>
  <si>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</si>
  <si>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</si>
  <si>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</si>
  <si>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</si>
  <si>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</si>
  <si>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</si>
  <si>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</si>
  <si>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</si>
  <si>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</si>
  <si>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</si>
  <si>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</si>
  <si>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</si>
  <si>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</si>
  <si>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</si>
  <si>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</si>
  <si>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</si>
  <si>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</si>
  <si>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</si>
  <si>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</si>
  <si>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</si>
  <si>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</si>
  <si>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</si>
  <si>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</si>
  <si>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</si>
  <si>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</si>
  <si>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</si>
  <si>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</si>
  <si>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</si>
  <si>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</si>
  <si>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</si>
  <si>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</si>
  <si>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</si>
  <si>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</si>
  <si>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</si>
  <si>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</si>
  <si>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</si>
  <si>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</si>
  <si>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</si>
  <si>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</si>
  <si>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</si>
  <si>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</si>
  <si>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</si>
  <si>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</si>
  <si>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</si>
  <si>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</si>
  <si>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</si>
  <si>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</si>
  <si>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</si>
  <si>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</si>
  <si>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</si>
  <si>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</si>
  <si>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</si>
  <si>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</si>
  <si>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</si>
  <si>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</si>
  <si>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</si>
  <si>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</si>
  <si>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</si>
  <si>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</si>
  <si>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</si>
  <si>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</si>
  <si>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</si>
  <si>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</si>
  <si>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</si>
  <si>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</si>
  <si>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</si>
  <si>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</si>
  <si>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</si>
  <si>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</si>
  <si>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</si>
  <si>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</si>
  <si>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</si>
  <si>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</si>
  <si>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</si>
  <si>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</si>
  <si>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</si>
  <si>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</si>
  <si>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</si>
  <si>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</si>
  <si>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</si>
  <si>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</si>
  <si>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</si>
  <si>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</si>
  <si>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</si>
  <si>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</si>
  <si>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</si>
  <si>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</si>
  <si>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</si>
  <si>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</si>
  <si>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</si>
  <si>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</si>
  <si>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</si>
  <si>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</si>
  <si>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</si>
  <si>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</si>
  <si>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</si>
  <si>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</si>
  <si>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</si>
  <si>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</si>
  <si>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</si>
  <si>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</si>
  <si>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</si>
  <si>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</si>
  <si>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</si>
  <si>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</si>
  <si>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</si>
  <si>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</si>
  <si>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</si>
  <si>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[0.374303]</t>
  </si>
  <si>
    <t>0 [0.779874]</t>
  </si>
  <si>
    <t>0 [1.185907]</t>
  </si>
  <si>
    <t>0 [1.589154]</t>
  </si>
  <si>
    <t>0 [2.012301]</t>
  </si>
  <si>
    <t>0 [2.412768]</t>
  </si>
  <si>
    <t>0 [2.814030]</t>
  </si>
  <si>
    <t>0 [3.218836]</t>
  </si>
  <si>
    <t>0 [3.629732]</t>
  </si>
  <si>
    <t>0 [4.030683]</t>
  </si>
  <si>
    <t>0 [4.440615]</t>
  </si>
  <si>
    <t>0 [4.872780]</t>
  </si>
  <si>
    <t>0 [5.248502]</t>
  </si>
  <si>
    <t>0 [5.660298]</t>
  </si>
  <si>
    <t>0 [6.060861]</t>
  </si>
  <si>
    <t>0 [6.467442]</t>
  </si>
  <si>
    <t>0 [6.883901]</t>
  </si>
  <si>
    <t>0 [7.296228]</t>
  </si>
  <si>
    <t>0 [7.689098]</t>
  </si>
  <si>
    <t>0 [8.107077]</t>
  </si>
  <si>
    <t>0 [8.508575]</t>
  </si>
  <si>
    <t>0 [8.912708]</t>
  </si>
  <si>
    <t>0 [9.329116]</t>
  </si>
  <si>
    <t>0 [9.717405]</t>
  </si>
  <si>
    <t>vision^nFQ6^1^1^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</si>
</sst>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62.587980000000002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1.8565100000000001</c:v>
                </c:pt>
                <c:pt idx="1">
                  <c:v>1.91211</c:v>
                </c:pt>
                <c:pt idx="2">
                  <c:v>1.95964</c:v>
                </c:pt>
                <c:pt idx="3">
                  <c:v>1.9992199999999998</c:v>
                </c:pt>
                <c:pt idx="4">
                  <c:v>2.0351499999999998</c:v>
                </c:pt>
                <c:pt idx="5">
                  <c:v>2.0659100000000001</c:v>
                </c:pt>
                <c:pt idx="6">
                  <c:v>2.0907999999999998</c:v>
                </c:pt>
                <c:pt idx="7">
                  <c:v>2.11233</c:v>
                </c:pt>
                <c:pt idx="8">
                  <c:v>2.12723</c:v>
                </c:pt>
                <c:pt idx="9">
                  <c:v>2.1406700000000001</c:v>
                </c:pt>
                <c:pt idx="10">
                  <c:v>2.15496</c:v>
                </c:pt>
                <c:pt idx="11">
                  <c:v>2.1692900000000002</c:v>
                </c:pt>
                <c:pt idx="12">
                  <c:v>2.1824599999999998</c:v>
                </c:pt>
                <c:pt idx="13">
                  <c:v>2.1947000000000001</c:v>
                </c:pt>
                <c:pt idx="14">
                  <c:v>2.2071000000000001</c:v>
                </c:pt>
                <c:pt idx="15">
                  <c:v>2.21957</c:v>
                </c:pt>
                <c:pt idx="16">
                  <c:v>2.2326199999999998</c:v>
                </c:pt>
                <c:pt idx="17">
                  <c:v>2.2461700000000002</c:v>
                </c:pt>
                <c:pt idx="18">
                  <c:v>2.2551800000000002</c:v>
                </c:pt>
                <c:pt idx="19">
                  <c:v>2.26092</c:v>
                </c:pt>
                <c:pt idx="20">
                  <c:v>2.2667799999999998</c:v>
                </c:pt>
                <c:pt idx="21">
                  <c:v>2.2729300000000001</c:v>
                </c:pt>
                <c:pt idx="22">
                  <c:v>2.2790900000000001</c:v>
                </c:pt>
                <c:pt idx="23">
                  <c:v>2.2863800000000003</c:v>
                </c:pt>
                <c:pt idx="24">
                  <c:v>2.2913900000000003</c:v>
                </c:pt>
              </c:numCache>
            </c:numRef>
          </c:xVal>
          <c:yVal>
            <c:numRef>
              <c:f>[0]!FT_PH</c:f>
              <c:numCache>
                <c:formatCode>0.00</c:formatCode>
                <c:ptCount val="25"/>
                <c:pt idx="0">
                  <c:v>61.412599999999998</c:v>
                </c:pt>
                <c:pt idx="1">
                  <c:v>60.404100000000007</c:v>
                </c:pt>
                <c:pt idx="2">
                  <c:v>59.673299999999998</c:v>
                </c:pt>
                <c:pt idx="3">
                  <c:v>59.085200000000007</c:v>
                </c:pt>
                <c:pt idx="4">
                  <c:v>58.448699999999995</c:v>
                </c:pt>
                <c:pt idx="5">
                  <c:v>57.6892</c:v>
                </c:pt>
                <c:pt idx="6">
                  <c:v>56.954999999999998</c:v>
                </c:pt>
                <c:pt idx="7">
                  <c:v>56.317399999999992</c:v>
                </c:pt>
                <c:pt idx="8">
                  <c:v>55.858699999999992</c:v>
                </c:pt>
                <c:pt idx="9">
                  <c:v>55.403300000000002</c:v>
                </c:pt>
                <c:pt idx="10">
                  <c:v>54.907600000000002</c:v>
                </c:pt>
                <c:pt idx="11">
                  <c:v>54.414499999999997</c:v>
                </c:pt>
                <c:pt idx="12">
                  <c:v>54.001100000000001</c:v>
                </c:pt>
                <c:pt idx="13">
                  <c:v>53.621099999999998</c:v>
                </c:pt>
                <c:pt idx="14">
                  <c:v>53.222100000000005</c:v>
                </c:pt>
                <c:pt idx="15">
                  <c:v>52.800599999999996</c:v>
                </c:pt>
                <c:pt idx="16">
                  <c:v>52.345799999999997</c:v>
                </c:pt>
                <c:pt idx="17">
                  <c:v>51.841899999999995</c:v>
                </c:pt>
                <c:pt idx="18">
                  <c:v>51.5045</c:v>
                </c:pt>
                <c:pt idx="19">
                  <c:v>51.295100000000005</c:v>
                </c:pt>
                <c:pt idx="20">
                  <c:v>51.054400000000001</c:v>
                </c:pt>
                <c:pt idx="21">
                  <c:v>50.782799999999995</c:v>
                </c:pt>
                <c:pt idx="22">
                  <c:v>50.503799999999998</c:v>
                </c:pt>
                <c:pt idx="23">
                  <c:v>50.164400000000001</c:v>
                </c:pt>
                <c:pt idx="24">
                  <c:v>49.908500000000004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1.91211</c:v>
                </c:pt>
                <c:pt idx="1">
                  <c:v>2.2729300000000001</c:v>
                </c:pt>
              </c:numCache>
            </c:numRef>
          </c:xVal>
          <c:yVal>
            <c:numRef>
              <c:f>info!$W$2:$W$3</c:f>
              <c:numCache>
                <c:formatCode>0.00</c:formatCode>
                <c:ptCount val="2"/>
                <c:pt idx="0">
                  <c:v>60.404100000000007</c:v>
                </c:pt>
                <c:pt idx="1">
                  <c:v>50.782799999999995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2.2913900000000003</c:v>
                </c:pt>
                <c:pt idx="1">
                  <c:v>1.8565100000000001</c:v>
                </c:pt>
              </c:numCache>
            </c:numRef>
          </c:xVal>
          <c:yVal>
            <c:numRef>
              <c:f>info!$W$15:$W$16</c:f>
              <c:numCache>
                <c:formatCode>0.00_ </c:formatCode>
                <c:ptCount val="2"/>
                <c:pt idx="0">
                  <c:v>49.908500000000004</c:v>
                </c:pt>
                <c:pt idx="1">
                  <c:v>61.412599999999998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2.1527643999999997</c:v>
                </c:pt>
              </c:numCache>
            </c:numRef>
          </c:xVal>
          <c:yVal>
            <c:numRef>
              <c:f>info!$N$9</c:f>
              <c:numCache>
                <c:formatCode>0.0</c:formatCode>
                <c:ptCount val="1"/>
                <c:pt idx="0">
                  <c:v>54.544627999999996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27.018699999999999</c:v>
                </c:pt>
                <c:pt idx="1">
                  <c:v>29.27</c:v>
                </c:pt>
                <c:pt idx="2">
                  <c:v>38.487400000000001</c:v>
                </c:pt>
                <c:pt idx="3">
                  <c:v>31.170500000000001</c:v>
                </c:pt>
                <c:pt idx="4">
                  <c:v>72.020799999999994</c:v>
                </c:pt>
                <c:pt idx="5">
                  <c:v>72.886300000000006</c:v>
                </c:pt>
                <c:pt idx="6">
                  <c:v>12.4435</c:v>
                </c:pt>
                <c:pt idx="7">
                  <c:v>72.5655</c:v>
                </c:pt>
                <c:pt idx="8">
                  <c:v>19.221299999999999</c:v>
                </c:pt>
                <c:pt idx="9">
                  <c:v>25.738199999999999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62.587980000000002</c:v>
                </c:pt>
                <c:pt idx="1">
                  <c:v>62.587980000000002</c:v>
                </c:pt>
                <c:pt idx="2">
                  <c:v>0</c:v>
                </c:pt>
              </c:numCache>
            </c:numRef>
          </c:xVal>
          <c:yVal>
            <c:numRef>
              <c:f>'R2'!$I$5:$I$7</c:f>
              <c:numCache>
                <c:formatCode>0.0_ </c:formatCode>
                <c:ptCount val="3"/>
                <c:pt idx="0">
                  <c:v>0</c:v>
                </c:pt>
                <c:pt idx="1">
                  <c:v>71.46517842546605</c:v>
                </c:pt>
                <c:pt idx="2">
                  <c:v>71.46517842546605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35.817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35.81733333333333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1.0745199999999999</c:v>
                </c:pt>
                <c:pt idx="1">
                  <c:v>1.0745199999999999</c:v>
                </c:pt>
                <c:pt idx="2">
                  <c:v>0</c:v>
                </c:pt>
              </c:numCache>
            </c:numRef>
          </c:xVal>
          <c:yVal>
            <c:numRef>
              <c:f>'R3'!$I$6:$I$8</c:f>
              <c:numCache>
                <c:formatCode>0.0_ </c:formatCode>
                <c:ptCount val="3"/>
                <c:pt idx="0">
                  <c:v>0</c:v>
                </c:pt>
                <c:pt idx="1">
                  <c:v>12.345191499855709</c:v>
                </c:pt>
                <c:pt idx="2">
                  <c:v>12.345191499855709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0.10382997312248921</c:v>
                </c:pt>
                <c:pt idx="1">
                  <c:v>0.10382997312248921</c:v>
                </c:pt>
                <c:pt idx="2">
                  <c:v>-7</c:v>
                </c:pt>
              </c:numCache>
            </c:numRef>
          </c:xVal>
          <c:yVal>
            <c:numRef>
              <c:f>'R'!$I$5:$I$7</c:f>
              <c:numCache>
                <c:formatCode>0.0_ </c:formatCode>
                <c:ptCount val="3"/>
                <c:pt idx="0">
                  <c:v>0</c:v>
                </c:pt>
                <c:pt idx="1">
                  <c:v>63.64330557404827</c:v>
                </c:pt>
                <c:pt idx="2">
                  <c:v>63.64330557404827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0.10382997312248921</c:v>
                </c:pt>
              </c:numCache>
            </c:numRef>
          </c:xVal>
          <c:yVal>
            <c:numRef>
              <c:f>'R'!$I$4</c:f>
              <c:numCache>
                <c:formatCode>0.00_ </c:formatCode>
                <c:ptCount val="1"/>
                <c:pt idx="0">
                  <c:v>63.64330557404827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62.587980000000002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1.8565100000000001</c:v>
                </c:pt>
                <c:pt idx="1">
                  <c:v>1.91211</c:v>
                </c:pt>
                <c:pt idx="2">
                  <c:v>1.95964</c:v>
                </c:pt>
                <c:pt idx="3">
                  <c:v>1.9992199999999998</c:v>
                </c:pt>
                <c:pt idx="4">
                  <c:v>2.0351499999999998</c:v>
                </c:pt>
                <c:pt idx="5">
                  <c:v>2.0659100000000001</c:v>
                </c:pt>
                <c:pt idx="6">
                  <c:v>2.0907999999999998</c:v>
                </c:pt>
                <c:pt idx="7">
                  <c:v>2.11233</c:v>
                </c:pt>
                <c:pt idx="8">
                  <c:v>2.12723</c:v>
                </c:pt>
                <c:pt idx="9">
                  <c:v>2.1406700000000001</c:v>
                </c:pt>
                <c:pt idx="10">
                  <c:v>2.15496</c:v>
                </c:pt>
                <c:pt idx="11">
                  <c:v>2.1692900000000002</c:v>
                </c:pt>
                <c:pt idx="12">
                  <c:v>2.1824599999999998</c:v>
                </c:pt>
                <c:pt idx="13">
                  <c:v>2.1947000000000001</c:v>
                </c:pt>
                <c:pt idx="14">
                  <c:v>2.2071000000000001</c:v>
                </c:pt>
                <c:pt idx="15">
                  <c:v>2.21957</c:v>
                </c:pt>
                <c:pt idx="16">
                  <c:v>2.2326199999999998</c:v>
                </c:pt>
                <c:pt idx="17">
                  <c:v>2.2461700000000002</c:v>
                </c:pt>
                <c:pt idx="18">
                  <c:v>2.2551800000000002</c:v>
                </c:pt>
                <c:pt idx="19">
                  <c:v>2.26092</c:v>
                </c:pt>
                <c:pt idx="20">
                  <c:v>2.2667799999999998</c:v>
                </c:pt>
                <c:pt idx="21">
                  <c:v>2.2729300000000001</c:v>
                </c:pt>
                <c:pt idx="22">
                  <c:v>2.2790900000000001</c:v>
                </c:pt>
                <c:pt idx="23">
                  <c:v>2.2863800000000003</c:v>
                </c:pt>
                <c:pt idx="24">
                  <c:v>2.2913900000000003</c:v>
                </c:pt>
              </c:numCache>
            </c:numRef>
          </c:xVal>
          <c:yVal>
            <c:numRef>
              <c:f>[0]!FT_PH</c:f>
              <c:numCache>
                <c:formatCode>0.00</c:formatCode>
                <c:ptCount val="25"/>
                <c:pt idx="0">
                  <c:v>61.412599999999998</c:v>
                </c:pt>
                <c:pt idx="1">
                  <c:v>60.404100000000007</c:v>
                </c:pt>
                <c:pt idx="2">
                  <c:v>59.673299999999998</c:v>
                </c:pt>
                <c:pt idx="3">
                  <c:v>59.085200000000007</c:v>
                </c:pt>
                <c:pt idx="4">
                  <c:v>58.448699999999995</c:v>
                </c:pt>
                <c:pt idx="5">
                  <c:v>57.6892</c:v>
                </c:pt>
                <c:pt idx="6">
                  <c:v>56.954999999999998</c:v>
                </c:pt>
                <c:pt idx="7">
                  <c:v>56.317399999999992</c:v>
                </c:pt>
                <c:pt idx="8">
                  <c:v>55.858699999999992</c:v>
                </c:pt>
                <c:pt idx="9">
                  <c:v>55.403300000000002</c:v>
                </c:pt>
                <c:pt idx="10">
                  <c:v>54.907600000000002</c:v>
                </c:pt>
                <c:pt idx="11">
                  <c:v>54.414499999999997</c:v>
                </c:pt>
                <c:pt idx="12">
                  <c:v>54.001100000000001</c:v>
                </c:pt>
                <c:pt idx="13">
                  <c:v>53.621099999999998</c:v>
                </c:pt>
                <c:pt idx="14">
                  <c:v>53.222100000000005</c:v>
                </c:pt>
                <c:pt idx="15">
                  <c:v>52.800599999999996</c:v>
                </c:pt>
                <c:pt idx="16">
                  <c:v>52.345799999999997</c:v>
                </c:pt>
                <c:pt idx="17">
                  <c:v>51.841899999999995</c:v>
                </c:pt>
                <c:pt idx="18">
                  <c:v>51.5045</c:v>
                </c:pt>
                <c:pt idx="19">
                  <c:v>51.295100000000005</c:v>
                </c:pt>
                <c:pt idx="20">
                  <c:v>51.054400000000001</c:v>
                </c:pt>
                <c:pt idx="21">
                  <c:v>50.782799999999995</c:v>
                </c:pt>
                <c:pt idx="22">
                  <c:v>50.503799999999998</c:v>
                </c:pt>
                <c:pt idx="23">
                  <c:v>50.164400000000001</c:v>
                </c:pt>
                <c:pt idx="24">
                  <c:v>49.908500000000004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1.91211</c:v>
                </c:pt>
                <c:pt idx="1">
                  <c:v>2.2729300000000001</c:v>
                </c:pt>
              </c:numCache>
            </c:numRef>
          </c:xVal>
          <c:yVal>
            <c:numRef>
              <c:f>info!$W$2:$W$3</c:f>
              <c:numCache>
                <c:formatCode>0.00</c:formatCode>
                <c:ptCount val="2"/>
                <c:pt idx="0">
                  <c:v>60.404100000000007</c:v>
                </c:pt>
                <c:pt idx="1">
                  <c:v>50.782799999999995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2.2913900000000003</c:v>
                </c:pt>
                <c:pt idx="1">
                  <c:v>1.8565100000000001</c:v>
                </c:pt>
              </c:numCache>
            </c:numRef>
          </c:xVal>
          <c:yVal>
            <c:numRef>
              <c:f>info!$W$15:$W$16</c:f>
              <c:numCache>
                <c:formatCode>0.00_ </c:formatCode>
                <c:ptCount val="2"/>
                <c:pt idx="0">
                  <c:v>49.908500000000004</c:v>
                </c:pt>
                <c:pt idx="1">
                  <c:v>61.412599999999998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2.1527643999999997</c:v>
                </c:pt>
              </c:numCache>
            </c:numRef>
          </c:xVal>
          <c:yVal>
            <c:numRef>
              <c:f>info!$N$9</c:f>
              <c:numCache>
                <c:formatCode>0.0</c:formatCode>
                <c:ptCount val="1"/>
                <c:pt idx="0">
                  <c:v>54.544627999999996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27.018699999999999</c:v>
                </c:pt>
                <c:pt idx="1">
                  <c:v>29.27</c:v>
                </c:pt>
                <c:pt idx="2">
                  <c:v>38.487400000000001</c:v>
                </c:pt>
                <c:pt idx="3">
                  <c:v>31.170500000000001</c:v>
                </c:pt>
                <c:pt idx="4">
                  <c:v>72.020799999999994</c:v>
                </c:pt>
                <c:pt idx="5">
                  <c:v>72.886300000000006</c:v>
                </c:pt>
                <c:pt idx="6">
                  <c:v>12.4435</c:v>
                </c:pt>
                <c:pt idx="7">
                  <c:v>72.5655</c:v>
                </c:pt>
                <c:pt idx="8">
                  <c:v>19.221299999999999</c:v>
                </c:pt>
                <c:pt idx="9">
                  <c:v>25.738199999999999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62.587980000000002</c:v>
                </c:pt>
                <c:pt idx="1">
                  <c:v>62.587980000000002</c:v>
                </c:pt>
                <c:pt idx="2">
                  <c:v>0</c:v>
                </c:pt>
              </c:numCache>
            </c:numRef>
          </c:xVal>
          <c:yVal>
            <c:numRef>
              <c:f>'R2'!$I$5:$I$7</c:f>
              <c:numCache>
                <c:formatCode>0.0_ </c:formatCode>
                <c:ptCount val="3"/>
                <c:pt idx="0">
                  <c:v>0</c:v>
                </c:pt>
                <c:pt idx="1">
                  <c:v>71.46517842546605</c:v>
                </c:pt>
                <c:pt idx="2">
                  <c:v>71.46517842546605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35.817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35.81733333333333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1.0745199999999999</c:v>
                </c:pt>
                <c:pt idx="1">
                  <c:v>1.0745199999999999</c:v>
                </c:pt>
                <c:pt idx="2">
                  <c:v>0</c:v>
                </c:pt>
              </c:numCache>
            </c:numRef>
          </c:xVal>
          <c:yVal>
            <c:numRef>
              <c:f>'R3'!$I$6:$I$8</c:f>
              <c:numCache>
                <c:formatCode>0.0_ </c:formatCode>
                <c:ptCount val="3"/>
                <c:pt idx="0">
                  <c:v>0</c:v>
                </c:pt>
                <c:pt idx="1">
                  <c:v>12.345191499855709</c:v>
                </c:pt>
                <c:pt idx="2">
                  <c:v>12.345191499855709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0.10382997312248921</c:v>
                </c:pt>
                <c:pt idx="1">
                  <c:v>0.10382997312248921</c:v>
                </c:pt>
                <c:pt idx="2">
                  <c:v>-7</c:v>
                </c:pt>
              </c:numCache>
            </c:numRef>
          </c:xVal>
          <c:yVal>
            <c:numRef>
              <c:f>'R'!$I$5:$I$7</c:f>
              <c:numCache>
                <c:formatCode>0.0_ </c:formatCode>
                <c:ptCount val="3"/>
                <c:pt idx="0">
                  <c:v>0</c:v>
                </c:pt>
                <c:pt idx="1">
                  <c:v>63.64330557404827</c:v>
                </c:pt>
                <c:pt idx="2">
                  <c:v>63.64330557404827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0.10382997312248921</c:v>
                </c:pt>
              </c:numCache>
            </c:numRef>
          </c:xVal>
          <c:yVal>
            <c:numRef>
              <c:f>'R'!$I$4</c:f>
              <c:numCache>
                <c:formatCode>0.00_ </c:formatCode>
                <c:ptCount val="1"/>
                <c:pt idx="0">
                  <c:v>63.64330557404827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0.374303</c:v>
                </c:pt>
                <c:pt idx="2">
                  <c:v>0.77987399999999996</c:v>
                </c:pt>
                <c:pt idx="3">
                  <c:v>1.18591</c:v>
                </c:pt>
                <c:pt idx="4">
                  <c:v>1.5891500000000001</c:v>
                </c:pt>
                <c:pt idx="5">
                  <c:v>2.0123000000000002</c:v>
                </c:pt>
                <c:pt idx="6">
                  <c:v>2.4127700000000001</c:v>
                </c:pt>
                <c:pt idx="7">
                  <c:v>2.8140299999999998</c:v>
                </c:pt>
                <c:pt idx="8">
                  <c:v>3.2188400000000001</c:v>
                </c:pt>
                <c:pt idx="9">
                  <c:v>3.6297299999999999</c:v>
                </c:pt>
                <c:pt idx="10">
                  <c:v>4.0306800000000003</c:v>
                </c:pt>
                <c:pt idx="11">
                  <c:v>4.44062</c:v>
                </c:pt>
                <c:pt idx="12">
                  <c:v>4.8727799999999997</c:v>
                </c:pt>
                <c:pt idx="13">
                  <c:v>5.2484999999999999</c:v>
                </c:pt>
                <c:pt idx="14">
                  <c:v>5.6603000000000003</c:v>
                </c:pt>
                <c:pt idx="15">
                  <c:v>6.0608599999999999</c:v>
                </c:pt>
                <c:pt idx="16">
                  <c:v>6.4674399999999999</c:v>
                </c:pt>
                <c:pt idx="17">
                  <c:v>6.8838999999999997</c:v>
                </c:pt>
                <c:pt idx="18">
                  <c:v>7.2962300000000004</c:v>
                </c:pt>
                <c:pt idx="19">
                  <c:v>7.6890999999999998</c:v>
                </c:pt>
                <c:pt idx="20">
                  <c:v>8.1070799999999998</c:v>
                </c:pt>
                <c:pt idx="21">
                  <c:v>8.5085700000000006</c:v>
                </c:pt>
                <c:pt idx="22">
                  <c:v>8.9127100000000006</c:v>
                </c:pt>
                <c:pt idx="23">
                  <c:v>9.3291199999999996</c:v>
                </c:pt>
                <c:pt idx="24">
                  <c:v>9.7174099999999992</c:v>
                </c:pt>
              </c:numCache>
            </c:numRef>
          </c:xVal>
          <c:yVal>
            <c:numRef>
              <c:f>FT!$J$2:$J$2000</c:f>
              <c:numCache>
                <c:formatCode>General</c:formatCode>
                <c:ptCount val="1999"/>
                <c:pt idx="0">
                  <c:v>1.8565100000000001</c:v>
                </c:pt>
                <c:pt idx="1">
                  <c:v>1.91211</c:v>
                </c:pt>
                <c:pt idx="2">
                  <c:v>1.95964</c:v>
                </c:pt>
                <c:pt idx="3">
                  <c:v>1.9992199999999998</c:v>
                </c:pt>
                <c:pt idx="4">
                  <c:v>2.0351499999999998</c:v>
                </c:pt>
                <c:pt idx="5">
                  <c:v>2.0659100000000001</c:v>
                </c:pt>
                <c:pt idx="6">
                  <c:v>2.0907999999999998</c:v>
                </c:pt>
                <c:pt idx="7">
                  <c:v>2.11233</c:v>
                </c:pt>
                <c:pt idx="8">
                  <c:v>2.12723</c:v>
                </c:pt>
                <c:pt idx="9">
                  <c:v>2.1406700000000001</c:v>
                </c:pt>
                <c:pt idx="10">
                  <c:v>2.15496</c:v>
                </c:pt>
                <c:pt idx="11">
                  <c:v>2.1692900000000002</c:v>
                </c:pt>
                <c:pt idx="12">
                  <c:v>2.1824599999999998</c:v>
                </c:pt>
                <c:pt idx="13">
                  <c:v>2.1947000000000001</c:v>
                </c:pt>
                <c:pt idx="14">
                  <c:v>2.2071000000000001</c:v>
                </c:pt>
                <c:pt idx="15">
                  <c:v>2.21957</c:v>
                </c:pt>
                <c:pt idx="16">
                  <c:v>2.2326199999999998</c:v>
                </c:pt>
                <c:pt idx="17">
                  <c:v>2.2461700000000002</c:v>
                </c:pt>
                <c:pt idx="18">
                  <c:v>2.2551800000000002</c:v>
                </c:pt>
                <c:pt idx="19">
                  <c:v>2.26092</c:v>
                </c:pt>
                <c:pt idx="20">
                  <c:v>2.2667799999999998</c:v>
                </c:pt>
                <c:pt idx="21">
                  <c:v>2.2729300000000001</c:v>
                </c:pt>
                <c:pt idx="22">
                  <c:v>2.2790900000000001</c:v>
                </c:pt>
                <c:pt idx="23">
                  <c:v>2.2863800000000003</c:v>
                </c:pt>
                <c:pt idx="24">
                  <c:v>2.2913900000000003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1.8565100000000001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1.8565100000000001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1.8565100000000001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1.8565100000000001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1.8565100000000001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1.8565100000000001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1.8565100000000001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1.8565100000000001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1.8565100000000001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1.8565100000000001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1.8565100000000001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1.8565100000000001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1.8565100000000001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1.8565100000000001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1.8565100000000001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1.8565100000000001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1.8565100000000001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1.8565100000000001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1.8565100000000001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1.8565100000000001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1.8565100000000001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1.8565100000000001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1.8565100000000001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1.8565100000000001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0.374303</c:v>
                </c:pt>
                <c:pt idx="2">
                  <c:v>0.77987399999999996</c:v>
                </c:pt>
                <c:pt idx="3">
                  <c:v>1.18591</c:v>
                </c:pt>
                <c:pt idx="4">
                  <c:v>1.5891500000000001</c:v>
                </c:pt>
                <c:pt idx="5">
                  <c:v>2.0123000000000002</c:v>
                </c:pt>
                <c:pt idx="6">
                  <c:v>2.4127700000000001</c:v>
                </c:pt>
                <c:pt idx="7">
                  <c:v>2.8140299999999998</c:v>
                </c:pt>
                <c:pt idx="8">
                  <c:v>3.2188400000000001</c:v>
                </c:pt>
                <c:pt idx="9">
                  <c:v>3.6297299999999999</c:v>
                </c:pt>
                <c:pt idx="10">
                  <c:v>4.0306800000000003</c:v>
                </c:pt>
                <c:pt idx="11">
                  <c:v>4.44062</c:v>
                </c:pt>
                <c:pt idx="12">
                  <c:v>4.8727799999999997</c:v>
                </c:pt>
                <c:pt idx="13">
                  <c:v>5.2484999999999999</c:v>
                </c:pt>
                <c:pt idx="14">
                  <c:v>5.6603000000000003</c:v>
                </c:pt>
                <c:pt idx="15">
                  <c:v>6.0608599999999999</c:v>
                </c:pt>
                <c:pt idx="16">
                  <c:v>6.4674399999999999</c:v>
                </c:pt>
                <c:pt idx="17">
                  <c:v>6.8838999999999997</c:v>
                </c:pt>
                <c:pt idx="18">
                  <c:v>7.2962300000000004</c:v>
                </c:pt>
                <c:pt idx="19">
                  <c:v>7.6890999999999998</c:v>
                </c:pt>
                <c:pt idx="20">
                  <c:v>8.1070799999999998</c:v>
                </c:pt>
                <c:pt idx="21">
                  <c:v>8.5085700000000006</c:v>
                </c:pt>
                <c:pt idx="22">
                  <c:v>8.9127100000000006</c:v>
                </c:pt>
                <c:pt idx="23">
                  <c:v>9.3291199999999996</c:v>
                </c:pt>
                <c:pt idx="24">
                  <c:v>9.7174099999999992</c:v>
                </c:pt>
              </c:numCache>
            </c:numRef>
          </c:xVal>
          <c:yVal>
            <c:numRef>
              <c:f>FT!$K$2:$K$2000</c:f>
              <c:numCache>
                <c:formatCode>General</c:formatCode>
                <c:ptCount val="1999"/>
                <c:pt idx="0">
                  <c:v>61.412599999999998</c:v>
                </c:pt>
                <c:pt idx="1">
                  <c:v>60.404100000000007</c:v>
                </c:pt>
                <c:pt idx="2">
                  <c:v>59.673299999999998</c:v>
                </c:pt>
                <c:pt idx="3">
                  <c:v>59.085200000000007</c:v>
                </c:pt>
                <c:pt idx="4">
                  <c:v>58.448699999999995</c:v>
                </c:pt>
                <c:pt idx="5">
                  <c:v>57.6892</c:v>
                </c:pt>
                <c:pt idx="6">
                  <c:v>56.954999999999998</c:v>
                </c:pt>
                <c:pt idx="7">
                  <c:v>56.317399999999992</c:v>
                </c:pt>
                <c:pt idx="8">
                  <c:v>55.858699999999992</c:v>
                </c:pt>
                <c:pt idx="9">
                  <c:v>55.403300000000002</c:v>
                </c:pt>
                <c:pt idx="10">
                  <c:v>54.907600000000002</c:v>
                </c:pt>
                <c:pt idx="11">
                  <c:v>54.414499999999997</c:v>
                </c:pt>
                <c:pt idx="12">
                  <c:v>54.001100000000001</c:v>
                </c:pt>
                <c:pt idx="13">
                  <c:v>53.621099999999998</c:v>
                </c:pt>
                <c:pt idx="14">
                  <c:v>53.222100000000005</c:v>
                </c:pt>
                <c:pt idx="15">
                  <c:v>52.800599999999996</c:v>
                </c:pt>
                <c:pt idx="16">
                  <c:v>52.345799999999997</c:v>
                </c:pt>
                <c:pt idx="17">
                  <c:v>51.841899999999995</c:v>
                </c:pt>
                <c:pt idx="18">
                  <c:v>51.5045</c:v>
                </c:pt>
                <c:pt idx="19">
                  <c:v>51.295100000000005</c:v>
                </c:pt>
                <c:pt idx="20">
                  <c:v>51.054400000000001</c:v>
                </c:pt>
                <c:pt idx="21">
                  <c:v>50.782799999999995</c:v>
                </c:pt>
                <c:pt idx="22">
                  <c:v>50.503799999999998</c:v>
                </c:pt>
                <c:pt idx="23">
                  <c:v>50.164400000000001</c:v>
                </c:pt>
                <c:pt idx="24">
                  <c:v>49.908500000000004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61.412599999999998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61.412599999999998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61.412599999999998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61.412599999999998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61.412599999999998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61.412599999999998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61.412599999999998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61.412599999999998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61.412599999999998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61.412599999999998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61.412599999999998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61.412599999999998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61.412599999999998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61.412599999999998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61.412599999999998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61.412599999999998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61.412599999999998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61.412599999999998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61.412599999999998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61.412599999999998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61.412599999999998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61.412599999999998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61.412599999999998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61.412599999999998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0.374303</c:v>
                </c:pt>
                <c:pt idx="2">
                  <c:v>0.77987399999999996</c:v>
                </c:pt>
                <c:pt idx="3">
                  <c:v>1.18591</c:v>
                </c:pt>
                <c:pt idx="4">
                  <c:v>1.5891500000000001</c:v>
                </c:pt>
                <c:pt idx="5">
                  <c:v>2.0123000000000002</c:v>
                </c:pt>
                <c:pt idx="6">
                  <c:v>2.4127700000000001</c:v>
                </c:pt>
                <c:pt idx="7">
                  <c:v>2.8140299999999998</c:v>
                </c:pt>
                <c:pt idx="8">
                  <c:v>3.2188400000000001</c:v>
                </c:pt>
                <c:pt idx="9">
                  <c:v>3.6297299999999999</c:v>
                </c:pt>
                <c:pt idx="10">
                  <c:v>4.0306800000000003</c:v>
                </c:pt>
                <c:pt idx="11">
                  <c:v>4.44062</c:v>
                </c:pt>
                <c:pt idx="12">
                  <c:v>4.8727799999999997</c:v>
                </c:pt>
                <c:pt idx="13">
                  <c:v>5.2484999999999999</c:v>
                </c:pt>
                <c:pt idx="14">
                  <c:v>5.6603000000000003</c:v>
                </c:pt>
                <c:pt idx="15">
                  <c:v>6.0608599999999999</c:v>
                </c:pt>
                <c:pt idx="16">
                  <c:v>6.4674399999999999</c:v>
                </c:pt>
                <c:pt idx="17">
                  <c:v>6.8838999999999997</c:v>
                </c:pt>
                <c:pt idx="18">
                  <c:v>7.2962300000000004</c:v>
                </c:pt>
                <c:pt idx="19">
                  <c:v>7.6890999999999998</c:v>
                </c:pt>
                <c:pt idx="20">
                  <c:v>8.1070799999999998</c:v>
                </c:pt>
                <c:pt idx="21">
                  <c:v>8.5085700000000006</c:v>
                </c:pt>
                <c:pt idx="22">
                  <c:v>8.9127100000000006</c:v>
                </c:pt>
                <c:pt idx="23">
                  <c:v>9.3291199999999996</c:v>
                </c:pt>
                <c:pt idx="24">
                  <c:v>9.7174099999999992</c:v>
                </c:pt>
              </c:numCache>
            </c:numRef>
          </c:xVal>
          <c:yVal>
            <c:numRef>
              <c:f>FT!$L$2:$L$2000</c:f>
              <c:numCache>
                <c:formatCode>General</c:formatCode>
                <c:ptCount val="1999"/>
                <c:pt idx="0">
                  <c:v>33.079595585264819</c:v>
                </c:pt>
                <c:pt idx="1">
                  <c:v>31.590285077741346</c:v>
                </c:pt>
                <c:pt idx="2">
                  <c:v>30.451154293645768</c:v>
                </c:pt>
                <c:pt idx="3">
                  <c:v>29.554126109182587</c:v>
                </c:pt>
                <c:pt idx="4">
                  <c:v>28.719602977667495</c:v>
                </c:pt>
                <c:pt idx="5">
                  <c:v>27.924352948579557</c:v>
                </c:pt>
                <c:pt idx="6">
                  <c:v>27.240769083604363</c:v>
                </c:pt>
                <c:pt idx="7">
                  <c:v>26.661269782657062</c:v>
                </c:pt>
                <c:pt idx="8">
                  <c:v>26.258890670026275</c:v>
                </c:pt>
                <c:pt idx="9">
                  <c:v>25.881289502819211</c:v>
                </c:pt>
                <c:pt idx="10">
                  <c:v>25.479637673089062</c:v>
                </c:pt>
                <c:pt idx="11">
                  <c:v>25.084013663456705</c:v>
                </c:pt>
                <c:pt idx="12">
                  <c:v>24.743225534488605</c:v>
                </c:pt>
                <c:pt idx="13">
                  <c:v>24.432086389939396</c:v>
                </c:pt>
                <c:pt idx="14">
                  <c:v>24.114041049340766</c:v>
                </c:pt>
                <c:pt idx="15">
                  <c:v>23.788661767819892</c:v>
                </c:pt>
                <c:pt idx="16">
                  <c:v>23.445906603004541</c:v>
                </c:pt>
                <c:pt idx="17">
                  <c:v>23.080131957955093</c:v>
                </c:pt>
                <c:pt idx="18">
                  <c:v>22.838310024033557</c:v>
                </c:pt>
                <c:pt idx="19">
                  <c:v>22.687711197211755</c:v>
                </c:pt>
                <c:pt idx="20">
                  <c:v>22.522873856307186</c:v>
                </c:pt>
                <c:pt idx="21">
                  <c:v>22.34243905443634</c:v>
                </c:pt>
                <c:pt idx="22">
                  <c:v>22.159633888964454</c:v>
                </c:pt>
                <c:pt idx="23">
                  <c:v>21.940534819233896</c:v>
                </c:pt>
                <c:pt idx="24">
                  <c:v>21.780884092188582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9.6066702918252672E-2</c:v>
                </c:pt>
                <c:pt idx="7">
                  <c:v>0</c:v>
                </c:pt>
                <c:pt idx="8">
                  <c:v>0.14138118542686243</c:v>
                </c:pt>
                <c:pt idx="9">
                  <c:v>0</c:v>
                </c:pt>
                <c:pt idx="10">
                  <c:v>0</c:v>
                </c:pt>
                <c:pt idx="11">
                  <c:v>0.13866231647634583</c:v>
                </c:pt>
                <c:pt idx="12">
                  <c:v>0</c:v>
                </c:pt>
                <c:pt idx="13">
                  <c:v>0.13213703099510601</c:v>
                </c:pt>
                <c:pt idx="14">
                  <c:v>0</c:v>
                </c:pt>
                <c:pt idx="15">
                  <c:v>0</c:v>
                </c:pt>
                <c:pt idx="16">
                  <c:v>0.23062035526554286</c:v>
                </c:pt>
                <c:pt idx="17">
                  <c:v>0</c:v>
                </c:pt>
                <c:pt idx="18">
                  <c:v>0</c:v>
                </c:pt>
                <c:pt idx="19">
                  <c:v>0.1324995468551749</c:v>
                </c:pt>
                <c:pt idx="20">
                  <c:v>0</c:v>
                </c:pt>
                <c:pt idx="21">
                  <c:v>0.14035390610839224</c:v>
                </c:pt>
                <c:pt idx="22">
                  <c:v>0</c:v>
                </c:pt>
                <c:pt idx="23">
                  <c:v>0</c:v>
                </c:pt>
                <c:pt idx="24">
                  <c:v>0.22681393873481961</c:v>
                </c:pt>
                <c:pt idx="25">
                  <c:v>0</c:v>
                </c:pt>
                <c:pt idx="26">
                  <c:v>0.40227161500815661</c:v>
                </c:pt>
                <c:pt idx="27">
                  <c:v>0</c:v>
                </c:pt>
                <c:pt idx="28">
                  <c:v>0</c:v>
                </c:pt>
                <c:pt idx="29">
                  <c:v>0.69186151894145365</c:v>
                </c:pt>
                <c:pt idx="30">
                  <c:v>0</c:v>
                </c:pt>
                <c:pt idx="31">
                  <c:v>0.59440366141018663</c:v>
                </c:pt>
                <c:pt idx="32">
                  <c:v>0</c:v>
                </c:pt>
                <c:pt idx="33">
                  <c:v>0</c:v>
                </c:pt>
                <c:pt idx="34">
                  <c:v>0.56854721769077388</c:v>
                </c:pt>
                <c:pt idx="35">
                  <c:v>0</c:v>
                </c:pt>
                <c:pt idx="36">
                  <c:v>0</c:v>
                </c:pt>
                <c:pt idx="37">
                  <c:v>0.58588453869856805</c:v>
                </c:pt>
                <c:pt idx="38">
                  <c:v>0</c:v>
                </c:pt>
                <c:pt idx="39">
                  <c:v>0.63543139387348191</c:v>
                </c:pt>
                <c:pt idx="40">
                  <c:v>0</c:v>
                </c:pt>
                <c:pt idx="41">
                  <c:v>0</c:v>
                </c:pt>
                <c:pt idx="42">
                  <c:v>0.56238444806960297</c:v>
                </c:pt>
                <c:pt idx="43">
                  <c:v>0</c:v>
                </c:pt>
                <c:pt idx="44">
                  <c:v>0.78442541236179075</c:v>
                </c:pt>
                <c:pt idx="45">
                  <c:v>0</c:v>
                </c:pt>
                <c:pt idx="46">
                  <c:v>0</c:v>
                </c:pt>
                <c:pt idx="47">
                  <c:v>1</c:v>
                </c:pt>
                <c:pt idx="48">
                  <c:v>0</c:v>
                </c:pt>
                <c:pt idx="49">
                  <c:v>0.74394145368859887</c:v>
                </c:pt>
                <c:pt idx="50">
                  <c:v>0</c:v>
                </c:pt>
                <c:pt idx="51">
                  <c:v>0</c:v>
                </c:pt>
                <c:pt idx="52">
                  <c:v>0.77542142468733</c:v>
                </c:pt>
                <c:pt idx="53">
                  <c:v>0</c:v>
                </c:pt>
                <c:pt idx="54">
                  <c:v>0</c:v>
                </c:pt>
                <c:pt idx="55">
                  <c:v>0.84182073590719597</c:v>
                </c:pt>
                <c:pt idx="56">
                  <c:v>0</c:v>
                </c:pt>
                <c:pt idx="57">
                  <c:v>0.76823001631321364</c:v>
                </c:pt>
                <c:pt idx="58">
                  <c:v>0</c:v>
                </c:pt>
                <c:pt idx="59">
                  <c:v>0</c:v>
                </c:pt>
                <c:pt idx="60">
                  <c:v>0.60757658147543947</c:v>
                </c:pt>
                <c:pt idx="61">
                  <c:v>0</c:v>
                </c:pt>
                <c:pt idx="62">
                  <c:v>0.59494743520029003</c:v>
                </c:pt>
                <c:pt idx="63">
                  <c:v>0</c:v>
                </c:pt>
                <c:pt idx="64">
                  <c:v>0</c:v>
                </c:pt>
                <c:pt idx="65">
                  <c:v>0.5037157875657059</c:v>
                </c:pt>
                <c:pt idx="66">
                  <c:v>0</c:v>
                </c:pt>
                <c:pt idx="67">
                  <c:v>0.49441272430668842</c:v>
                </c:pt>
                <c:pt idx="68">
                  <c:v>0</c:v>
                </c:pt>
                <c:pt idx="69">
                  <c:v>0</c:v>
                </c:pt>
                <c:pt idx="70">
                  <c:v>0.64854087366322266</c:v>
                </c:pt>
                <c:pt idx="71">
                  <c:v>0</c:v>
                </c:pt>
                <c:pt idx="72">
                  <c:v>0</c:v>
                </c:pt>
                <c:pt idx="73">
                  <c:v>0.51404748957766899</c:v>
                </c:pt>
                <c:pt idx="74">
                  <c:v>0</c:v>
                </c:pt>
                <c:pt idx="75">
                  <c:v>0.39320871850643463</c:v>
                </c:pt>
                <c:pt idx="76">
                  <c:v>0</c:v>
                </c:pt>
                <c:pt idx="77">
                  <c:v>0</c:v>
                </c:pt>
                <c:pt idx="78">
                  <c:v>0.38166893239079208</c:v>
                </c:pt>
                <c:pt idx="79">
                  <c:v>0</c:v>
                </c:pt>
                <c:pt idx="80">
                  <c:v>0.28330614464382814</c:v>
                </c:pt>
                <c:pt idx="81">
                  <c:v>0</c:v>
                </c:pt>
                <c:pt idx="82">
                  <c:v>0</c:v>
                </c:pt>
                <c:pt idx="83">
                  <c:v>0.26282399854993654</c:v>
                </c:pt>
                <c:pt idx="84">
                  <c:v>0</c:v>
                </c:pt>
                <c:pt idx="85">
                  <c:v>0</c:v>
                </c:pt>
                <c:pt idx="86">
                  <c:v>0.18409778865325355</c:v>
                </c:pt>
                <c:pt idx="87">
                  <c:v>0</c:v>
                </c:pt>
                <c:pt idx="88">
                  <c:v>0.18603090447707088</c:v>
                </c:pt>
                <c:pt idx="89">
                  <c:v>0</c:v>
                </c:pt>
                <c:pt idx="90">
                  <c:v>0</c:v>
                </c:pt>
                <c:pt idx="91">
                  <c:v>0.34632363603407645</c:v>
                </c:pt>
                <c:pt idx="92">
                  <c:v>0</c:v>
                </c:pt>
                <c:pt idx="93">
                  <c:v>0.2632467826717419</c:v>
                </c:pt>
                <c:pt idx="94">
                  <c:v>0</c:v>
                </c:pt>
                <c:pt idx="95">
                  <c:v>0</c:v>
                </c:pt>
                <c:pt idx="96">
                  <c:v>0.28795858256298712</c:v>
                </c:pt>
                <c:pt idx="97">
                  <c:v>0</c:v>
                </c:pt>
                <c:pt idx="98">
                  <c:v>0.49072412543048755</c:v>
                </c:pt>
                <c:pt idx="99">
                  <c:v>0</c:v>
                </c:pt>
                <c:pt idx="100">
                  <c:v>0</c:v>
                </c:pt>
                <c:pt idx="101">
                  <c:v>0.29629644734457128</c:v>
                </c:pt>
                <c:pt idx="102">
                  <c:v>0</c:v>
                </c:pt>
                <c:pt idx="103">
                  <c:v>0</c:v>
                </c:pt>
                <c:pt idx="104">
                  <c:v>0.14555011781765453</c:v>
                </c:pt>
                <c:pt idx="105">
                  <c:v>0</c:v>
                </c:pt>
                <c:pt idx="106">
                  <c:v>7.667210440456769E-2</c:v>
                </c:pt>
                <c:pt idx="107">
                  <c:v>0</c:v>
                </c:pt>
                <c:pt idx="108">
                  <c:v>0</c:v>
                </c:pt>
                <c:pt idx="109">
                  <c:v>7.7397136124705446E-2</c:v>
                </c:pt>
                <c:pt idx="110">
                  <c:v>0</c:v>
                </c:pt>
                <c:pt idx="111">
                  <c:v>4.573726663041508E-2</c:v>
                </c:pt>
                <c:pt idx="112">
                  <c:v>0</c:v>
                </c:pt>
                <c:pt idx="113">
                  <c:v>0</c:v>
                </c:pt>
                <c:pt idx="114">
                  <c:v>2.7188689505165849E-3</c:v>
                </c:pt>
                <c:pt idx="115">
                  <c:v>0</c:v>
                </c:pt>
                <c:pt idx="116">
                  <c:v>1.6796583288018852E-2</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0.47436781101674458</c:v>
                </c:pt>
                <c:pt idx="7">
                  <c:v>0</c:v>
                </c:pt>
                <c:pt idx="8">
                  <c:v>0.30370821629214823</c:v>
                </c:pt>
                <c:pt idx="9">
                  <c:v>0</c:v>
                </c:pt>
                <c:pt idx="10">
                  <c:v>0</c:v>
                </c:pt>
                <c:pt idx="11">
                  <c:v>0.24377780702677165</c:v>
                </c:pt>
                <c:pt idx="12">
                  <c:v>0</c:v>
                </c:pt>
                <c:pt idx="13">
                  <c:v>0.21050699156690744</c:v>
                </c:pt>
                <c:pt idx="14">
                  <c:v>0</c:v>
                </c:pt>
                <c:pt idx="15">
                  <c:v>0</c:v>
                </c:pt>
                <c:pt idx="16">
                  <c:v>0.18793426819227954</c:v>
                </c:pt>
                <c:pt idx="17">
                  <c:v>0</c:v>
                </c:pt>
                <c:pt idx="18">
                  <c:v>0</c:v>
                </c:pt>
                <c:pt idx="19">
                  <c:v>0.16791457452217498</c:v>
                </c:pt>
                <c:pt idx="20">
                  <c:v>0</c:v>
                </c:pt>
                <c:pt idx="21">
                  <c:v>0.14782137099054918</c:v>
                </c:pt>
                <c:pt idx="22">
                  <c:v>0</c:v>
                </c:pt>
                <c:pt idx="23">
                  <c:v>0</c:v>
                </c:pt>
                <c:pt idx="24">
                  <c:v>0.13019947222373382</c:v>
                </c:pt>
                <c:pt idx="25">
                  <c:v>0</c:v>
                </c:pt>
                <c:pt idx="26">
                  <c:v>0.1141440906792677</c:v>
                </c:pt>
                <c:pt idx="27">
                  <c:v>0</c:v>
                </c:pt>
                <c:pt idx="28">
                  <c:v>0</c:v>
                </c:pt>
                <c:pt idx="29">
                  <c:v>0.10448349112791086</c:v>
                </c:pt>
                <c:pt idx="30">
                  <c:v>0</c:v>
                </c:pt>
                <c:pt idx="31">
                  <c:v>9.2367929655157041E-2</c:v>
                </c:pt>
                <c:pt idx="32">
                  <c:v>0</c:v>
                </c:pt>
                <c:pt idx="33">
                  <c:v>0</c:v>
                </c:pt>
                <c:pt idx="34">
                  <c:v>7.8808377097363796E-2</c:v>
                </c:pt>
                <c:pt idx="35">
                  <c:v>0</c:v>
                </c:pt>
                <c:pt idx="36">
                  <c:v>0</c:v>
                </c:pt>
                <c:pt idx="37">
                  <c:v>6.7252430488632095E-2</c:v>
                </c:pt>
                <c:pt idx="38">
                  <c:v>0</c:v>
                </c:pt>
                <c:pt idx="39">
                  <c:v>5.6891291408223792E-2</c:v>
                </c:pt>
                <c:pt idx="40">
                  <c:v>0</c:v>
                </c:pt>
                <c:pt idx="41">
                  <c:v>0</c:v>
                </c:pt>
                <c:pt idx="42">
                  <c:v>4.6379016640741476E-2</c:v>
                </c:pt>
                <c:pt idx="43">
                  <c:v>0</c:v>
                </c:pt>
                <c:pt idx="44">
                  <c:v>3.8144023432962922E-2</c:v>
                </c:pt>
                <c:pt idx="45">
                  <c:v>0</c:v>
                </c:pt>
                <c:pt idx="46">
                  <c:v>0</c:v>
                </c:pt>
                <c:pt idx="47">
                  <c:v>3.1881996980886E-2</c:v>
                </c:pt>
                <c:pt idx="48">
                  <c:v>0</c:v>
                </c:pt>
                <c:pt idx="49">
                  <c:v>2.3971751343844255E-2</c:v>
                </c:pt>
                <c:pt idx="50">
                  <c:v>0</c:v>
                </c:pt>
                <c:pt idx="51">
                  <c:v>0</c:v>
                </c:pt>
                <c:pt idx="52">
                  <c:v>2.1279854190404082E-2</c:v>
                </c:pt>
                <c:pt idx="53">
                  <c:v>0</c:v>
                </c:pt>
                <c:pt idx="54">
                  <c:v>0</c:v>
                </c:pt>
                <c:pt idx="55">
                  <c:v>1.6937694422144958E-2</c:v>
                </c:pt>
                <c:pt idx="56">
                  <c:v>0</c:v>
                </c:pt>
                <c:pt idx="57">
                  <c:v>1.4319327043710367E-2</c:v>
                </c:pt>
                <c:pt idx="58">
                  <c:v>0</c:v>
                </c:pt>
                <c:pt idx="59">
                  <c:v>0</c:v>
                </c:pt>
                <c:pt idx="60">
                  <c:v>1.2207477521027011E-2</c:v>
                </c:pt>
                <c:pt idx="61">
                  <c:v>0</c:v>
                </c:pt>
                <c:pt idx="62">
                  <c:v>1.0369308204405328E-2</c:v>
                </c:pt>
                <c:pt idx="63">
                  <c:v>0</c:v>
                </c:pt>
                <c:pt idx="64">
                  <c:v>0</c:v>
                </c:pt>
                <c:pt idx="65">
                  <c:v>7.7938314076164252E-3</c:v>
                </c:pt>
                <c:pt idx="66">
                  <c:v>0</c:v>
                </c:pt>
                <c:pt idx="67">
                  <c:v>6.8236878095661235E-3</c:v>
                </c:pt>
                <c:pt idx="68">
                  <c:v>0</c:v>
                </c:pt>
                <c:pt idx="69">
                  <c:v>0</c:v>
                </c:pt>
                <c:pt idx="70">
                  <c:v>6.1456076272321334E-3</c:v>
                </c:pt>
                <c:pt idx="71">
                  <c:v>0</c:v>
                </c:pt>
                <c:pt idx="72">
                  <c:v>0</c:v>
                </c:pt>
                <c:pt idx="73">
                  <c:v>5.1325734475361449E-3</c:v>
                </c:pt>
                <c:pt idx="74">
                  <c:v>0</c:v>
                </c:pt>
                <c:pt idx="75">
                  <c:v>4.2768037126700194E-3</c:v>
                </c:pt>
                <c:pt idx="76">
                  <c:v>0</c:v>
                </c:pt>
                <c:pt idx="77">
                  <c:v>0</c:v>
                </c:pt>
                <c:pt idx="78">
                  <c:v>4.1420047417835724E-3</c:v>
                </c:pt>
                <c:pt idx="79">
                  <c:v>0</c:v>
                </c:pt>
                <c:pt idx="80">
                  <c:v>3.6763355696303891E-3</c:v>
                </c:pt>
                <c:pt idx="81">
                  <c:v>0</c:v>
                </c:pt>
                <c:pt idx="82">
                  <c:v>0</c:v>
                </c:pt>
                <c:pt idx="83">
                  <c:v>3.0819946525401428E-3</c:v>
                </c:pt>
                <c:pt idx="84">
                  <c:v>0</c:v>
                </c:pt>
                <c:pt idx="85">
                  <c:v>0</c:v>
                </c:pt>
                <c:pt idx="86">
                  <c:v>3.5394947006963094E-3</c:v>
                </c:pt>
                <c:pt idx="87">
                  <c:v>0</c:v>
                </c:pt>
                <c:pt idx="88">
                  <c:v>2.2119285677276172E-3</c:v>
                </c:pt>
                <c:pt idx="89">
                  <c:v>0</c:v>
                </c:pt>
                <c:pt idx="90">
                  <c:v>0</c:v>
                </c:pt>
                <c:pt idx="91">
                  <c:v>2.5591385487948723E-3</c:v>
                </c:pt>
                <c:pt idx="92">
                  <c:v>0</c:v>
                </c:pt>
                <c:pt idx="93">
                  <c:v>1.8136588810176585E-3</c:v>
                </c:pt>
                <c:pt idx="94">
                  <c:v>0</c:v>
                </c:pt>
                <c:pt idx="95">
                  <c:v>0</c:v>
                </c:pt>
                <c:pt idx="96">
                  <c:v>1.1417059246330529E-3</c:v>
                </c:pt>
                <c:pt idx="97">
                  <c:v>0</c:v>
                </c:pt>
                <c:pt idx="98">
                  <c:v>1.0538828632940449E-3</c:v>
                </c:pt>
                <c:pt idx="99">
                  <c:v>0</c:v>
                </c:pt>
                <c:pt idx="100">
                  <c:v>0</c:v>
                </c:pt>
                <c:pt idx="101">
                  <c:v>5.8821369114086229E-4</c:v>
                </c:pt>
                <c:pt idx="102">
                  <c:v>0</c:v>
                </c:pt>
                <c:pt idx="103">
                  <c:v>0</c:v>
                </c:pt>
                <c:pt idx="104">
                  <c:v>2.7981049562403093E-4</c:v>
                </c:pt>
                <c:pt idx="105">
                  <c:v>0</c:v>
                </c:pt>
                <c:pt idx="106">
                  <c:v>1.3479897088644759E-4</c:v>
                </c:pt>
                <c:pt idx="107">
                  <c:v>0</c:v>
                </c:pt>
                <c:pt idx="108">
                  <c:v>0</c:v>
                </c:pt>
                <c:pt idx="109">
                  <c:v>1.0620473918715992E-4</c:v>
                </c:pt>
                <c:pt idx="110">
                  <c:v>0</c:v>
                </c:pt>
                <c:pt idx="111">
                  <c:v>6.3314157541472039E-5</c:v>
                </c:pt>
                <c:pt idx="112">
                  <c:v>0</c:v>
                </c:pt>
                <c:pt idx="113">
                  <c:v>0</c:v>
                </c:pt>
                <c:pt idx="114">
                  <c:v>6.1272259493839825E-6</c:v>
                </c:pt>
                <c:pt idx="115">
                  <c:v>0</c:v>
                </c:pt>
                <c:pt idx="116">
                  <c:v>2.0423575895784156E-5</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(55.6 , 12.3)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55.60857413370546</c:v>
                </c:pt>
              </c:numCache>
            </c:numRef>
          </c:xVal>
          <c:yVal>
            <c:numRef>
              <c:f>info!$W$20:$W$21</c:f>
              <c:numCache>
                <c:formatCode>General</c:formatCode>
                <c:ptCount val="2"/>
                <c:pt idx="0">
                  <c:v>50</c:v>
                </c:pt>
                <c:pt idx="1">
                  <c:v>12.345191499855709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68.180799999999991</c:v>
                      </c:pt>
                    </c:numCache>
                  </c:numRef>
                </c:xVal>
                <c:yVal>
                  <c:numRef>
                    <c:extLst>
                      <c:ext uri="{02D57815-91ED-43cb-92C2-25804820EDAC}">
                        <c15:formulaRef>
                          <c15:sqref>info!$W$18</c15:sqref>
                        </c15:formulaRef>
                      </c:ext>
                    </c:extLst>
                    <c:numCache>
                      <c:formatCode>General</c:formatCode>
                      <c:ptCount val="1"/>
                      <c:pt idx="0">
                        <c:v>26.909499999999994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(55.6 , 12.3)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55.60857413370546</c:v>
                </c:pt>
              </c:numCache>
            </c:numRef>
          </c:xVal>
          <c:yVal>
            <c:numRef>
              <c:f>info!$W$20:$W$21</c:f>
              <c:numCache>
                <c:formatCode>General</c:formatCode>
                <c:ptCount val="2"/>
                <c:pt idx="0">
                  <c:v>50</c:v>
                </c:pt>
                <c:pt idx="1">
                  <c:v>12.345191499855709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27.018699999999999</c:v>
                </c:pt>
                <c:pt idx="1">
                  <c:v>29.27</c:v>
                </c:pt>
                <c:pt idx="2">
                  <c:v>38.487400000000001</c:v>
                </c:pt>
                <c:pt idx="3">
                  <c:v>31.170500000000001</c:v>
                </c:pt>
                <c:pt idx="4">
                  <c:v>72.020799999999994</c:v>
                </c:pt>
                <c:pt idx="5">
                  <c:v>72.886300000000006</c:v>
                </c:pt>
                <c:pt idx="6">
                  <c:v>12.4435</c:v>
                </c:pt>
                <c:pt idx="7">
                  <c:v>72.5655</c:v>
                </c:pt>
                <c:pt idx="8">
                  <c:v>19.221299999999999</c:v>
                </c:pt>
                <c:pt idx="9">
                  <c:v>25.738199999999999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0.51575939523762426</c:v>
                </c:pt>
                <c:pt idx="1">
                  <c:v>0.28252976737268487</c:v>
                </c:pt>
                <c:pt idx="2">
                  <c:v>0.20171083738969095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9.6066702918252672E-2</c:v>
                </c:pt>
                <c:pt idx="7">
                  <c:v>0</c:v>
                </c:pt>
                <c:pt idx="8">
                  <c:v>0.14138118542686243</c:v>
                </c:pt>
                <c:pt idx="9">
                  <c:v>0</c:v>
                </c:pt>
                <c:pt idx="10">
                  <c:v>0</c:v>
                </c:pt>
                <c:pt idx="11">
                  <c:v>0.13866231647634583</c:v>
                </c:pt>
                <c:pt idx="12">
                  <c:v>0</c:v>
                </c:pt>
                <c:pt idx="13">
                  <c:v>0.13213703099510601</c:v>
                </c:pt>
                <c:pt idx="14">
                  <c:v>0</c:v>
                </c:pt>
                <c:pt idx="15">
                  <c:v>0</c:v>
                </c:pt>
                <c:pt idx="16">
                  <c:v>0.23062035526554286</c:v>
                </c:pt>
                <c:pt idx="17">
                  <c:v>0</c:v>
                </c:pt>
                <c:pt idx="18">
                  <c:v>0</c:v>
                </c:pt>
                <c:pt idx="19">
                  <c:v>0.1324995468551749</c:v>
                </c:pt>
                <c:pt idx="20">
                  <c:v>0</c:v>
                </c:pt>
                <c:pt idx="21">
                  <c:v>0.14035390610839224</c:v>
                </c:pt>
                <c:pt idx="22">
                  <c:v>0</c:v>
                </c:pt>
                <c:pt idx="23">
                  <c:v>0</c:v>
                </c:pt>
                <c:pt idx="24">
                  <c:v>0.22681393873481961</c:v>
                </c:pt>
                <c:pt idx="25">
                  <c:v>0</c:v>
                </c:pt>
                <c:pt idx="26">
                  <c:v>0.40227161500815661</c:v>
                </c:pt>
                <c:pt idx="27">
                  <c:v>0</c:v>
                </c:pt>
                <c:pt idx="28">
                  <c:v>0</c:v>
                </c:pt>
                <c:pt idx="29">
                  <c:v>0.69186151894145365</c:v>
                </c:pt>
                <c:pt idx="30">
                  <c:v>0</c:v>
                </c:pt>
                <c:pt idx="31">
                  <c:v>0.59440366141018663</c:v>
                </c:pt>
                <c:pt idx="32">
                  <c:v>0</c:v>
                </c:pt>
                <c:pt idx="33">
                  <c:v>0</c:v>
                </c:pt>
                <c:pt idx="34">
                  <c:v>0.56854721769077388</c:v>
                </c:pt>
                <c:pt idx="35">
                  <c:v>0</c:v>
                </c:pt>
                <c:pt idx="36">
                  <c:v>0</c:v>
                </c:pt>
                <c:pt idx="37">
                  <c:v>0.58588453869856805</c:v>
                </c:pt>
                <c:pt idx="38">
                  <c:v>0</c:v>
                </c:pt>
                <c:pt idx="39">
                  <c:v>0.63543139387348191</c:v>
                </c:pt>
                <c:pt idx="40">
                  <c:v>0</c:v>
                </c:pt>
                <c:pt idx="41">
                  <c:v>0</c:v>
                </c:pt>
                <c:pt idx="42">
                  <c:v>0.56238444806960297</c:v>
                </c:pt>
                <c:pt idx="43">
                  <c:v>0</c:v>
                </c:pt>
                <c:pt idx="44">
                  <c:v>0.78442541236179075</c:v>
                </c:pt>
                <c:pt idx="45">
                  <c:v>0</c:v>
                </c:pt>
                <c:pt idx="46">
                  <c:v>0</c:v>
                </c:pt>
                <c:pt idx="47">
                  <c:v>1</c:v>
                </c:pt>
                <c:pt idx="48">
                  <c:v>0</c:v>
                </c:pt>
                <c:pt idx="49">
                  <c:v>0.74394145368859887</c:v>
                </c:pt>
                <c:pt idx="50">
                  <c:v>0</c:v>
                </c:pt>
                <c:pt idx="51">
                  <c:v>0</c:v>
                </c:pt>
                <c:pt idx="52">
                  <c:v>0.77542142468733</c:v>
                </c:pt>
                <c:pt idx="53">
                  <c:v>0</c:v>
                </c:pt>
                <c:pt idx="54">
                  <c:v>0</c:v>
                </c:pt>
                <c:pt idx="55">
                  <c:v>0.84182073590719597</c:v>
                </c:pt>
                <c:pt idx="56">
                  <c:v>0</c:v>
                </c:pt>
                <c:pt idx="57">
                  <c:v>0.76823001631321364</c:v>
                </c:pt>
                <c:pt idx="58">
                  <c:v>0</c:v>
                </c:pt>
                <c:pt idx="59">
                  <c:v>0</c:v>
                </c:pt>
                <c:pt idx="60">
                  <c:v>0.60757658147543947</c:v>
                </c:pt>
                <c:pt idx="61">
                  <c:v>0</c:v>
                </c:pt>
                <c:pt idx="62">
                  <c:v>0.59494743520029003</c:v>
                </c:pt>
                <c:pt idx="63">
                  <c:v>0</c:v>
                </c:pt>
                <c:pt idx="64">
                  <c:v>0</c:v>
                </c:pt>
                <c:pt idx="65">
                  <c:v>0.5037157875657059</c:v>
                </c:pt>
                <c:pt idx="66">
                  <c:v>0</c:v>
                </c:pt>
                <c:pt idx="67">
                  <c:v>0.49441272430668842</c:v>
                </c:pt>
                <c:pt idx="68">
                  <c:v>0</c:v>
                </c:pt>
                <c:pt idx="69">
                  <c:v>0</c:v>
                </c:pt>
                <c:pt idx="70">
                  <c:v>0.64854087366322266</c:v>
                </c:pt>
                <c:pt idx="71">
                  <c:v>0</c:v>
                </c:pt>
                <c:pt idx="72">
                  <c:v>0</c:v>
                </c:pt>
                <c:pt idx="73">
                  <c:v>0.51404748957766899</c:v>
                </c:pt>
                <c:pt idx="74">
                  <c:v>0</c:v>
                </c:pt>
                <c:pt idx="75">
                  <c:v>0.39320871850643463</c:v>
                </c:pt>
                <c:pt idx="76">
                  <c:v>0</c:v>
                </c:pt>
                <c:pt idx="77">
                  <c:v>0</c:v>
                </c:pt>
                <c:pt idx="78">
                  <c:v>0.38166893239079208</c:v>
                </c:pt>
                <c:pt idx="79">
                  <c:v>0</c:v>
                </c:pt>
                <c:pt idx="80">
                  <c:v>0.28330614464382814</c:v>
                </c:pt>
                <c:pt idx="81">
                  <c:v>0</c:v>
                </c:pt>
                <c:pt idx="82">
                  <c:v>0</c:v>
                </c:pt>
                <c:pt idx="83">
                  <c:v>0.26282399854993654</c:v>
                </c:pt>
                <c:pt idx="84">
                  <c:v>0</c:v>
                </c:pt>
                <c:pt idx="85">
                  <c:v>0</c:v>
                </c:pt>
                <c:pt idx="86">
                  <c:v>0.18409778865325355</c:v>
                </c:pt>
                <c:pt idx="87">
                  <c:v>0</c:v>
                </c:pt>
                <c:pt idx="88">
                  <c:v>0.18603090447707088</c:v>
                </c:pt>
                <c:pt idx="89">
                  <c:v>0</c:v>
                </c:pt>
                <c:pt idx="90">
                  <c:v>0</c:v>
                </c:pt>
                <c:pt idx="91">
                  <c:v>0.34632363603407645</c:v>
                </c:pt>
                <c:pt idx="92">
                  <c:v>0</c:v>
                </c:pt>
                <c:pt idx="93">
                  <c:v>0.2632467826717419</c:v>
                </c:pt>
                <c:pt idx="94">
                  <c:v>0</c:v>
                </c:pt>
                <c:pt idx="95">
                  <c:v>0</c:v>
                </c:pt>
                <c:pt idx="96">
                  <c:v>0.28795858256298712</c:v>
                </c:pt>
                <c:pt idx="97">
                  <c:v>0</c:v>
                </c:pt>
                <c:pt idx="98">
                  <c:v>0.49072412543048755</c:v>
                </c:pt>
                <c:pt idx="99">
                  <c:v>0</c:v>
                </c:pt>
                <c:pt idx="100">
                  <c:v>0</c:v>
                </c:pt>
                <c:pt idx="101">
                  <c:v>0.29629644734457128</c:v>
                </c:pt>
                <c:pt idx="102">
                  <c:v>0</c:v>
                </c:pt>
                <c:pt idx="103">
                  <c:v>0</c:v>
                </c:pt>
                <c:pt idx="104">
                  <c:v>0.14555011781765453</c:v>
                </c:pt>
                <c:pt idx="105">
                  <c:v>0</c:v>
                </c:pt>
                <c:pt idx="106">
                  <c:v>7.667210440456769E-2</c:v>
                </c:pt>
                <c:pt idx="107">
                  <c:v>0</c:v>
                </c:pt>
                <c:pt idx="108">
                  <c:v>0</c:v>
                </c:pt>
                <c:pt idx="109">
                  <c:v>7.7397136124705446E-2</c:v>
                </c:pt>
                <c:pt idx="110">
                  <c:v>0</c:v>
                </c:pt>
                <c:pt idx="111">
                  <c:v>4.573726663041508E-2</c:v>
                </c:pt>
                <c:pt idx="112">
                  <c:v>0</c:v>
                </c:pt>
                <c:pt idx="113">
                  <c:v>0</c:v>
                </c:pt>
                <c:pt idx="114">
                  <c:v>2.7188689505165849E-3</c:v>
                </c:pt>
                <c:pt idx="115">
                  <c:v>0</c:v>
                </c:pt>
                <c:pt idx="116">
                  <c:v>1.6796583288018852E-2</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1.8565100000000001</c:v>
                </c:pt>
                <c:pt idx="1">
                  <c:v>1.91211</c:v>
                </c:pt>
                <c:pt idx="2">
                  <c:v>1.95964</c:v>
                </c:pt>
                <c:pt idx="3">
                  <c:v>1.9992199999999998</c:v>
                </c:pt>
                <c:pt idx="4">
                  <c:v>2.0351499999999998</c:v>
                </c:pt>
                <c:pt idx="5">
                  <c:v>2.0659100000000001</c:v>
                </c:pt>
                <c:pt idx="6">
                  <c:v>2.0907999999999998</c:v>
                </c:pt>
                <c:pt idx="7">
                  <c:v>2.11233</c:v>
                </c:pt>
                <c:pt idx="8">
                  <c:v>2.12723</c:v>
                </c:pt>
                <c:pt idx="9">
                  <c:v>2.1406700000000001</c:v>
                </c:pt>
                <c:pt idx="10">
                  <c:v>2.15496</c:v>
                </c:pt>
                <c:pt idx="11">
                  <c:v>2.1692900000000002</c:v>
                </c:pt>
                <c:pt idx="12">
                  <c:v>2.1824599999999998</c:v>
                </c:pt>
                <c:pt idx="13">
                  <c:v>2.1947000000000001</c:v>
                </c:pt>
                <c:pt idx="14">
                  <c:v>2.2071000000000001</c:v>
                </c:pt>
                <c:pt idx="15">
                  <c:v>2.21957</c:v>
                </c:pt>
                <c:pt idx="16">
                  <c:v>2.2326199999999998</c:v>
                </c:pt>
                <c:pt idx="17">
                  <c:v>2.2461700000000002</c:v>
                </c:pt>
                <c:pt idx="18">
                  <c:v>2.2551800000000002</c:v>
                </c:pt>
                <c:pt idx="19">
                  <c:v>2.26092</c:v>
                </c:pt>
                <c:pt idx="20">
                  <c:v>2.2667799999999998</c:v>
                </c:pt>
                <c:pt idx="21">
                  <c:v>2.2729300000000001</c:v>
                </c:pt>
                <c:pt idx="22">
                  <c:v>2.2790900000000001</c:v>
                </c:pt>
                <c:pt idx="23">
                  <c:v>2.2863800000000003</c:v>
                </c:pt>
                <c:pt idx="24">
                  <c:v>2.2913900000000003</c:v>
                </c:pt>
              </c:numCache>
              <c:extLst xmlns:c15="http://schemas.microsoft.com/office/drawing/2012/chart"/>
            </c:numRef>
          </c:xVal>
          <c:yVal>
            <c:numRef>
              <c:f>[0]!FT_PH</c:f>
              <c:numCache>
                <c:formatCode>0.00</c:formatCode>
                <c:ptCount val="25"/>
                <c:pt idx="0">
                  <c:v>61.412599999999998</c:v>
                </c:pt>
                <c:pt idx="1">
                  <c:v>60.404100000000007</c:v>
                </c:pt>
                <c:pt idx="2">
                  <c:v>59.673299999999998</c:v>
                </c:pt>
                <c:pt idx="3">
                  <c:v>59.085200000000007</c:v>
                </c:pt>
                <c:pt idx="4">
                  <c:v>58.448699999999995</c:v>
                </c:pt>
                <c:pt idx="5">
                  <c:v>57.6892</c:v>
                </c:pt>
                <c:pt idx="6">
                  <c:v>56.954999999999998</c:v>
                </c:pt>
                <c:pt idx="7">
                  <c:v>56.317399999999992</c:v>
                </c:pt>
                <c:pt idx="8">
                  <c:v>55.858699999999992</c:v>
                </c:pt>
                <c:pt idx="9">
                  <c:v>55.403300000000002</c:v>
                </c:pt>
                <c:pt idx="10">
                  <c:v>54.907600000000002</c:v>
                </c:pt>
                <c:pt idx="11">
                  <c:v>54.414499999999997</c:v>
                </c:pt>
                <c:pt idx="12">
                  <c:v>54.001100000000001</c:v>
                </c:pt>
                <c:pt idx="13">
                  <c:v>53.621099999999998</c:v>
                </c:pt>
                <c:pt idx="14">
                  <c:v>53.222100000000005</c:v>
                </c:pt>
                <c:pt idx="15">
                  <c:v>52.800599999999996</c:v>
                </c:pt>
                <c:pt idx="16">
                  <c:v>52.345799999999997</c:v>
                </c:pt>
                <c:pt idx="17">
                  <c:v>51.841899999999995</c:v>
                </c:pt>
                <c:pt idx="18">
                  <c:v>51.5045</c:v>
                </c:pt>
                <c:pt idx="19">
                  <c:v>51.295100000000005</c:v>
                </c:pt>
                <c:pt idx="20">
                  <c:v>51.054400000000001</c:v>
                </c:pt>
                <c:pt idx="21">
                  <c:v>50.782799999999995</c:v>
                </c:pt>
                <c:pt idx="22">
                  <c:v>50.503799999999998</c:v>
                </c:pt>
                <c:pt idx="23">
                  <c:v>50.164400000000001</c:v>
                </c:pt>
                <c:pt idx="24">
                  <c:v>49.908500000000004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1.8565100000000001</c:v>
                </c:pt>
              </c:numCache>
            </c:numRef>
          </c:xVal>
          <c:yVal>
            <c:numRef>
              <c:f>[0]!FT_PH01</c:f>
              <c:numCache>
                <c:formatCode>0.00</c:formatCode>
                <c:ptCount val="1"/>
                <c:pt idx="0">
                  <c:v>61.412599999999998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1.8565100000000001</c:v>
                </c:pt>
              </c:numCache>
            </c:numRef>
          </c:xVal>
          <c:yVal>
            <c:numRef>
              <c:f>[0]!FT_PH02</c:f>
              <c:numCache>
                <c:formatCode>0.00</c:formatCode>
                <c:ptCount val="1"/>
                <c:pt idx="0">
                  <c:v>61.412599999999998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1.8565100000000001</c:v>
                </c:pt>
              </c:numCache>
            </c:numRef>
          </c:xVal>
          <c:yVal>
            <c:numRef>
              <c:f>[0]!FT_PH03</c:f>
              <c:numCache>
                <c:formatCode>0.00</c:formatCode>
                <c:ptCount val="1"/>
                <c:pt idx="0">
                  <c:v>61.412599999999998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1.8565100000000001</c:v>
                </c:pt>
              </c:numCache>
            </c:numRef>
          </c:xVal>
          <c:yVal>
            <c:numRef>
              <c:f>[0]!FT_PH04</c:f>
              <c:numCache>
                <c:formatCode>0.00</c:formatCode>
                <c:ptCount val="1"/>
                <c:pt idx="0">
                  <c:v>61.412599999999998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1.8565100000000001</c:v>
                </c:pt>
              </c:numCache>
            </c:numRef>
          </c:xVal>
          <c:yVal>
            <c:numRef>
              <c:f>[0]!FT_PH05</c:f>
              <c:numCache>
                <c:formatCode>0.00</c:formatCode>
                <c:ptCount val="1"/>
                <c:pt idx="0">
                  <c:v>61.412599999999998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1.8565100000000001</c:v>
                </c:pt>
              </c:numCache>
            </c:numRef>
          </c:xVal>
          <c:yVal>
            <c:numRef>
              <c:f>[0]!FT_PH06</c:f>
              <c:numCache>
                <c:formatCode>0.00</c:formatCode>
                <c:ptCount val="1"/>
                <c:pt idx="0">
                  <c:v>61.412599999999998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1.8565100000000001</c:v>
                </c:pt>
              </c:numCache>
            </c:numRef>
          </c:xVal>
          <c:yVal>
            <c:numRef>
              <c:f>[0]!FT_PH07</c:f>
              <c:numCache>
                <c:formatCode>0.00</c:formatCode>
                <c:ptCount val="1"/>
                <c:pt idx="0">
                  <c:v>61.412599999999998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1.8565100000000001</c:v>
                </c:pt>
              </c:numCache>
            </c:numRef>
          </c:xVal>
          <c:yVal>
            <c:numRef>
              <c:f>[0]!FT_PH08</c:f>
              <c:numCache>
                <c:formatCode>0.00</c:formatCode>
                <c:ptCount val="1"/>
                <c:pt idx="0">
                  <c:v>61.412599999999998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1.8565100000000001</c:v>
                </c:pt>
              </c:numCache>
            </c:numRef>
          </c:xVal>
          <c:yVal>
            <c:numRef>
              <c:f>[0]!FT_PH09</c:f>
              <c:numCache>
                <c:formatCode>0.00</c:formatCode>
                <c:ptCount val="1"/>
                <c:pt idx="0">
                  <c:v>61.412599999999998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1.8565100000000001</c:v>
                </c:pt>
              </c:numCache>
            </c:numRef>
          </c:xVal>
          <c:yVal>
            <c:numRef>
              <c:f>[0]!FT_PH10</c:f>
              <c:numCache>
                <c:formatCode>0.00</c:formatCode>
                <c:ptCount val="1"/>
                <c:pt idx="0">
                  <c:v>61.412599999999998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1.8565100000000001</c:v>
                </c:pt>
              </c:numCache>
            </c:numRef>
          </c:xVal>
          <c:yVal>
            <c:numRef>
              <c:f>[0]!FT_PH11</c:f>
              <c:numCache>
                <c:formatCode>0.00</c:formatCode>
                <c:ptCount val="1"/>
                <c:pt idx="0">
                  <c:v>61.412599999999998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1.8565100000000001</c:v>
                </c:pt>
              </c:numCache>
            </c:numRef>
          </c:xVal>
          <c:yVal>
            <c:numRef>
              <c:f>[0]!FT_PH12</c:f>
              <c:numCache>
                <c:formatCode>0.00</c:formatCode>
                <c:ptCount val="1"/>
                <c:pt idx="0">
                  <c:v>61.412599999999998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1.8565100000000001</c:v>
                </c:pt>
              </c:numCache>
            </c:numRef>
          </c:xVal>
          <c:yVal>
            <c:numRef>
              <c:f>[0]!FT_PH13</c:f>
              <c:numCache>
                <c:formatCode>0.00</c:formatCode>
                <c:ptCount val="1"/>
                <c:pt idx="0">
                  <c:v>61.412599999999998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1.8565100000000001</c:v>
                </c:pt>
              </c:numCache>
            </c:numRef>
          </c:xVal>
          <c:yVal>
            <c:numRef>
              <c:f>[0]!FT_PH14</c:f>
              <c:numCache>
                <c:formatCode>0.00</c:formatCode>
                <c:ptCount val="1"/>
                <c:pt idx="0">
                  <c:v>61.412599999999998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1.8565100000000001</c:v>
                </c:pt>
              </c:numCache>
            </c:numRef>
          </c:xVal>
          <c:yVal>
            <c:numRef>
              <c:f>[0]!FT_PH15</c:f>
              <c:numCache>
                <c:formatCode>0.00</c:formatCode>
                <c:ptCount val="1"/>
                <c:pt idx="0">
                  <c:v>61.412599999999998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1.8565100000000001</c:v>
                </c:pt>
              </c:numCache>
            </c:numRef>
          </c:xVal>
          <c:yVal>
            <c:numRef>
              <c:f>[0]!FT_PH16</c:f>
              <c:numCache>
                <c:formatCode>0.00</c:formatCode>
                <c:ptCount val="1"/>
                <c:pt idx="0">
                  <c:v>61.412599999999998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1.8565100000000001</c:v>
                </c:pt>
              </c:numCache>
            </c:numRef>
          </c:xVal>
          <c:yVal>
            <c:numRef>
              <c:f>[0]!FT_PH17</c:f>
              <c:numCache>
                <c:formatCode>0.00</c:formatCode>
                <c:ptCount val="1"/>
                <c:pt idx="0">
                  <c:v>61.412599999999998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1.8565100000000001</c:v>
                </c:pt>
              </c:numCache>
            </c:numRef>
          </c:xVal>
          <c:yVal>
            <c:numRef>
              <c:f>[0]!FT_PH18</c:f>
              <c:numCache>
                <c:formatCode>0.00</c:formatCode>
                <c:ptCount val="1"/>
                <c:pt idx="0">
                  <c:v>61.412599999999998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1.8565100000000001</c:v>
                </c:pt>
              </c:numCache>
            </c:numRef>
          </c:xVal>
          <c:yVal>
            <c:numRef>
              <c:f>[0]!FT_PH19</c:f>
              <c:numCache>
                <c:formatCode>0.00</c:formatCode>
                <c:ptCount val="1"/>
                <c:pt idx="0">
                  <c:v>61.412599999999998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1.8565100000000001</c:v>
                </c:pt>
              </c:numCache>
            </c:numRef>
          </c:xVal>
          <c:yVal>
            <c:numRef>
              <c:f>[0]!FT_PH20</c:f>
              <c:numCache>
                <c:formatCode>0.00</c:formatCode>
                <c:ptCount val="1"/>
                <c:pt idx="0">
                  <c:v>61.412599999999998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1.8565100000000001</c:v>
                </c:pt>
              </c:numCache>
            </c:numRef>
          </c:xVal>
          <c:yVal>
            <c:numRef>
              <c:f>[0]!FT_PH21</c:f>
              <c:numCache>
                <c:formatCode>0.00</c:formatCode>
                <c:ptCount val="1"/>
                <c:pt idx="0">
                  <c:v>61.412599999999998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1.8565100000000001</c:v>
                </c:pt>
              </c:numCache>
            </c:numRef>
          </c:xVal>
          <c:yVal>
            <c:numRef>
              <c:f>[0]!FT_PH22</c:f>
              <c:numCache>
                <c:formatCode>0.00</c:formatCode>
                <c:ptCount val="1"/>
                <c:pt idx="0">
                  <c:v>61.412599999999998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1.8565100000000001</c:v>
                </c:pt>
              </c:numCache>
            </c:numRef>
          </c:xVal>
          <c:yVal>
            <c:numRef>
              <c:f>[0]!FT_PH23</c:f>
              <c:numCache>
                <c:formatCode>0.00</c:formatCode>
                <c:ptCount val="1"/>
                <c:pt idx="0">
                  <c:v>61.412599999999998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1.8565100000000001</c:v>
                </c:pt>
              </c:numCache>
            </c:numRef>
          </c:xVal>
          <c:yVal>
            <c:numRef>
              <c:f>[0]!FT_PH24</c:f>
              <c:numCache>
                <c:formatCode>0.00</c:formatCode>
                <c:ptCount val="1"/>
                <c:pt idx="0">
                  <c:v>61.412599999999998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1.8565100000000001</c:v>
                </c:pt>
              </c:numCache>
            </c:numRef>
          </c:xVal>
          <c:yVal>
            <c:numRef>
              <c:f>info!$H$2</c:f>
              <c:numCache>
                <c:formatCode>0.00</c:formatCode>
                <c:ptCount val="1"/>
                <c:pt idx="0">
                  <c:v>61.412599999999998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0.11229605725210569</c:v>
                </c:pt>
                <c:pt idx="1">
                  <c:v>0.30113825565726993</c:v>
                </c:pt>
                <c:pt idx="2">
                  <c:v>0.5865656870906244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0.374303</c:v>
                </c:pt>
                <c:pt idx="2">
                  <c:v>0.77987399999999996</c:v>
                </c:pt>
                <c:pt idx="3">
                  <c:v>1.18591</c:v>
                </c:pt>
                <c:pt idx="4">
                  <c:v>1.5891500000000001</c:v>
                </c:pt>
                <c:pt idx="5">
                  <c:v>2.0123000000000002</c:v>
                </c:pt>
                <c:pt idx="6">
                  <c:v>2.4127700000000001</c:v>
                </c:pt>
                <c:pt idx="7">
                  <c:v>2.8140299999999998</c:v>
                </c:pt>
                <c:pt idx="8">
                  <c:v>3.2188400000000001</c:v>
                </c:pt>
                <c:pt idx="9">
                  <c:v>3.6297299999999999</c:v>
                </c:pt>
                <c:pt idx="10">
                  <c:v>4.0306800000000003</c:v>
                </c:pt>
                <c:pt idx="11">
                  <c:v>4.44062</c:v>
                </c:pt>
                <c:pt idx="12">
                  <c:v>4.8727799999999997</c:v>
                </c:pt>
                <c:pt idx="13">
                  <c:v>5.2484999999999999</c:v>
                </c:pt>
                <c:pt idx="14">
                  <c:v>5.6603000000000003</c:v>
                </c:pt>
                <c:pt idx="15">
                  <c:v>6.0608599999999999</c:v>
                </c:pt>
                <c:pt idx="16">
                  <c:v>6.4674399999999999</c:v>
                </c:pt>
                <c:pt idx="17">
                  <c:v>6.8838999999999997</c:v>
                </c:pt>
                <c:pt idx="18">
                  <c:v>7.2962300000000004</c:v>
                </c:pt>
                <c:pt idx="19">
                  <c:v>7.6890999999999998</c:v>
                </c:pt>
                <c:pt idx="20">
                  <c:v>8.1070799999999998</c:v>
                </c:pt>
                <c:pt idx="21">
                  <c:v>8.5085700000000006</c:v>
                </c:pt>
                <c:pt idx="22">
                  <c:v>8.9127100000000006</c:v>
                </c:pt>
                <c:pt idx="23">
                  <c:v>9.3291199999999996</c:v>
                </c:pt>
                <c:pt idx="24">
                  <c:v>9.7174099999999992</c:v>
                </c:pt>
              </c:numCache>
            </c:numRef>
          </c:xVal>
          <c:yVal>
            <c:numRef>
              <c:f>[0]!FT_E</c:f>
              <c:numCache>
                <c:formatCode>0.00</c:formatCode>
                <c:ptCount val="25"/>
                <c:pt idx="0">
                  <c:v>1.8565100000000001</c:v>
                </c:pt>
                <c:pt idx="1">
                  <c:v>1.91211</c:v>
                </c:pt>
                <c:pt idx="2">
                  <c:v>1.95964</c:v>
                </c:pt>
                <c:pt idx="3">
                  <c:v>1.9992199999999998</c:v>
                </c:pt>
                <c:pt idx="4">
                  <c:v>2.0351499999999998</c:v>
                </c:pt>
                <c:pt idx="5">
                  <c:v>2.0659100000000001</c:v>
                </c:pt>
                <c:pt idx="6">
                  <c:v>2.0907999999999998</c:v>
                </c:pt>
                <c:pt idx="7">
                  <c:v>2.11233</c:v>
                </c:pt>
                <c:pt idx="8">
                  <c:v>2.12723</c:v>
                </c:pt>
                <c:pt idx="9">
                  <c:v>2.1406700000000001</c:v>
                </c:pt>
                <c:pt idx="10">
                  <c:v>2.15496</c:v>
                </c:pt>
                <c:pt idx="11">
                  <c:v>2.1692900000000002</c:v>
                </c:pt>
                <c:pt idx="12">
                  <c:v>2.1824599999999998</c:v>
                </c:pt>
                <c:pt idx="13">
                  <c:v>2.1947000000000001</c:v>
                </c:pt>
                <c:pt idx="14">
                  <c:v>2.2071000000000001</c:v>
                </c:pt>
                <c:pt idx="15">
                  <c:v>2.21957</c:v>
                </c:pt>
                <c:pt idx="16">
                  <c:v>2.2326199999999998</c:v>
                </c:pt>
                <c:pt idx="17">
                  <c:v>2.2461700000000002</c:v>
                </c:pt>
                <c:pt idx="18">
                  <c:v>2.2551800000000002</c:v>
                </c:pt>
                <c:pt idx="19">
                  <c:v>2.26092</c:v>
                </c:pt>
                <c:pt idx="20">
                  <c:v>2.2667799999999998</c:v>
                </c:pt>
                <c:pt idx="21">
                  <c:v>2.2729300000000001</c:v>
                </c:pt>
                <c:pt idx="22">
                  <c:v>2.2790900000000001</c:v>
                </c:pt>
                <c:pt idx="23">
                  <c:v>2.2863800000000003</c:v>
                </c:pt>
                <c:pt idx="24">
                  <c:v>2.2913900000000003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1.8565100000000001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1.8565100000000001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1.8565100000000001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1.8565100000000001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1.8565100000000001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1.8565100000000001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1.8565100000000001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1.8565100000000001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1.8565100000000001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1.8565100000000001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1.8565100000000001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1.8565100000000001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1.8565100000000001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1.8565100000000001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1.8565100000000001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1.8565100000000001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1.8565100000000001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1.8565100000000001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1.8565100000000001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1.8565100000000001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1.8565100000000001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1.8565100000000001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1.8565100000000001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1.8565100000000001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0.374303</c:v>
                </c:pt>
                <c:pt idx="2">
                  <c:v>0.77987399999999996</c:v>
                </c:pt>
                <c:pt idx="3">
                  <c:v>1.18591</c:v>
                </c:pt>
                <c:pt idx="4">
                  <c:v>1.5891500000000001</c:v>
                </c:pt>
                <c:pt idx="5">
                  <c:v>2.0123000000000002</c:v>
                </c:pt>
                <c:pt idx="6">
                  <c:v>2.4127700000000001</c:v>
                </c:pt>
                <c:pt idx="7">
                  <c:v>2.8140299999999998</c:v>
                </c:pt>
                <c:pt idx="8">
                  <c:v>3.2188400000000001</c:v>
                </c:pt>
                <c:pt idx="9">
                  <c:v>3.6297299999999999</c:v>
                </c:pt>
                <c:pt idx="10">
                  <c:v>4.0306800000000003</c:v>
                </c:pt>
                <c:pt idx="11">
                  <c:v>4.44062</c:v>
                </c:pt>
                <c:pt idx="12">
                  <c:v>4.8727799999999997</c:v>
                </c:pt>
                <c:pt idx="13">
                  <c:v>5.2484999999999999</c:v>
                </c:pt>
                <c:pt idx="14">
                  <c:v>5.6603000000000003</c:v>
                </c:pt>
                <c:pt idx="15">
                  <c:v>6.0608599999999999</c:v>
                </c:pt>
                <c:pt idx="16">
                  <c:v>6.4674399999999999</c:v>
                </c:pt>
                <c:pt idx="17">
                  <c:v>6.8838999999999997</c:v>
                </c:pt>
                <c:pt idx="18">
                  <c:v>7.2962300000000004</c:v>
                </c:pt>
                <c:pt idx="19">
                  <c:v>7.6890999999999998</c:v>
                </c:pt>
                <c:pt idx="20">
                  <c:v>8.1070799999999998</c:v>
                </c:pt>
                <c:pt idx="21">
                  <c:v>8.5085700000000006</c:v>
                </c:pt>
                <c:pt idx="22">
                  <c:v>8.9127100000000006</c:v>
                </c:pt>
                <c:pt idx="23">
                  <c:v>9.3291199999999996</c:v>
                </c:pt>
                <c:pt idx="24">
                  <c:v>9.7174099999999992</c:v>
                </c:pt>
              </c:numCache>
            </c:numRef>
          </c:xVal>
          <c:yVal>
            <c:numRef>
              <c:f>[0]!FT_PH</c:f>
              <c:numCache>
                <c:formatCode>0.00</c:formatCode>
                <c:ptCount val="25"/>
                <c:pt idx="0">
                  <c:v>61.412599999999998</c:v>
                </c:pt>
                <c:pt idx="1">
                  <c:v>60.404100000000007</c:v>
                </c:pt>
                <c:pt idx="2">
                  <c:v>59.673299999999998</c:v>
                </c:pt>
                <c:pt idx="3">
                  <c:v>59.085200000000007</c:v>
                </c:pt>
                <c:pt idx="4">
                  <c:v>58.448699999999995</c:v>
                </c:pt>
                <c:pt idx="5">
                  <c:v>57.6892</c:v>
                </c:pt>
                <c:pt idx="6">
                  <c:v>56.954999999999998</c:v>
                </c:pt>
                <c:pt idx="7">
                  <c:v>56.317399999999992</c:v>
                </c:pt>
                <c:pt idx="8">
                  <c:v>55.858699999999992</c:v>
                </c:pt>
                <c:pt idx="9">
                  <c:v>55.403300000000002</c:v>
                </c:pt>
                <c:pt idx="10">
                  <c:v>54.907600000000002</c:v>
                </c:pt>
                <c:pt idx="11">
                  <c:v>54.414499999999997</c:v>
                </c:pt>
                <c:pt idx="12">
                  <c:v>54.001100000000001</c:v>
                </c:pt>
                <c:pt idx="13">
                  <c:v>53.621099999999998</c:v>
                </c:pt>
                <c:pt idx="14">
                  <c:v>53.222100000000005</c:v>
                </c:pt>
                <c:pt idx="15">
                  <c:v>52.800599999999996</c:v>
                </c:pt>
                <c:pt idx="16">
                  <c:v>52.345799999999997</c:v>
                </c:pt>
                <c:pt idx="17">
                  <c:v>51.841899999999995</c:v>
                </c:pt>
                <c:pt idx="18">
                  <c:v>51.5045</c:v>
                </c:pt>
                <c:pt idx="19">
                  <c:v>51.295100000000005</c:v>
                </c:pt>
                <c:pt idx="20">
                  <c:v>51.054400000000001</c:v>
                </c:pt>
                <c:pt idx="21">
                  <c:v>50.782799999999995</c:v>
                </c:pt>
                <c:pt idx="22">
                  <c:v>50.503799999999998</c:v>
                </c:pt>
                <c:pt idx="23">
                  <c:v>50.164400000000001</c:v>
                </c:pt>
                <c:pt idx="24">
                  <c:v>49.908500000000004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61.412599999999998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61.412599999999998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61.412599999999998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61.412599999999998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61.412599999999998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61.412599999999998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61.412599999999998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61.412599999999998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61.412599999999998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61.412599999999998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61.412599999999998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61.412599999999998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61.412599999999998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61.412599999999998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61.412599999999998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61.412599999999998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61.412599999999998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61.412599999999998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61.412599999999998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61.412599999999998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61.412599999999998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61.412599999999998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61.412599999999998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61.412599999999998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63.64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0.10382997312248921</c:v>
                </c:pt>
                <c:pt idx="1">
                  <c:v>0.10382997312248921</c:v>
                </c:pt>
                <c:pt idx="2">
                  <c:v>-7</c:v>
                </c:pt>
              </c:numCache>
            </c:numRef>
          </c:xVal>
          <c:yVal>
            <c:numRef>
              <c:f>'R'!$I$5:$I$7</c:f>
              <c:numCache>
                <c:formatCode>0.0_ </c:formatCode>
                <c:ptCount val="3"/>
                <c:pt idx="0">
                  <c:v>0</c:v>
                </c:pt>
                <c:pt idx="1">
                  <c:v>63.64330557404827</c:v>
                </c:pt>
                <c:pt idx="2">
                  <c:v>63.64330557404827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0.10382997312248921</c:v>
                </c:pt>
                <c:pt idx="1">
                  <c:v>0.10382997312248921</c:v>
                </c:pt>
                <c:pt idx="2">
                  <c:v>-7</c:v>
                </c:pt>
              </c:numCache>
            </c:numRef>
          </c:xVal>
          <c:yVal>
            <c:numRef>
              <c:f>'R'!$I$5:$I$7</c:f>
              <c:numCache>
                <c:formatCode>0.0_ </c:formatCode>
                <c:ptCount val="3"/>
                <c:pt idx="0">
                  <c:v>0</c:v>
                </c:pt>
                <c:pt idx="1">
                  <c:v>63.64330557404827</c:v>
                </c:pt>
                <c:pt idx="2">
                  <c:v>63.64330557404827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0.10382997312248921</c:v>
                </c:pt>
              </c:numCache>
            </c:numRef>
          </c:xVal>
          <c:yVal>
            <c:numRef>
              <c:f>'R'!$I$4</c:f>
              <c:numCache>
                <c:formatCode>0.00_ </c:formatCode>
                <c:ptCount val="1"/>
                <c:pt idx="0">
                  <c:v>63.64330557404827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62.587980000000002</c:v>
                </c:pt>
                <c:pt idx="1">
                  <c:v>62.587980000000002</c:v>
                </c:pt>
                <c:pt idx="2">
                  <c:v>0</c:v>
                </c:pt>
              </c:numCache>
            </c:numRef>
          </c:xVal>
          <c:yVal>
            <c:numRef>
              <c:f>'R2'!$I$5:$I$7</c:f>
              <c:numCache>
                <c:formatCode>0.0_ </c:formatCode>
                <c:ptCount val="3"/>
                <c:pt idx="0">
                  <c:v>0</c:v>
                </c:pt>
                <c:pt idx="1">
                  <c:v>71.46517842546605</c:v>
                </c:pt>
                <c:pt idx="2">
                  <c:v>71.46517842546605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1.0745199999999999</c:v>
                </c:pt>
                <c:pt idx="1">
                  <c:v>1.0745199999999999</c:v>
                </c:pt>
                <c:pt idx="2">
                  <c:v>0</c:v>
                </c:pt>
              </c:numCache>
            </c:numRef>
          </c:xVal>
          <c:yVal>
            <c:numRef>
              <c:f>'R3'!$I$6:$I$8</c:f>
              <c:numCache>
                <c:formatCode>0.0_ </c:formatCode>
                <c:ptCount val="3"/>
                <c:pt idx="0">
                  <c:v>0</c:v>
                </c:pt>
                <c:pt idx="1">
                  <c:v>12.345191499855709</c:v>
                </c:pt>
                <c:pt idx="2">
                  <c:v>12.345191499855709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1.0745199999999999</c:v>
                </c:pt>
                <c:pt idx="1">
                  <c:v>1.0745199999999999</c:v>
                </c:pt>
                <c:pt idx="2">
                  <c:v>0</c:v>
                </c:pt>
              </c:numCache>
            </c:numRef>
          </c:xVal>
          <c:yVal>
            <c:numRef>
              <c:f>'R4'!$I$5:$I$7</c:f>
              <c:numCache>
                <c:formatCode>0.0_ </c:formatCode>
                <c:ptCount val="3"/>
                <c:pt idx="0">
                  <c:v>0</c:v>
                </c:pt>
                <c:pt idx="1">
                  <c:v>3.5576682434285689E-2</c:v>
                </c:pt>
                <c:pt idx="2">
                  <c:v>3.5576682434285689E-2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0.57361119219444434</c:v>
                </c:pt>
                <c:pt idx="1">
                  <c:v>0.31422061951658364</c:v>
                </c:pt>
                <c:pt idx="2">
                  <c:v>0.11216818828897201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0.15889816205318866</c:v>
                </c:pt>
                <c:pt idx="1">
                  <c:v>0.42610859649701716</c:v>
                </c:pt>
                <c:pt idx="2">
                  <c:v>0.4149932414497941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12.3)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55.60857413370546</c:v>
                      </c:pt>
                    </c:numCache>
                  </c:numRef>
                </c:xVal>
                <c:yVal>
                  <c:numRef>
                    <c:extLst>
                      <c:ext uri="{02D57815-91ED-43cb-92C2-25804820EDAC}">
                        <c15:formulaRef>
                          <c15:sqref>info!$W$20:$W$21</c15:sqref>
                        </c15:formulaRef>
                      </c:ext>
                    </c:extLst>
                    <c:numCache>
                      <c:formatCode>General</c:formatCode>
                      <c:ptCount val="2"/>
                      <c:pt idx="0">
                        <c:v>50</c:v>
                      </c:pt>
                      <c:pt idx="1">
                        <c:v>12.345191499855709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(68.2 , 73.1)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68.180799999999991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26.909499999999994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nFQ6%5e1%5e1%5e\2025-06-11%2018_32_2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nFQ6%5e1%5e1%5e\2025-06-11%2018_32_2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D954106-016D-B4B7-8956-58C4DE68166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2715CC3-C566-819A-BCCA-1CFDC5C7471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45819.772581018522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nFQ6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45819.772581018522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( 85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0.10382997312248921</v>
      </c>
      <c r="I20" s="862"/>
      <c r="J20" s="311" t="str">
        <f>lang!B174</f>
        <v>정보량</v>
      </c>
      <c r="K20" s="236">
        <f ca="1">info!N9</f>
        <v>54.544627999999996</v>
      </c>
      <c r="L20" s="312" t="str">
        <f>lang!B175</f>
        <v>에너지</v>
      </c>
      <c r="M20" s="863">
        <f ca="1">info!M9</f>
        <v>2.1527643999999997</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19.3552</v>
      </c>
      <c r="N32" s="816"/>
      <c r="O32" s="817">
        <f>Measurement!N7</f>
        <v>27.018699999999999</v>
      </c>
      <c r="P32" s="818"/>
      <c r="Q32" s="819">
        <f>Measurement!T7</f>
        <v>30.697099999999999</v>
      </c>
      <c r="R32" s="820"/>
    </row>
    <row r="33" spans="3:18" ht="12.75" customHeight="1">
      <c r="C33" s="77"/>
      <c r="I33" s="502">
        <f>Measurement!L8</f>
        <v>3</v>
      </c>
      <c r="J33" s="139" t="str">
        <f>lang!B15</f>
        <v>스트레스</v>
      </c>
      <c r="K33" s="90" t="s">
        <v>226</v>
      </c>
      <c r="L33" s="504" t="str">
        <f>Measurement!Y8</f>
        <v>보통</v>
      </c>
      <c r="M33" s="792">
        <f>Measurement!R8</f>
        <v>28.762699999999999</v>
      </c>
      <c r="N33" s="793"/>
      <c r="O33" s="806">
        <f>Measurement!N8</f>
        <v>29.27</v>
      </c>
      <c r="P33" s="807"/>
      <c r="Q33" s="792">
        <f>Measurement!T8</f>
        <v>29.3888</v>
      </c>
      <c r="R33" s="808"/>
    </row>
    <row r="34" spans="3:18" ht="12.75" customHeight="1">
      <c r="C34" s="77"/>
      <c r="I34" s="502">
        <f>Measurement!L9</f>
        <v>4</v>
      </c>
      <c r="J34" s="139" t="str">
        <f>lang!B16</f>
        <v>불안</v>
      </c>
      <c r="K34" s="90" t="s">
        <v>227</v>
      </c>
      <c r="L34" s="504" t="str">
        <f>Measurement!Y9</f>
        <v>높음</v>
      </c>
      <c r="M34" s="792">
        <f>Measurement!R9</f>
        <v>22.690999999999999</v>
      </c>
      <c r="N34" s="793"/>
      <c r="O34" s="806">
        <f>Measurement!N9</f>
        <v>38.487400000000001</v>
      </c>
      <c r="P34" s="807"/>
      <c r="Q34" s="792">
        <f>Measurement!T9</f>
        <v>50.213700000000003</v>
      </c>
      <c r="R34" s="808"/>
    </row>
    <row r="35" spans="3:18" ht="12.75" customHeight="1">
      <c r="C35" s="77"/>
      <c r="I35" s="502">
        <f>Measurement!L10</f>
        <v>3</v>
      </c>
      <c r="J35" s="139" t="str">
        <f>lang!B17</f>
        <v>의심</v>
      </c>
      <c r="K35" s="90" t="s">
        <v>225</v>
      </c>
      <c r="L35" s="504" t="str">
        <f>Measurement!Y10</f>
        <v>보통</v>
      </c>
      <c r="M35" s="792">
        <f>Measurement!R10</f>
        <v>25.2182</v>
      </c>
      <c r="N35" s="793"/>
      <c r="O35" s="806">
        <f>Measurement!N10</f>
        <v>31.170500000000001</v>
      </c>
      <c r="P35" s="807"/>
      <c r="Q35" s="792">
        <f>Measurement!T10</f>
        <v>35.9268</v>
      </c>
      <c r="R35" s="808"/>
    </row>
    <row r="36" spans="3:18" ht="12.75" customHeight="1">
      <c r="C36" s="77"/>
      <c r="I36" s="502">
        <f>Measurement!L11</f>
        <v>4</v>
      </c>
      <c r="J36" s="139" t="str">
        <f>lang!B18</f>
        <v>밸런스</v>
      </c>
      <c r="K36" s="90" t="s">
        <v>2171</v>
      </c>
      <c r="L36" s="504" t="str">
        <f>Measurement!Y11</f>
        <v>높음</v>
      </c>
      <c r="M36" s="792">
        <f>Measurement!R11</f>
        <v>65.6357</v>
      </c>
      <c r="N36" s="793"/>
      <c r="O36" s="806">
        <f>Measurement!N11</f>
        <v>72.020799999999994</v>
      </c>
      <c r="P36" s="807"/>
      <c r="Q36" s="792">
        <f>Measurement!T11</f>
        <v>77.412999999999997</v>
      </c>
      <c r="R36" s="808"/>
    </row>
    <row r="37" spans="3:18" ht="12.75" customHeight="1">
      <c r="C37" s="77"/>
      <c r="I37" s="502">
        <f>Measurement!L12</f>
        <v>3</v>
      </c>
      <c r="J37" s="139" t="str">
        <f>lang!B19</f>
        <v>카리스마</v>
      </c>
      <c r="K37" s="90" t="s">
        <v>229</v>
      </c>
      <c r="L37" s="504" t="str">
        <f>Measurement!Y12</f>
        <v>보통</v>
      </c>
      <c r="M37" s="792">
        <f>Measurement!R12</f>
        <v>71.527299999999997</v>
      </c>
      <c r="N37" s="793"/>
      <c r="O37" s="806">
        <f>Measurement!N12</f>
        <v>72.886300000000006</v>
      </c>
      <c r="P37" s="807"/>
      <c r="Q37" s="792">
        <f>Measurement!T12</f>
        <v>74.499899999999997</v>
      </c>
      <c r="R37" s="808"/>
    </row>
    <row r="38" spans="3:18" ht="12.75" customHeight="1">
      <c r="C38" s="77"/>
      <c r="I38" s="502">
        <f>Measurement!L13</f>
        <v>1</v>
      </c>
      <c r="J38" s="139" t="str">
        <f>lang!B20</f>
        <v>에너지</v>
      </c>
      <c r="K38" s="90" t="s">
        <v>2170</v>
      </c>
      <c r="L38" s="504" t="str">
        <f>Measurement!Y13</f>
        <v>매우 낮음</v>
      </c>
      <c r="M38" s="792">
        <f>Measurement!R13</f>
        <v>9.6257999999999999</v>
      </c>
      <c r="N38" s="793"/>
      <c r="O38" s="806">
        <f>Measurement!N13</f>
        <v>12.4435</v>
      </c>
      <c r="P38" s="807"/>
      <c r="Q38" s="792">
        <f>Measurement!T13</f>
        <v>12.863200000000001</v>
      </c>
      <c r="R38" s="808"/>
    </row>
    <row r="39" spans="3:18" ht="12.75" customHeight="1">
      <c r="C39" s="77"/>
      <c r="I39" s="502">
        <f>Measurement!L14</f>
        <v>3</v>
      </c>
      <c r="J39" s="139" t="str">
        <f>lang!B21</f>
        <v>자기조절</v>
      </c>
      <c r="K39" s="90" t="s">
        <v>230</v>
      </c>
      <c r="L39" s="504" t="str">
        <f>Measurement!Y14</f>
        <v>보통</v>
      </c>
      <c r="M39" s="792">
        <f>Measurement!R14</f>
        <v>68.598200000000006</v>
      </c>
      <c r="N39" s="793"/>
      <c r="O39" s="806">
        <f>Measurement!N14</f>
        <v>72.5655</v>
      </c>
      <c r="P39" s="807"/>
      <c r="Q39" s="792">
        <f>Measurement!T14</f>
        <v>75.914199999999994</v>
      </c>
      <c r="R39" s="808"/>
    </row>
    <row r="40" spans="3:18" ht="12.75" customHeight="1">
      <c r="C40" s="77"/>
      <c r="I40" s="502">
        <f>Measurement!L15</f>
        <v>3</v>
      </c>
      <c r="J40" s="139" t="str">
        <f>lang!B22</f>
        <v>억제</v>
      </c>
      <c r="K40" s="91" t="s">
        <v>248</v>
      </c>
      <c r="L40" s="504" t="str">
        <f>Measurement!Y15</f>
        <v>보통</v>
      </c>
      <c r="M40" s="792">
        <f>Measurement!R15</f>
        <v>14.8947</v>
      </c>
      <c r="N40" s="793"/>
      <c r="O40" s="806">
        <f>Measurement!N15</f>
        <v>19.221299999999999</v>
      </c>
      <c r="P40" s="807"/>
      <c r="Q40" s="792">
        <f>Measurement!T15</f>
        <v>24.073899999999998</v>
      </c>
      <c r="R40" s="808"/>
    </row>
    <row r="41" spans="3:18" ht="12.75" customHeight="1" thickBot="1">
      <c r="C41" s="77"/>
      <c r="I41" s="502">
        <f>Measurement!L16</f>
        <v>3</v>
      </c>
      <c r="J41" s="140" t="str">
        <f>lang!B23</f>
        <v>신경성</v>
      </c>
      <c r="K41" s="92" t="s">
        <v>231</v>
      </c>
      <c r="L41" s="504" t="str">
        <f>Measurement!Y16</f>
        <v>보통</v>
      </c>
      <c r="M41" s="794">
        <f>Measurement!R16</f>
        <v>2.0456799999999999</v>
      </c>
      <c r="N41" s="795"/>
      <c r="O41" s="796">
        <f>Measurement!N16</f>
        <v>25.738199999999999</v>
      </c>
      <c r="P41" s="797"/>
      <c r="Q41" s="794">
        <f>Measurement!T16</f>
        <v>25.738199999999999</v>
      </c>
      <c r="R41" s="798"/>
    </row>
    <row r="42" spans="3:18" ht="29.25" customHeight="1" thickBot="1">
      <c r="C42" s="77"/>
      <c r="I42" s="84"/>
      <c r="J42" s="780" t="str">
        <f>lang!B215</f>
        <v>감정변이도</v>
      </c>
      <c r="K42" s="781"/>
      <c r="L42" s="319" t="str">
        <f>info!V43</f>
        <v>낮음</v>
      </c>
      <c r="M42" s="782">
        <f>info!W43</f>
        <v>8.7793299999999999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1.0745199999999999</v>
      </c>
      <c r="E44" s="249" t="s">
        <v>1072</v>
      </c>
      <c r="G44" s="289"/>
      <c r="H44" s="289"/>
      <c r="I44" s="290"/>
      <c r="J44" s="802">
        <f>info!$W$36</f>
        <v>62.587980000000002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45819.772581018522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( 85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0.10382997312248921</v>
      </c>
      <c r="I20" s="862"/>
      <c r="J20" s="311" t="str">
        <f>lang!B174</f>
        <v>정보량</v>
      </c>
      <c r="K20" s="236">
        <f ca="1">info!N9</f>
        <v>54.544627999999996</v>
      </c>
      <c r="L20" s="312" t="str">
        <f>lang!B175</f>
        <v>에너지</v>
      </c>
      <c r="M20" s="863">
        <f ca="1">info!M9</f>
        <v>2.1527643999999997</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19.3552</v>
      </c>
      <c r="N32" s="816"/>
      <c r="O32" s="817">
        <f>Measurement!N7</f>
        <v>27.018699999999999</v>
      </c>
      <c r="P32" s="818"/>
      <c r="Q32" s="819">
        <f>Measurement!T7</f>
        <v>30.697099999999999</v>
      </c>
      <c r="R32" s="820"/>
    </row>
    <row r="33" spans="3:18" ht="12.75" customHeight="1">
      <c r="C33" s="77"/>
      <c r="I33" s="502">
        <f>Measurement!L8</f>
        <v>3</v>
      </c>
      <c r="J33" s="139" t="str">
        <f>lang!B15</f>
        <v>스트레스</v>
      </c>
      <c r="K33" s="90" t="s">
        <v>226</v>
      </c>
      <c r="L33" s="504" t="str">
        <f>Measurement!Y8</f>
        <v>보통</v>
      </c>
      <c r="M33" s="792">
        <f>Measurement!R8</f>
        <v>28.762699999999999</v>
      </c>
      <c r="N33" s="793"/>
      <c r="O33" s="806">
        <f>Measurement!N8</f>
        <v>29.27</v>
      </c>
      <c r="P33" s="807"/>
      <c r="Q33" s="792">
        <f>Measurement!T8</f>
        <v>29.3888</v>
      </c>
      <c r="R33" s="808"/>
    </row>
    <row r="34" spans="3:18" ht="12.75" customHeight="1">
      <c r="C34" s="77"/>
      <c r="I34" s="502">
        <f>Measurement!L9</f>
        <v>4</v>
      </c>
      <c r="J34" s="139" t="str">
        <f>lang!B16</f>
        <v>불안</v>
      </c>
      <c r="K34" s="90" t="s">
        <v>227</v>
      </c>
      <c r="L34" s="504" t="str">
        <f>Measurement!Y9</f>
        <v>높음</v>
      </c>
      <c r="M34" s="792">
        <f>Measurement!R9</f>
        <v>22.690999999999999</v>
      </c>
      <c r="N34" s="793"/>
      <c r="O34" s="806">
        <f>Measurement!N9</f>
        <v>38.487400000000001</v>
      </c>
      <c r="P34" s="807"/>
      <c r="Q34" s="792">
        <f>Measurement!T9</f>
        <v>50.213700000000003</v>
      </c>
      <c r="R34" s="808"/>
    </row>
    <row r="35" spans="3:18" ht="12.75" customHeight="1">
      <c r="C35" s="77"/>
      <c r="I35" s="502">
        <f>Measurement!L10</f>
        <v>3</v>
      </c>
      <c r="J35" s="139" t="str">
        <f>lang!B17</f>
        <v>의심</v>
      </c>
      <c r="K35" s="90" t="s">
        <v>225</v>
      </c>
      <c r="L35" s="504" t="str">
        <f>Measurement!Y10</f>
        <v>보통</v>
      </c>
      <c r="M35" s="792">
        <f>Measurement!R10</f>
        <v>25.2182</v>
      </c>
      <c r="N35" s="793"/>
      <c r="O35" s="806">
        <f>Measurement!N10</f>
        <v>31.170500000000001</v>
      </c>
      <c r="P35" s="807"/>
      <c r="Q35" s="792">
        <f>Measurement!T10</f>
        <v>35.9268</v>
      </c>
      <c r="R35" s="808"/>
    </row>
    <row r="36" spans="3:18" ht="12.75" customHeight="1">
      <c r="C36" s="77"/>
      <c r="I36" s="502">
        <f>Measurement!L11</f>
        <v>4</v>
      </c>
      <c r="J36" s="139" t="str">
        <f>lang!B18</f>
        <v>밸런스</v>
      </c>
      <c r="K36" s="90" t="s">
        <v>2171</v>
      </c>
      <c r="L36" s="504" t="str">
        <f>Measurement!Y11</f>
        <v>높음</v>
      </c>
      <c r="M36" s="792">
        <f>Measurement!R11</f>
        <v>65.6357</v>
      </c>
      <c r="N36" s="793"/>
      <c r="O36" s="806">
        <f>Measurement!N11</f>
        <v>72.020799999999994</v>
      </c>
      <c r="P36" s="807"/>
      <c r="Q36" s="792">
        <f>Measurement!T11</f>
        <v>77.412999999999997</v>
      </c>
      <c r="R36" s="808"/>
    </row>
    <row r="37" spans="3:18" ht="12.75" customHeight="1">
      <c r="C37" s="77"/>
      <c r="I37" s="502">
        <f>Measurement!L12</f>
        <v>3</v>
      </c>
      <c r="J37" s="139" t="str">
        <f>lang!B19</f>
        <v>카리스마</v>
      </c>
      <c r="K37" s="90" t="s">
        <v>229</v>
      </c>
      <c r="L37" s="504" t="str">
        <f>Measurement!Y12</f>
        <v>보통</v>
      </c>
      <c r="M37" s="792">
        <f>Measurement!R12</f>
        <v>71.527299999999997</v>
      </c>
      <c r="N37" s="793"/>
      <c r="O37" s="806">
        <f>Measurement!N12</f>
        <v>72.886300000000006</v>
      </c>
      <c r="P37" s="807"/>
      <c r="Q37" s="792">
        <f>Measurement!T12</f>
        <v>74.499899999999997</v>
      </c>
      <c r="R37" s="808"/>
    </row>
    <row r="38" spans="3:18" ht="12.75" customHeight="1">
      <c r="C38" s="77"/>
      <c r="I38" s="502">
        <f>Measurement!L13</f>
        <v>1</v>
      </c>
      <c r="J38" s="139" t="str">
        <f>lang!B20</f>
        <v>에너지</v>
      </c>
      <c r="K38" s="90" t="s">
        <v>2170</v>
      </c>
      <c r="L38" s="504" t="str">
        <f>Measurement!Y13</f>
        <v>매우 낮음</v>
      </c>
      <c r="M38" s="792">
        <f>Measurement!R13</f>
        <v>9.6257999999999999</v>
      </c>
      <c r="N38" s="793"/>
      <c r="O38" s="806">
        <f>Measurement!N13</f>
        <v>12.4435</v>
      </c>
      <c r="P38" s="807"/>
      <c r="Q38" s="792">
        <f>Measurement!T13</f>
        <v>12.863200000000001</v>
      </c>
      <c r="R38" s="808"/>
    </row>
    <row r="39" spans="3:18" ht="12.75" customHeight="1">
      <c r="C39" s="77"/>
      <c r="I39" s="502">
        <f>Measurement!L14</f>
        <v>3</v>
      </c>
      <c r="J39" s="139" t="str">
        <f>lang!B21</f>
        <v>자기조절</v>
      </c>
      <c r="K39" s="90" t="s">
        <v>230</v>
      </c>
      <c r="L39" s="504" t="str">
        <f>Measurement!Y14</f>
        <v>보통</v>
      </c>
      <c r="M39" s="792">
        <f>Measurement!R14</f>
        <v>68.598200000000006</v>
      </c>
      <c r="N39" s="793"/>
      <c r="O39" s="806">
        <f>Measurement!N14</f>
        <v>72.5655</v>
      </c>
      <c r="P39" s="807"/>
      <c r="Q39" s="792">
        <f>Measurement!T14</f>
        <v>75.914199999999994</v>
      </c>
      <c r="R39" s="808"/>
    </row>
    <row r="40" spans="3:18" ht="12.75" customHeight="1">
      <c r="C40" s="77"/>
      <c r="I40" s="502">
        <f>Measurement!L15</f>
        <v>3</v>
      </c>
      <c r="J40" s="139" t="str">
        <f>lang!B22</f>
        <v>억제</v>
      </c>
      <c r="K40" s="91" t="s">
        <v>248</v>
      </c>
      <c r="L40" s="504" t="str">
        <f>Measurement!Y15</f>
        <v>보통</v>
      </c>
      <c r="M40" s="792">
        <f>Measurement!R15</f>
        <v>14.8947</v>
      </c>
      <c r="N40" s="793"/>
      <c r="O40" s="806">
        <f>Measurement!N15</f>
        <v>19.221299999999999</v>
      </c>
      <c r="P40" s="807"/>
      <c r="Q40" s="792">
        <f>Measurement!T15</f>
        <v>24.073899999999998</v>
      </c>
      <c r="R40" s="808"/>
    </row>
    <row r="41" spans="3:18" ht="12.75" customHeight="1" thickBot="1">
      <c r="C41" s="77"/>
      <c r="I41" s="502">
        <f>Measurement!L16</f>
        <v>3</v>
      </c>
      <c r="J41" s="140" t="str">
        <f>lang!B23</f>
        <v>신경성</v>
      </c>
      <c r="K41" s="92" t="s">
        <v>231</v>
      </c>
      <c r="L41" s="504" t="str">
        <f>Measurement!Y16</f>
        <v>보통</v>
      </c>
      <c r="M41" s="794">
        <f>Measurement!R16</f>
        <v>2.0456799999999999</v>
      </c>
      <c r="N41" s="795"/>
      <c r="O41" s="796">
        <f>Measurement!N16</f>
        <v>25.738199999999999</v>
      </c>
      <c r="P41" s="797"/>
      <c r="Q41" s="794">
        <f>Measurement!T16</f>
        <v>25.738199999999999</v>
      </c>
      <c r="R41" s="798"/>
    </row>
    <row r="42" spans="3:18" ht="29.25" customHeight="1" thickBot="1">
      <c r="C42" s="77"/>
      <c r="I42" s="84"/>
      <c r="J42" s="780" t="str">
        <f>lang!B215</f>
        <v>감정변이도</v>
      </c>
      <c r="K42" s="781"/>
      <c r="L42" s="319" t="str">
        <f>info!V43</f>
        <v>낮음</v>
      </c>
      <c r="M42" s="782">
        <f>info!W43</f>
        <v>8.7793299999999999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1.0745199999999999</v>
      </c>
      <c r="E44" s="249" t="s">
        <v>1195</v>
      </c>
      <c r="G44" s="289"/>
      <c r="H44" s="289"/>
      <c r="I44" s="290"/>
      <c r="J44" s="802">
        <f>info!$W$36</f>
        <v>62.587980000000002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45819.772581018522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nFQ6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(-0.12,-0.22)</v>
      </c>
      <c r="S18" s="966"/>
      <c r="T18" s="967"/>
    </row>
    <row r="19" spans="2:22" ht="16.5" customHeight="1">
      <c r="C19" s="136" t="str">
        <f>lang!B328</f>
        <v>최소값</v>
      </c>
      <c r="D19" s="105">
        <f ca="1">info!M7</f>
        <v>49.908500000000004</v>
      </c>
      <c r="E19" s="94" t="str">
        <f>lang!B330</f>
        <v>평균값</v>
      </c>
      <c r="F19" s="971">
        <f ca="1">info!N9</f>
        <v>54.544627999999996</v>
      </c>
      <c r="G19" s="972"/>
      <c r="H19" s="912" t="str">
        <f>lang!B329</f>
        <v>최대값</v>
      </c>
      <c r="I19" s="913"/>
      <c r="J19" s="105">
        <f ca="1">info!M8</f>
        <v>61.412599999999998</v>
      </c>
      <c r="K19" s="137" t="str">
        <f>lang!B328</f>
        <v>최소값</v>
      </c>
      <c r="L19" s="105">
        <f ca="1">info!M5</f>
        <v>1.8565100000000001</v>
      </c>
      <c r="M19" s="94" t="str">
        <f>lang!B330</f>
        <v>평균값</v>
      </c>
      <c r="N19" s="971">
        <f ca="1">info!M9</f>
        <v>2.1527643999999997</v>
      </c>
      <c r="O19" s="972">
        <f>info!T9</f>
        <v>1</v>
      </c>
      <c r="P19" s="94" t="str">
        <f>lang!B329</f>
        <v>최대값</v>
      </c>
      <c r="Q19" s="105">
        <f ca="1">info!M6</f>
        <v>2.2913900000000003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25.512057104106329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1.074516</v>
      </c>
      <c r="N47" s="986"/>
      <c r="O47" s="451"/>
      <c r="P47" s="491" t="s">
        <v>1101</v>
      </c>
      <c r="Q47" s="987">
        <f>hist!M3</f>
        <v>0.30200900000000003</v>
      </c>
      <c r="R47" s="986"/>
      <c r="S47" s="451"/>
      <c r="T47" s="452"/>
    </row>
    <row r="48" spans="3:20" ht="18" customHeight="1">
      <c r="C48" s="931"/>
      <c r="D48" s="910"/>
      <c r="E48" s="910"/>
      <c r="F48" s="355"/>
      <c r="G48" s="355"/>
      <c r="H48" s="356"/>
      <c r="I48" s="356"/>
      <c r="J48" s="951"/>
      <c r="K48" s="951"/>
      <c r="L48" s="936"/>
      <c r="M48" s="988">
        <f>hist!N2</f>
        <v>0.45294299999999998</v>
      </c>
      <c r="N48" s="989"/>
      <c r="O48" s="451"/>
      <c r="P48" s="491" t="s">
        <v>1102</v>
      </c>
      <c r="Q48" s="986">
        <f>hist!N3</f>
        <v>0.29314000000000001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0.20515700000000001</v>
      </c>
      <c r="N49" s="991"/>
      <c r="O49" s="453"/>
      <c r="P49" s="454" t="s">
        <v>1588</v>
      </c>
      <c r="Q49" s="992">
        <f>hist!O3</f>
        <v>8.5930999999999993E-2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vision^nFQ6^1^1^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3</v>
      </c>
      <c r="CH4" s="305">
        <f>IF(SUM($AY$7:$AY$13)&gt;0,HLOOKUP(2,$BV$6:$CE$8,3,FALSE),"")</f>
        <v>7</v>
      </c>
      <c r="CI4" t="s">
        <v>1570</v>
      </c>
      <c r="CJ4" s="426">
        <f>DK17*100</f>
        <v>55.60857413370546</v>
      </c>
      <c r="CK4" s="422">
        <f>info!W21</f>
        <v>12.345191499855709</v>
      </c>
      <c r="CL4">
        <f>100-M!B19*100</f>
        <v>26.909499999999994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45819.772581018522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8.7793299999999999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1</v>
      </c>
      <c r="BY6" s="220">
        <f t="shared" si="0"/>
        <v>7</v>
      </c>
      <c r="BZ6" s="220">
        <f t="shared" si="0"/>
        <v>10</v>
      </c>
      <c r="CA6" s="220">
        <f t="shared" si="0"/>
        <v>5</v>
      </c>
      <c r="CB6" s="220">
        <f t="shared" si="0"/>
        <v>2</v>
      </c>
      <c r="CC6" s="220">
        <f t="shared" si="0"/>
        <v>6</v>
      </c>
      <c r="CD6" s="220">
        <f t="shared" si="0"/>
        <v>9</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27.018699999999999</v>
      </c>
      <c r="O7" s="48">
        <f>M!C5*1</f>
        <v>2.9727700000000001</v>
      </c>
      <c r="P7" s="48">
        <f>M!D5*1</f>
        <v>11.002599999999999</v>
      </c>
      <c r="Q7" s="48">
        <f>M!E5*1</f>
        <v>20</v>
      </c>
      <c r="R7" s="48">
        <f>IF(M!B5="","",M!F5*1)</f>
        <v>19.3552</v>
      </c>
      <c r="S7" s="48">
        <f>M!G5*1</f>
        <v>50</v>
      </c>
      <c r="T7" s="48">
        <f>IF(M!B5="","",M!H5*1)</f>
        <v>30.697099999999999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-2.7231792898931424</v>
      </c>
      <c r="AI7" s="98">
        <v>2.5024862326905418E-2</v>
      </c>
      <c r="AJ7" s="98">
        <v>-7.7313821231156016E-2</v>
      </c>
      <c r="AK7" s="98">
        <v>0.50012525104428274</v>
      </c>
      <c r="AL7" s="98">
        <v>-8.545985269705475E-2</v>
      </c>
      <c r="AM7" s="98">
        <f>$AH7*AI7+$AH8*AI8+$AH9*AI9+$AH10*AI10+$AH11*AI11+$AH12*AI12+$AH13*AI13+$AH14*AI14+$AH15*AI15+$AH16*AI16</f>
        <v>-0.94214771057341995</v>
      </c>
      <c r="AN7" s="98">
        <f t="shared" ref="AN7:AP7" si="2">$AH7*AJ7+$AH8*AJ8+$AH9*AJ9+$AH10*AJ10+$AH11*AJ11+$AH12*AJ12+$AH13*AJ13+$AH14*AJ14+$AH15*AJ15+$AH16*AJ16</f>
        <v>1.7594948176774339</v>
      </c>
      <c r="AO7" s="98">
        <f t="shared" si="2"/>
        <v>-2.086096136683961</v>
      </c>
      <c r="AP7" s="98">
        <f t="shared" si="2"/>
        <v>0.48350128105636458</v>
      </c>
      <c r="AQ7" s="335">
        <f>IF(SUM(N7:N16)&gt;0, 0.8608*AM7+0.333*AN7+0.104*AO7+1.129*AP7,"")</f>
        <v>0.10382997312248921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27.018699999999999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292.72917079119998</v>
      </c>
      <c r="BL7" s="56">
        <f t="shared" ref="BL7:BT7" si="3">BB7*$AY7+BB8*$AY8+BB9*$AY9+BB10*$AY10+BB11*$AY11+BB12*$AY12+BB13*$AY13+BB14</f>
        <v>295.75989171719999</v>
      </c>
      <c r="BM7" s="56">
        <f t="shared" si="3"/>
        <v>298.35277889619999</v>
      </c>
      <c r="BN7" s="56">
        <f t="shared" si="3"/>
        <v>288.2845240986</v>
      </c>
      <c r="BO7" s="56">
        <f t="shared" si="3"/>
        <v>275.37772192280011</v>
      </c>
      <c r="BP7" s="56">
        <f t="shared" si="3"/>
        <v>291.40131506299997</v>
      </c>
      <c r="BQ7" s="56">
        <f t="shared" si="3"/>
        <v>296.03350911360008</v>
      </c>
      <c r="BR7" s="56">
        <f t="shared" si="3"/>
        <v>291.06052481120003</v>
      </c>
      <c r="BS7" s="56">
        <f t="shared" si="3"/>
        <v>278.32172033979992</v>
      </c>
      <c r="BT7" s="56">
        <f t="shared" si="3"/>
        <v>287.73540979139995</v>
      </c>
      <c r="BU7" s="56">
        <f>EXP(BK7)+EXP(BL7)+EXP(BM7)+EXP(BN7)+EXP(BO7)+EXP(BP7)+EXP(BQ7)+EXP(BR7)+EXP(BS7)+EXP(BT7)</f>
        <v>4.4084148574906957E+129</v>
      </c>
      <c r="BV7" s="56">
        <f>IF(SUM($AY$7:$AY$13)&gt;0,EXP(BK7)/$BU$7,"")</f>
        <v>3.0646515981558576E-3</v>
      </c>
      <c r="BW7" s="56">
        <f t="shared" ref="BW7:CE7" si="4">IF(SUM($AY$7:$AY$13)&gt;0,EXP(BL7)/$BU$7,"")</f>
        <v>6.3475551616754472E-2</v>
      </c>
      <c r="BX7" s="56">
        <f t="shared" si="4"/>
        <v>0.84856101967712316</v>
      </c>
      <c r="BY7" s="56">
        <f t="shared" si="4"/>
        <v>3.5982851517632395E-5</v>
      </c>
      <c r="BZ7" s="56">
        <f t="shared" si="4"/>
        <v>8.9277621770136251E-11</v>
      </c>
      <c r="CA7" s="56">
        <f t="shared" si="4"/>
        <v>8.1227052426157884E-4</v>
      </c>
      <c r="CB7" s="56">
        <f t="shared" si="4"/>
        <v>8.3452049903045708E-2</v>
      </c>
      <c r="CC7" s="56">
        <f t="shared" si="4"/>
        <v>5.7769334958322435E-4</v>
      </c>
      <c r="CD7" s="56">
        <f t="shared" si="4"/>
        <v>1.6955276637205853E-9</v>
      </c>
      <c r="CE7" s="56">
        <f t="shared" si="4"/>
        <v>2.0778694752846029E-5</v>
      </c>
      <c r="CF7" s="418" t="s">
        <v>1870</v>
      </c>
      <c r="CG7" s="221">
        <f>IF(SUM($AY$7:$AY$13)&gt;0,HLOOKUP(1,$BV$6:$CE$7,2,FALSE),"")</f>
        <v>0.84856101967712316</v>
      </c>
      <c r="CH7" s="221">
        <f>IF(SUM($AY$7:$AY$13)&gt;0,HLOOKUP(2,$BV$6:$CE$7,2,FALSE),"")</f>
        <v>8.3452049903045708E-2</v>
      </c>
      <c r="CI7" s="425" t="str">
        <f>"( "&amp;IF(CG7&lt;&gt;"",ROUND(CG7*100,0),"")&amp;" , "&amp;IF(CH7&lt;&gt;"",ROUND(CH7*100,0),"")&amp;" )"</f>
        <v>( 85 , 8 )</v>
      </c>
      <c r="CJ7" s="420">
        <f>CG7</f>
        <v>0.84856101967712316</v>
      </c>
      <c r="CK7" s="420">
        <f>CH7</f>
        <v>8.3452049903045708E-2</v>
      </c>
      <c r="CL7" s="425" t="str">
        <f>CI7</f>
        <v>( 85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27.018699999999999</v>
      </c>
      <c r="DJ7" s="265">
        <f>(DI7-$DB7)/$DC7</f>
        <v>-1.3632478062212148</v>
      </c>
      <c r="DK7" s="266">
        <f>IF(DH7=1,(DJ7-DF7)^2,0)</f>
        <v>6.2982005633757794</v>
      </c>
      <c r="DL7" s="267">
        <f>IF(DH7=1,(DJ7-DG7)^2,0)</f>
        <v>11.529970350315237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29.27</v>
      </c>
      <c r="O8" s="48">
        <f>M!C6*1</f>
        <v>0.14174100000000001</v>
      </c>
      <c r="P8" s="48">
        <f>M!D6*1</f>
        <v>0.48425299999999999</v>
      </c>
      <c r="Q8" s="48">
        <f>M!E6*1</f>
        <v>20</v>
      </c>
      <c r="R8" s="48">
        <f>IF(M!B6="","",M!F6*1)</f>
        <v>28.762699999999999</v>
      </c>
      <c r="S8" s="48">
        <f>M!G6*1</f>
        <v>40</v>
      </c>
      <c r="T8" s="48">
        <f>IF(M!B6="","",M!H6*1)</f>
        <v>29.3888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0.82750882442319817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29.27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3</v>
      </c>
      <c r="CH8" s="222">
        <f>IF(CH4&lt;&gt;10,CH4,IF(info!N9&lt;30,11,IF(info!M7=0,11,10)))</f>
        <v>7</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29.27</v>
      </c>
      <c r="DJ8" s="265">
        <f t="shared" ref="DJ8:DJ14" si="8">(DI8-$DB8)/$DC8</f>
        <v>-0.39558908285188743</v>
      </c>
      <c r="DK8" s="273">
        <f t="shared" ref="DK8:DK14" si="9">IF(DH8=1,(DJ8-DF8)^2,0)</f>
        <v>1.1816788093223123</v>
      </c>
      <c r="DL8" s="274">
        <f t="shared" ref="DL8:DL14" si="10">IF(DH8=1,(DJ8-DG8)^2,0)</f>
        <v>0.44500943005356691</v>
      </c>
    </row>
    <row r="9" spans="2:119" s="5" customFormat="1" ht="24.75" customHeight="1" thickBot="1">
      <c r="B9" s="62" t="str">
        <f>CONCATENATE(M7,"
(20 ~ 50)")</f>
        <v>적극/공격성
(20 ~ 50)</v>
      </c>
      <c r="C9" s="63">
        <f>R7</f>
        <v>19.3552</v>
      </c>
      <c r="D9" s="64">
        <f>N7</f>
        <v>27.018699999999999</v>
      </c>
      <c r="E9" s="65">
        <f>T7</f>
        <v>30.697099999999999</v>
      </c>
      <c r="F9" s="65">
        <f>P7</f>
        <v>11.002599999999999</v>
      </c>
      <c r="G9" s="66" t="str">
        <f>CONCATENATE(M8,"
(20 ~ 40)")</f>
        <v>스트레스
(20 ~ 40)</v>
      </c>
      <c r="H9" s="63">
        <f>R8</f>
        <v>28.762699999999999</v>
      </c>
      <c r="I9" s="67">
        <f>N8</f>
        <v>29.27</v>
      </c>
      <c r="J9" s="63">
        <f>T8</f>
        <v>29.3888</v>
      </c>
      <c r="K9" s="68">
        <f>P8</f>
        <v>0.48425299999999999</v>
      </c>
      <c r="L9" s="1">
        <f>IF(M!B7="","",IF(N9&lt;U9,1,IF(N9&lt;V9,2,IF(N9&lt;W9,3,IF(N9&lt;X9,4,5)))))</f>
        <v>4</v>
      </c>
      <c r="M9" s="162" t="str">
        <f>lang!B16</f>
        <v>불안</v>
      </c>
      <c r="N9" s="48">
        <f>IF(M!B7="","",M!B7*1)</f>
        <v>38.487400000000001</v>
      </c>
      <c r="O9" s="48">
        <f>M!C7*1</f>
        <v>6.1152899999999999</v>
      </c>
      <c r="P9" s="48">
        <f>M!D7*1</f>
        <v>15.889099999999999</v>
      </c>
      <c r="Q9" s="48">
        <f>M!E7*1</f>
        <v>15</v>
      </c>
      <c r="R9" s="48">
        <f>IF(M!B7="","",M!F7*1)</f>
        <v>22.690999999999999</v>
      </c>
      <c r="S9" s="48">
        <f>M!G7*1</f>
        <v>40</v>
      </c>
      <c r="T9" s="48">
        <f>IF(M!B7="","",M!H7*1)</f>
        <v>50.213700000000003</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2.3713054526627362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38.487400000000001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38.487400000000001</v>
      </c>
      <c r="DJ9" s="265">
        <f t="shared" si="8"/>
        <v>1.3306104657964262</v>
      </c>
      <c r="DK9" s="273">
        <f t="shared" si="9"/>
        <v>6.4963610883289942</v>
      </c>
      <c r="DL9" s="274">
        <f t="shared" si="10"/>
        <v>1.3743478199809243</v>
      </c>
      <c r="DM9"/>
      <c r="DN9"/>
    </row>
    <row r="10" spans="2:119" s="4" customFormat="1" ht="30.3" thickBot="1">
      <c r="B10" s="57" t="str">
        <f>CONCATENATE(M9,"
(15 ~ 40)")</f>
        <v>불안
(15 ~ 40)</v>
      </c>
      <c r="C10" s="17">
        <f>R9</f>
        <v>22.690999999999999</v>
      </c>
      <c r="D10" s="41">
        <f>N9</f>
        <v>38.487400000000001</v>
      </c>
      <c r="E10" s="43">
        <f>T9</f>
        <v>50.213700000000003</v>
      </c>
      <c r="F10" s="43">
        <f>P9</f>
        <v>15.889099999999999</v>
      </c>
      <c r="G10" s="59" t="str">
        <f>CONCATENATE(M10,"
(20 ~ 50)")</f>
        <v>의심
(20 ~ 50)</v>
      </c>
      <c r="H10" s="17">
        <f>R10</f>
        <v>25.2182</v>
      </c>
      <c r="I10" s="42">
        <f>N10</f>
        <v>31.170500000000001</v>
      </c>
      <c r="J10" s="17">
        <f>T10</f>
        <v>35.9268</v>
      </c>
      <c r="K10" s="18">
        <f>P10</f>
        <v>10.0335</v>
      </c>
      <c r="L10" s="1">
        <f>IF(M!B8="","",IF(N10&lt;U10,1,IF(N10&lt;V10,2,IF(N10&lt;W10,3,IF(N10&lt;X10,4,5)))))</f>
        <v>3</v>
      </c>
      <c r="M10" s="162" t="str">
        <f>lang!B17</f>
        <v>의심</v>
      </c>
      <c r="N10" s="48">
        <f>IF(M!B8="","",M!B8*1)</f>
        <v>31.170500000000001</v>
      </c>
      <c r="O10" s="48">
        <f>M!C8*1</f>
        <v>3.1274899999999999</v>
      </c>
      <c r="P10" s="48">
        <f>M!D8*1</f>
        <v>10.0335</v>
      </c>
      <c r="Q10" s="48">
        <f>M!E8*1</f>
        <v>20</v>
      </c>
      <c r="R10" s="48">
        <f>IF(M!B8="","",M!F8*1)</f>
        <v>25.2182</v>
      </c>
      <c r="S10" s="48">
        <f>M!G8*1</f>
        <v>50</v>
      </c>
      <c r="T10" s="48">
        <f>IF(M!B8="","",M!H8*1)</f>
        <v>35.9268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0.34535622502579255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72.020799999999994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차분한 상태</v>
      </c>
      <c r="CH10" s="228" t="str">
        <f>IF(CH8&lt;&gt;"",HLOOKUP(CH8,$CN$8:$CY$12,3,FALSE),"")</f>
        <v>피곤</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72.020799999999994</v>
      </c>
      <c r="DJ10" s="265">
        <f t="shared" si="8"/>
        <v>0.67498795135539758</v>
      </c>
      <c r="DK10" s="273">
        <f t="shared" si="9"/>
        <v>0.86948467020069475</v>
      </c>
      <c r="DL10" s="274">
        <f t="shared" si="10"/>
        <v>5.0141090775869577</v>
      </c>
      <c r="DM10"/>
      <c r="DN10"/>
    </row>
    <row r="11" spans="2:119" s="4" customFormat="1" ht="24.75" customHeight="1" thickBot="1">
      <c r="B11" s="57" t="str">
        <f>CONCATENATE(M11,"
(50 ~ 100)")</f>
        <v>밸런스
(50 ~ 100)</v>
      </c>
      <c r="C11" s="17">
        <f>R11</f>
        <v>65.6357</v>
      </c>
      <c r="D11" s="42">
        <f>N11</f>
        <v>72.020799999999994</v>
      </c>
      <c r="E11" s="17">
        <f>T11</f>
        <v>77.412999999999997</v>
      </c>
      <c r="F11" s="17">
        <f>P11</f>
        <v>3.4217599999999999</v>
      </c>
      <c r="G11" s="59" t="str">
        <f>CONCATENATE(M12,"
(40 ~ 100)")</f>
        <v>카리스마
(40 ~ 100)</v>
      </c>
      <c r="H11" s="17">
        <f>R12</f>
        <v>71.527299999999997</v>
      </c>
      <c r="I11" s="42">
        <f>N12</f>
        <v>72.886300000000006</v>
      </c>
      <c r="J11" s="17">
        <f>T12</f>
        <v>74.499899999999997</v>
      </c>
      <c r="K11" s="18">
        <f>P12</f>
        <v>0.97325399999999995</v>
      </c>
      <c r="L11" s="1">
        <f>IF(M!B9="","",IF(N11&lt;U11,1,IF(N11&lt;V11,2,IF(N11&lt;W11,3,IF(N11&lt;X11,4,5)))))</f>
        <v>4</v>
      </c>
      <c r="M11" s="162" t="str">
        <f>lang!B18</f>
        <v>밸런스</v>
      </c>
      <c r="N11" s="48">
        <f>IF(M!B9="","",M!B9*1)</f>
        <v>72.020799999999994</v>
      </c>
      <c r="O11" s="48">
        <f>M!C9*1</f>
        <v>2.4643799999999998</v>
      </c>
      <c r="P11" s="48">
        <f>M!D9*1</f>
        <v>3.4217599999999999</v>
      </c>
      <c r="Q11" s="48">
        <f>M!E9*1</f>
        <v>50</v>
      </c>
      <c r="R11" s="48">
        <f>IF(M!B9="","",M!F9*1)</f>
        <v>65.6357</v>
      </c>
      <c r="S11" s="48">
        <f>M!G9*1</f>
        <v>100</v>
      </c>
      <c r="T11" s="48">
        <f>IF(M!B9="","",M!H9*1)</f>
        <v>77.412999999999997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0.27717735741356914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72.886300000000006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차분한 상태입니다.</v>
      </c>
      <c r="CH11" s="228" t="str">
        <f>IF(CH8&lt;&gt;"",HLOOKUP(CH8,$CN$8:$CY$12,4,FALSE),"")</f>
        <v>피곤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72.886300000000006</v>
      </c>
      <c r="DJ11" s="265">
        <f t="shared" si="8"/>
        <v>0.47269238739465669</v>
      </c>
      <c r="DK11" s="273">
        <f t="shared" si="9"/>
        <v>0.28915221278679376</v>
      </c>
      <c r="DL11" s="274">
        <f t="shared" si="10"/>
        <v>0.72090958705013675</v>
      </c>
      <c r="DM11"/>
      <c r="DN11"/>
    </row>
    <row r="12" spans="2:119" s="4" customFormat="1" ht="24.75" customHeight="1" thickBot="1">
      <c r="B12" s="57" t="str">
        <f>CONCATENATE(M13,"
(10 ~ 50)")</f>
        <v>에너지
(10 ~ 50)</v>
      </c>
      <c r="C12" s="17">
        <f>R13</f>
        <v>9.6257999999999999</v>
      </c>
      <c r="D12" s="41">
        <f>N13</f>
        <v>12.4435</v>
      </c>
      <c r="E12" s="43">
        <f>T13</f>
        <v>12.863200000000001</v>
      </c>
      <c r="F12" s="43">
        <f>P13</f>
        <v>7.54251</v>
      </c>
      <c r="G12" s="59" t="str">
        <f>CONCATENATE(M14,"
(50 ~ 100)")</f>
        <v>자기조절
(50 ~ 100)</v>
      </c>
      <c r="H12" s="17">
        <f>R14</f>
        <v>68.598200000000006</v>
      </c>
      <c r="I12" s="42">
        <f>N14</f>
        <v>72.5655</v>
      </c>
      <c r="J12" s="17">
        <f>T14</f>
        <v>75.914199999999994</v>
      </c>
      <c r="K12" s="18">
        <f>P14</f>
        <v>2.0126599999999999</v>
      </c>
      <c r="L12" s="1">
        <f>IF(M!B10="","",IF(N12&lt;U12,1,IF(N12&lt;V12,2,IF(N12&lt;W12,3,IF(N12&lt;X12,4,5)))))</f>
        <v>3</v>
      </c>
      <c r="M12" s="162" t="str">
        <f>lang!B19</f>
        <v>카리스마</v>
      </c>
      <c r="N12" s="48">
        <f>IF(M!B10="","",M!B10*1)</f>
        <v>72.886300000000006</v>
      </c>
      <c r="O12" s="48">
        <f>M!C10*1</f>
        <v>0.709368</v>
      </c>
      <c r="P12" s="48">
        <f>M!D10*1</f>
        <v>0.97325399999999995</v>
      </c>
      <c r="Q12" s="48">
        <f>M!E10*1</f>
        <v>40</v>
      </c>
      <c r="R12" s="48">
        <f>IF(M!B10="","",M!F10*1)</f>
        <v>71.527299999999997</v>
      </c>
      <c r="S12" s="48">
        <f>M!G10*1</f>
        <v>100</v>
      </c>
      <c r="T12" s="48">
        <f>IF(M!B10="","",M!H10*1)</f>
        <v>74.499899999999997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5.3777511728593498E-2</v>
      </c>
      <c r="AI12" s="98">
        <v>0.31913434649697919</v>
      </c>
      <c r="AJ12" s="98">
        <v>3.8587997439955973E-2</v>
      </c>
      <c r="AK12" s="98">
        <v>1.0272327081707585E-2</v>
      </c>
      <c r="AL12" s="98">
        <v>1.9404033844491575E-2</v>
      </c>
      <c r="AM12" s="101"/>
      <c r="AN12" s="101"/>
      <c r="AO12" s="101"/>
      <c r="AP12" s="101"/>
      <c r="AX12" s="171"/>
      <c r="AY12" s="219">
        <f>N13</f>
        <v>12.4435</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에너지가 낮아 정적이고 지금 하는 일에 집중을 잘하고 있습니다. 일에 만족도를 높이기 위해선 신체적인 활력에너지를 높여주면 좋습니다.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12.4435</v>
      </c>
      <c r="DJ12" s="265">
        <f t="shared" si="8"/>
        <v>-0.86463850584039803</v>
      </c>
      <c r="DK12" s="273">
        <f t="shared" si="9"/>
        <v>7.5759021186381847</v>
      </c>
      <c r="DL12" s="274">
        <f t="shared" si="10"/>
        <v>1.4544831320311535</v>
      </c>
      <c r="DM12"/>
      <c r="DN12"/>
    </row>
    <row r="13" spans="2:119" ht="24.75" customHeight="1" thickBot="1">
      <c r="B13" s="58" t="str">
        <f>CONCATENATE(M15,"
(10 ~ 25)")</f>
        <v>억제
(10 ~ 25)</v>
      </c>
      <c r="C13" s="44">
        <f>R15</f>
        <v>14.8947</v>
      </c>
      <c r="D13" s="45">
        <f>N15</f>
        <v>19.221299999999999</v>
      </c>
      <c r="E13" s="46">
        <f>T15</f>
        <v>24.073899999999998</v>
      </c>
      <c r="F13" s="46">
        <f>P15</f>
        <v>13.3904</v>
      </c>
      <c r="G13" s="60" t="str">
        <f>CONCATENATE(M16,"
(10 ~ 50)")</f>
        <v>신경성
(10 ~ 50)</v>
      </c>
      <c r="H13" s="44">
        <f>R16</f>
        <v>2.0456799999999999</v>
      </c>
      <c r="I13" s="45">
        <f>N16</f>
        <v>25.738199999999999</v>
      </c>
      <c r="J13" s="46">
        <f>T16</f>
        <v>25.738199999999999</v>
      </c>
      <c r="K13" s="47">
        <f>P16</f>
        <v>23.043199999999999</v>
      </c>
      <c r="L13" s="1">
        <f>IF(M!B11="","",IF(N13&lt;U13,1,IF(N13&lt;V13,2,IF(N13&lt;W13,3,IF(N13&lt;X13,4,5)))))</f>
        <v>1</v>
      </c>
      <c r="M13" s="162" t="str">
        <f>lang!B20</f>
        <v>에너지</v>
      </c>
      <c r="N13" s="48">
        <f>IF(M!B11="","",M!B11*1)</f>
        <v>12.4435</v>
      </c>
      <c r="O13" s="48">
        <f>M!C11*1</f>
        <v>0.93854899999999997</v>
      </c>
      <c r="P13" s="48">
        <f>M!D11*1</f>
        <v>7.54251</v>
      </c>
      <c r="Q13" s="48">
        <f>M!E11*1</f>
        <v>10</v>
      </c>
      <c r="R13" s="48">
        <f>IF(M!B11="","",M!F11*1)</f>
        <v>9.6257999999999999</v>
      </c>
      <c r="S13" s="48">
        <f>M!G11*1</f>
        <v>50</v>
      </c>
      <c r="T13" s="48">
        <f>IF(M!B11="","",M!H11*1)</f>
        <v>12.863200000000001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-3.2067121127090226</v>
      </c>
      <c r="AI13" s="98">
        <v>0.16093442074971984</v>
      </c>
      <c r="AJ13" s="98">
        <v>-1.0988594420247608E-2</v>
      </c>
      <c r="AK13" s="98">
        <v>0.37151940745754808</v>
      </c>
      <c r="AL13" s="98">
        <v>8.9062029657998948E-2</v>
      </c>
      <c r="AM13" s="96"/>
      <c r="AN13" s="96"/>
      <c r="AO13" s="96"/>
      <c r="AP13" s="96"/>
      <c r="AX13" s="171"/>
      <c r="AY13" s="219">
        <f>info!W36</f>
        <v>62.587980000000002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저/중강도의 신체활동과 뇌 자극/뇌 휴식 프로그램을 Mix. 문제 해결 과제도 바람직. 단 개인화 성향이 있어 집단및 협력 프로그램을 일정 수준 구성.</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25.738199999999999</v>
      </c>
      <c r="DJ13" s="265">
        <f t="shared" si="8"/>
        <v>-0.31621986113383055</v>
      </c>
      <c r="DK13" s="273">
        <f>IF(DH13=1,(DJ13-DF13)^2,0)</f>
        <v>0.57161764440992746</v>
      </c>
      <c r="DL13" s="274">
        <f t="shared" si="10"/>
        <v>2.6728228342203664E-3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72.5655</v>
      </c>
      <c r="O14" s="48">
        <f>M!C12*1</f>
        <v>1.4604999999999999</v>
      </c>
      <c r="P14" s="48">
        <f>M!D12*1</f>
        <v>2.0126599999999999</v>
      </c>
      <c r="Q14" s="48">
        <f>M!E12*1</f>
        <v>50</v>
      </c>
      <c r="R14" s="48">
        <f>IF(M!B12="","",M!F12*1)</f>
        <v>68.598200000000006</v>
      </c>
      <c r="S14" s="48">
        <f>M!G12*1</f>
        <v>100</v>
      </c>
      <c r="T14" s="48">
        <f>IF(M!B12="","",M!H12*1)</f>
        <v>75.914199999999994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0.32434011559388892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68.180799999999991</v>
      </c>
      <c r="DJ14" s="265">
        <f t="shared" si="8"/>
        <v>1.0559231944997114</v>
      </c>
      <c r="DK14" s="279">
        <f t="shared" si="9"/>
        <v>1.2669342766231546</v>
      </c>
      <c r="DL14" s="280">
        <f t="shared" si="10"/>
        <v>10.211132721282405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19.221299999999999</v>
      </c>
      <c r="O15" s="48">
        <f>M!C13*1</f>
        <v>2.57382</v>
      </c>
      <c r="P15" s="48">
        <f>M!D13*1</f>
        <v>13.3904</v>
      </c>
      <c r="Q15" s="48">
        <f>M!E13*1</f>
        <v>10</v>
      </c>
      <c r="R15" s="48">
        <f>IF(M!B13="","",M!F13*1)</f>
        <v>14.8947</v>
      </c>
      <c r="S15" s="48">
        <f>M!G13*1</f>
        <v>25</v>
      </c>
      <c r="T15" s="48">
        <f>IF(M!B13="","",M!H13*1)</f>
        <v>24.073899999999998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-0.21249549930337019</v>
      </c>
      <c r="AI15" s="98">
        <v>-8.3250321124619289E-2</v>
      </c>
      <c r="AJ15" s="98">
        <v>-0.44690513063775733</v>
      </c>
      <c r="AK15" s="98">
        <v>0.12052818186953573</v>
      </c>
      <c r="AL15" s="98">
        <v>-2.4174505446491225E-2</v>
      </c>
      <c r="AM15" s="96"/>
      <c r="AN15" s="96"/>
      <c r="AO15" s="96"/>
      <c r="AP15" s="96"/>
      <c r="AX15" s="171"/>
      <c r="AY15" s="50">
        <f>SUM(AY7:AY14)</f>
        <v>314.71467999999999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24.549331383685839</v>
      </c>
      <c r="DL15" s="281">
        <f>IF(SUM($DI$7:$DI$14)&gt;0,SUM(DL7:DL14),0)</f>
        <v>30.752634941134602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25.738199999999999</v>
      </c>
      <c r="O16" s="48">
        <f>M!C14*1</f>
        <v>5.93093</v>
      </c>
      <c r="P16" s="48">
        <f>M!D14*1</f>
        <v>23.043199999999999</v>
      </c>
      <c r="Q16" s="48">
        <f>M!E14*1</f>
        <v>10</v>
      </c>
      <c r="R16" s="48">
        <f>IF(M!B14="","",M!F14*1)</f>
        <v>2.0456799999999999</v>
      </c>
      <c r="S16" s="48">
        <f>M!G14*1</f>
        <v>50</v>
      </c>
      <c r="T16" s="48">
        <f>IF(M!B14="","",M!H14*1)</f>
        <v>25.738199999999999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-1.3856535884598822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4.0734306949986671E-2</v>
      </c>
      <c r="DL16" s="281">
        <f>IF(DL15&gt;0,1/DL15,0)</f>
        <v>3.2517538803232889E-2</v>
      </c>
      <c r="DM16" t="s">
        <v>1207</v>
      </c>
    </row>
    <row r="17" spans="2:117" ht="21" customHeight="1" thickBot="1">
      <c r="B17" s="20"/>
      <c r="C17"/>
      <c r="D17"/>
      <c r="E17"/>
      <c r="F17"/>
      <c r="G17" s="1071"/>
      <c r="H17" s="827"/>
      <c r="I17" s="827"/>
      <c r="J17" s="827"/>
      <c r="K17" s="828"/>
      <c r="M17" s="163" t="str">
        <f>lang!B7</f>
        <v>긍정감정</v>
      </c>
      <c r="N17" s="54">
        <f>SUM(N11:N14)/4</f>
        <v>57.479025000000007</v>
      </c>
      <c r="O17" s="16">
        <f>N17/(N17+N18+N19)</f>
        <v>0.51575939523762426</v>
      </c>
      <c r="P17" s="54">
        <f>SUM(P11:P14)/4</f>
        <v>3.487546</v>
      </c>
      <c r="Q17" s="16">
        <f>P17/(P17+P18+P19)</f>
        <v>0.11229605725210569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0.55608574133705457</v>
      </c>
      <c r="DL17" s="283"/>
      <c r="DM17" s="284" t="s">
        <v>1208</v>
      </c>
    </row>
    <row r="18" spans="2:117" ht="21" customHeight="1">
      <c r="B18" s="20"/>
      <c r="C18"/>
      <c r="D18"/>
      <c r="E18"/>
      <c r="F18"/>
      <c r="G18" s="1071"/>
      <c r="H18" s="827"/>
      <c r="I18" s="827"/>
      <c r="J18" s="827"/>
      <c r="K18" s="828"/>
      <c r="M18" s="163" t="str">
        <f>lang!B8</f>
        <v>부정감정</v>
      </c>
      <c r="N18" s="14">
        <f>SUM(N7:N10)/4</f>
        <v>31.486650000000001</v>
      </c>
      <c r="O18" s="16">
        <f>N18/(N17+N18+N19)</f>
        <v>0.28252976737268487</v>
      </c>
      <c r="P18" s="14">
        <f>SUM(P7:P10)/4</f>
        <v>9.3523632499999998</v>
      </c>
      <c r="Q18" s="16">
        <f>P18/(P17+P18+P19)</f>
        <v>0.30113825565726993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22.479749999999999</v>
      </c>
      <c r="O19" s="16">
        <f>N19/(N17+N18+N19)</f>
        <v>0.20171083738969095</v>
      </c>
      <c r="P19" s="14">
        <f>(P15+P16)/2</f>
        <v>18.216799999999999</v>
      </c>
      <c r="Q19" s="16">
        <f>P19/(P17+P18+P19)</f>
        <v>0.5865656870906244</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1.0745199999999999</v>
      </c>
      <c r="D24" s="34" t="str">
        <f>lang!B11</f>
        <v>편차</v>
      </c>
      <c r="E24" s="1077">
        <f>FH_info!G2*1</f>
        <v>0.45294299999999998</v>
      </c>
      <c r="F24" s="1078"/>
      <c r="G24" s="1075" t="str">
        <f>lang!B12</f>
        <v>정보(I)변화량</v>
      </c>
      <c r="H24" s="1076"/>
      <c r="I24" s="51" t="str">
        <f ca="1">CONCATENATE(info!N7,"-",info!N8)</f>
        <v>49.9-61.4</v>
      </c>
      <c r="J24" s="32" t="str">
        <f>lang!B13</f>
        <v>Kcal/분</v>
      </c>
      <c r="K24" s="31" t="str">
        <f ca="1">CONCATENATE(info!N5,"-",info!N6)</f>
        <v>1.9-2.3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68.180799999999991</v>
      </c>
      <c r="F27" s="1043"/>
      <c r="G27" s="1055" t="str">
        <f>lang!B33</f>
        <v>정서안정성</v>
      </c>
      <c r="H27" s="1056"/>
      <c r="I27" s="1057"/>
      <c r="J27" s="993">
        <f>M!B19*100</f>
        <v>73.090500000000006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1.8565100000000001</v>
      </c>
      <c r="H2" s="50">
        <f>IF(FT!B2&lt;&gt;"",FT!B2*100,"")</f>
        <v>61.412599999999998</v>
      </c>
      <c r="I2" s="50">
        <f>(IF(G2&lt;&gt;"",1,""))</f>
        <v>1</v>
      </c>
      <c r="J2" t="str">
        <f>IF(FT!B2&lt;&gt;"",FT!E2,"")</f>
        <v>0 [0.000000]</v>
      </c>
      <c r="K2">
        <f>IF(FT!B2&lt;&gt;"",IF(FT!C2&lt;&gt;"",FT!C2,F2/$M$3*$M$4),"")</f>
        <v>0</v>
      </c>
      <c r="L2" t="s">
        <v>52</v>
      </c>
      <c r="M2">
        <f>FH_info!E2</f>
        <v>4.9234099999999996</v>
      </c>
      <c r="N2" s="75">
        <f>LOOKUP(O3,A2:A1000,B2:B1000)</f>
        <v>0.90745203921568629</v>
      </c>
      <c r="O2" s="50">
        <f>MAX(C2:C1000)</f>
        <v>1</v>
      </c>
      <c r="P2" t="s">
        <v>60</v>
      </c>
      <c r="Q2" t="s">
        <v>61</v>
      </c>
      <c r="R2" t="s">
        <v>62</v>
      </c>
      <c r="S2" t="s">
        <v>63</v>
      </c>
      <c r="T2" t="s">
        <v>64</v>
      </c>
      <c r="V2" s="50">
        <f>FT!G2*10</f>
        <v>1.91211</v>
      </c>
      <c r="W2" s="50">
        <f>FT!H2*100</f>
        <v>60.404100000000007</v>
      </c>
      <c r="Y2">
        <f>IF(I2=1,H2/G2,"")</f>
        <v>33.079595585264819</v>
      </c>
      <c r="Z2">
        <f>AVERAGE(Y2:Y2000)</f>
        <v>25.512057104106329</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1.91211</v>
      </c>
      <c r="H3" s="50">
        <f>IF(FT!B3&lt;&gt;"",FT!B3*100,"")</f>
        <v>60.404100000000007</v>
      </c>
      <c r="I3" s="50">
        <f t="shared" ref="I3:I66" si="2">(IF(G3&lt;&gt;"",1,""))</f>
        <v>1</v>
      </c>
      <c r="J3" t="str">
        <f>IF(FT!B3&lt;&gt;"",FT!E3,"")</f>
        <v>0 [0.374303]</v>
      </c>
      <c r="K3">
        <f>IF(FT!B3&lt;&gt;"",IF(FT!C3&lt;&gt;"",FT!C3,F3/$M$3*$M$4),"")</f>
        <v>0.374303</v>
      </c>
      <c r="L3" t="s">
        <v>53</v>
      </c>
      <c r="M3">
        <f>SUM(I2:I2005)</f>
        <v>25</v>
      </c>
      <c r="O3" s="104">
        <f>MATCH(O2,C2:C1000,0)-1</f>
        <v>47</v>
      </c>
      <c r="P3">
        <v>0</v>
      </c>
      <c r="Q3">
        <v>0</v>
      </c>
      <c r="R3">
        <f>IF(S4=0,M3,0)</f>
        <v>25</v>
      </c>
      <c r="S3">
        <f t="array" ref="S3">MAX(IF(ft_nq=0,row_n))</f>
        <v>1998</v>
      </c>
      <c r="T3">
        <f>R3-Q3</f>
        <v>25</v>
      </c>
      <c r="V3" s="50">
        <f>FT!G3*10</f>
        <v>2.2729300000000001</v>
      </c>
      <c r="W3" s="50">
        <f>FT!H3*100</f>
        <v>50.782799999999995</v>
      </c>
      <c r="Y3" s="75">
        <f t="shared" ref="Y3:Y66" si="3">IF(I3=1,H3/G3,"")</f>
        <v>31.590285077741346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1.95964</v>
      </c>
      <c r="H4" s="50">
        <f>IF(FT!B4&lt;&gt;"",FT!B4*100,"")</f>
        <v>59.673299999999998</v>
      </c>
      <c r="I4" s="50">
        <f t="shared" si="2"/>
        <v>1</v>
      </c>
      <c r="J4" t="str">
        <f>IF(FT!B4&lt;&gt;"",FT!E4,"")</f>
        <v>0 [0.779874]</v>
      </c>
      <c r="K4">
        <f>IF(FT!B4&lt;&gt;"",IF(FT!C4&lt;&gt;"",FT!C4,F4/$M$3*$M$4),"")</f>
        <v>0.77987399999999996</v>
      </c>
      <c r="L4" t="s">
        <v>246</v>
      </c>
      <c r="M4">
        <f>IF(M2&lt;&gt;0,M3/M2*2,0)</f>
        <v>10.155562912696688</v>
      </c>
      <c r="P4">
        <f>P3+1</f>
        <v>1</v>
      </c>
      <c r="Q4">
        <v>0</v>
      </c>
      <c r="R4">
        <f>IF(S4=1998,0,S4)</f>
        <v>0</v>
      </c>
      <c r="S4">
        <f t="array" ref="S4">MAX(IF(ft_nq=P4,row_n))</f>
        <v>0</v>
      </c>
      <c r="T4">
        <f>R4-Q4+1</f>
        <v>1</v>
      </c>
      <c r="V4" t="s">
        <v>209</v>
      </c>
      <c r="W4" s="23">
        <f>IF(ISERROR(V3-V2)=FALSE,(V3-V2)*10,0)</f>
        <v>3.6082000000000014</v>
      </c>
      <c r="Y4" s="75">
        <f t="shared" si="3"/>
        <v>30.451154293645768</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1.9992199999999998</v>
      </c>
      <c r="H5" s="50">
        <f>IF(FT!B5&lt;&gt;"",FT!B5*100,"")</f>
        <v>59.085200000000007</v>
      </c>
      <c r="I5" s="50">
        <f t="shared" si="2"/>
        <v>1</v>
      </c>
      <c r="J5" t="str">
        <f>IF(FT!B5&lt;&gt;"",FT!E5,"")</f>
        <v>0 [1.185907]</v>
      </c>
      <c r="K5">
        <f>IF(FT!B5&lt;&gt;"",IF(FT!C5&lt;&gt;"",FT!C5,F5/$M$3*$M$4),"")</f>
        <v>1.18591</v>
      </c>
      <c r="L5" t="s">
        <v>54</v>
      </c>
      <c r="M5" s="52">
        <f ca="1">IF(M3&gt;0,MIN(FT_E),0)</f>
        <v>1.8565100000000001</v>
      </c>
      <c r="N5" s="52">
        <f ca="1">IF(M3&gt;0,ROUND(M5,1),0)</f>
        <v>1.9</v>
      </c>
      <c r="P5">
        <f t="shared" ref="P5:P27" si="10">P4+1</f>
        <v>2</v>
      </c>
      <c r="Q5">
        <f>IF(S5=1998,0,R4)</f>
        <v>0</v>
      </c>
      <c r="R5">
        <f>IF(S5=1998,0,S5)</f>
        <v>0</v>
      </c>
      <c r="S5">
        <f t="array" ref="S5">MAX(IF(ft_nq=P5,row_n))</f>
        <v>0</v>
      </c>
      <c r="T5">
        <f t="shared" ref="T5:T27" si="11">R5-Q5+1</f>
        <v>1</v>
      </c>
      <c r="V5" t="s">
        <v>210</v>
      </c>
      <c r="W5" s="23">
        <f>IF(ISERROR(W3-W2)=FALSE,W3-W2,0)</f>
        <v>-9.6213000000000122</v>
      </c>
      <c r="Y5" s="75">
        <f t="shared" si="3"/>
        <v>29.554126109182587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2.0351499999999998</v>
      </c>
      <c r="H6" s="50">
        <f>IF(FT!B6&lt;&gt;"",FT!B6*100,"")</f>
        <v>58.448699999999995</v>
      </c>
      <c r="I6" s="50">
        <f t="shared" si="2"/>
        <v>1</v>
      </c>
      <c r="J6" t="str">
        <f>IF(FT!B6&lt;&gt;"",FT!E6,"")</f>
        <v>0 [1.589154]</v>
      </c>
      <c r="K6">
        <f>IF(FT!B6&lt;&gt;"",IF(FT!C6&lt;&gt;"",FT!C6,F6/$M$3*$M$4),"")</f>
        <v>1.5891500000000001</v>
      </c>
      <c r="L6" t="s">
        <v>55</v>
      </c>
      <c r="M6" s="52">
        <f ca="1">IF(M3&gt;0,MAX(FT_E),0)</f>
        <v>2.2913900000000003</v>
      </c>
      <c r="N6" s="52">
        <f ca="1">IF(M3&gt;0,ROUND(M6,1),0)</f>
        <v>2.2999999999999998</v>
      </c>
      <c r="P6">
        <f t="shared" si="10"/>
        <v>3</v>
      </c>
      <c r="Q6">
        <f t="shared" ref="Q6:Q27" si="12">IF(S6=1998,0,R5)</f>
        <v>0</v>
      </c>
      <c r="R6">
        <f t="shared" ref="R6:R27" si="13">IF(S6=1998,0,S6)</f>
        <v>0</v>
      </c>
      <c r="S6">
        <f t="array" ref="S6">MAX(IF(ft_nq=P6,row_n))</f>
        <v>0</v>
      </c>
      <c r="T6">
        <f t="shared" si="11"/>
        <v>1</v>
      </c>
      <c r="V6" t="s">
        <v>211</v>
      </c>
      <c r="W6" s="23">
        <f>IF(W4&lt;&gt;0,W5/W4,0)</f>
        <v>-2.6665096169835398</v>
      </c>
      <c r="Y6" s="75">
        <f t="shared" si="3"/>
        <v>28.719602977667495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2.0659100000000001</v>
      </c>
      <c r="H7" s="50">
        <f>IF(FT!B7&lt;&gt;"",FT!B7*100,"")</f>
        <v>57.6892</v>
      </c>
      <c r="I7" s="50">
        <f t="shared" si="2"/>
        <v>1</v>
      </c>
      <c r="J7" t="str">
        <f>IF(FT!B7&lt;&gt;"",FT!E7,"")</f>
        <v>0 [2.012301]</v>
      </c>
      <c r="K7">
        <f>IF(FT!B7&lt;&gt;"",IF(FT!C7&lt;&gt;"",FT!C7,F7/$M$3*$M$4),"")</f>
        <v>2.0123000000000002</v>
      </c>
      <c r="L7" t="s">
        <v>56</v>
      </c>
      <c r="M7" s="366">
        <f ca="1">IF(M3&gt;0,MIN(FT_PH),0)</f>
        <v>49.908500000000004</v>
      </c>
      <c r="N7" s="52">
        <f ca="1">IF(M3&gt;0,ROUND(M7,1),0)</f>
        <v>49.9</v>
      </c>
      <c r="P7">
        <f t="shared" si="10"/>
        <v>4</v>
      </c>
      <c r="Q7">
        <f t="shared" si="12"/>
        <v>0</v>
      </c>
      <c r="R7">
        <f t="shared" si="13"/>
        <v>0</v>
      </c>
      <c r="S7">
        <f t="array" ref="S7">MAX(IF(ft_nq=P7,row_n))</f>
        <v>0</v>
      </c>
      <c r="T7">
        <f t="shared" si="11"/>
        <v>1</v>
      </c>
      <c r="V7" t="s">
        <v>212</v>
      </c>
      <c r="W7" s="23">
        <f>DEGREES(ATAN(W6))</f>
        <v>-69.442845345651932</v>
      </c>
      <c r="X7" s="106">
        <v>0.05</v>
      </c>
      <c r="Y7" s="75">
        <f t="shared" si="3"/>
        <v>27.924352948579557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9.6066702918252672E-2</v>
      </c>
      <c r="D8" s="50">
        <f>IF(hist!$D$2&gt;0,hist!B8/hist!$D$2,0)</f>
        <v>0.47436781101674458</v>
      </c>
      <c r="E8" s="50">
        <f t="shared" si="1"/>
        <v>4.239235128206329E-5</v>
      </c>
      <c r="F8">
        <f t="shared" si="6"/>
        <v>6</v>
      </c>
      <c r="G8" s="50">
        <f>IF(FT!A8&lt;&gt;"",FT!A8*10,"")</f>
        <v>2.0907999999999998</v>
      </c>
      <c r="H8" s="50">
        <f>IF(FT!B8&lt;&gt;"",FT!B8*100,"")</f>
        <v>56.954999999999998</v>
      </c>
      <c r="I8" s="50">
        <f t="shared" si="2"/>
        <v>1</v>
      </c>
      <c r="J8" t="str">
        <f>IF(FT!B8&lt;&gt;"",FT!E8,"")</f>
        <v>0 [2.412768]</v>
      </c>
      <c r="K8">
        <f>IF(FT!B8&lt;&gt;"",IF(FT!C8&lt;&gt;"",FT!C8,F8/$M$3*$M$4),"")</f>
        <v>2.4127700000000001</v>
      </c>
      <c r="L8" t="s">
        <v>57</v>
      </c>
      <c r="M8" s="52">
        <f ca="1">IF(M3&gt;0,MAX(FT_PH),0)</f>
        <v>61.412599999999998</v>
      </c>
      <c r="N8" s="52">
        <f ca="1">IF(M3&gt;0,ROUND(M8,1),0)</f>
        <v>61.4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27.240769083604363</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2.11233</v>
      </c>
      <c r="H9" s="50">
        <f>IF(FT!B9&lt;&gt;"",FT!B9*100,"")</f>
        <v>56.317399999999992</v>
      </c>
      <c r="I9" s="50">
        <f t="shared" si="2"/>
        <v>1</v>
      </c>
      <c r="J9" t="str">
        <f>IF(FT!B9&lt;&gt;"",FT!E9,"")</f>
        <v>0 [2.814030]</v>
      </c>
      <c r="K9">
        <f>IF(FT!B9&lt;&gt;"",IF(FT!C9&lt;&gt;"",FT!C9,F9/$M$3*$M$4),"")</f>
        <v>2.8140299999999998</v>
      </c>
      <c r="L9" t="s">
        <v>222</v>
      </c>
      <c r="M9" s="74">
        <f ca="1">IF(M3&gt;0,IF(COUNT(FT_E)&gt;0,AVERAGE(FT_E),0),0)</f>
        <v>2.1527643999999997</v>
      </c>
      <c r="N9" s="365">
        <f ca="1">IF(M3&gt;0,IF(COUNT(FT_PH)&gt;0,AVERAGE(FT_PH),0),0)</f>
        <v>54.544627999999996</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26.661269782657062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0.14138118542686243</v>
      </c>
      <c r="D10" s="50">
        <f>IF(hist!$D$2&gt;0,hist!B10/hist!$D$2,0)</f>
        <v>0.30370821629214823</v>
      </c>
      <c r="E10" s="50">
        <f t="shared" si="1"/>
        <v>6.3640932711193118E-5</v>
      </c>
      <c r="F10">
        <f t="shared" si="6"/>
        <v>8</v>
      </c>
      <c r="G10" s="50">
        <f>IF(FT!A10&lt;&gt;"",FT!A10*10,"")</f>
        <v>2.12723</v>
      </c>
      <c r="H10" s="50">
        <f>IF(FT!B10&lt;&gt;"",FT!B10*100,"")</f>
        <v>55.858699999999992</v>
      </c>
      <c r="I10" s="50">
        <f t="shared" si="2"/>
        <v>1</v>
      </c>
      <c r="J10" t="str">
        <f>IF(FT!B10&lt;&gt;"",FT!E10,"")</f>
        <v>0 [3.218836]</v>
      </c>
      <c r="K10">
        <f>IF(FT!B10&lt;&gt;"",IF(FT!C10&lt;&gt;"",FT!C10,F10/$M$3*$M$4),"")</f>
        <v>3.2188400000000001</v>
      </c>
      <c r="M10">
        <v>2</v>
      </c>
      <c r="P10">
        <f t="shared" si="10"/>
        <v>7</v>
      </c>
      <c r="Q10">
        <f t="shared" si="12"/>
        <v>0</v>
      </c>
      <c r="R10">
        <f t="shared" si="13"/>
        <v>0</v>
      </c>
      <c r="S10">
        <f t="array" ref="S10">MAX(IF(ft_nq=P10,row_n))</f>
        <v>0</v>
      </c>
      <c r="T10">
        <f t="shared" si="11"/>
        <v>1</v>
      </c>
      <c r="V10" t="s">
        <v>215</v>
      </c>
      <c r="X10" s="71" t="s">
        <v>270</v>
      </c>
      <c r="Y10" s="75">
        <f t="shared" si="3"/>
        <v>26.258890670026275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2.1406700000000001</v>
      </c>
      <c r="H11" s="50">
        <f>IF(FT!B11&lt;&gt;"",FT!B11*100,"")</f>
        <v>55.403300000000002</v>
      </c>
      <c r="I11" s="50">
        <f t="shared" si="2"/>
        <v>1</v>
      </c>
      <c r="J11" t="str">
        <f>IF(FT!B11&lt;&gt;"",FT!E11,"")</f>
        <v>0 [3.629732]</v>
      </c>
      <c r="K11">
        <f>IF(FT!B11&lt;&gt;"",IF(FT!C11&lt;&gt;"",FT!C11,F11/$M$3*$M$4),"")</f>
        <v>3.6297299999999999</v>
      </c>
      <c r="M11" s="49">
        <f>MAX(IF(ft_nq=1,row_n))</f>
        <v>0</v>
      </c>
      <c r="P11">
        <f t="shared" si="10"/>
        <v>8</v>
      </c>
      <c r="Q11">
        <f t="shared" si="12"/>
        <v>0</v>
      </c>
      <c r="R11">
        <f t="shared" si="13"/>
        <v>0</v>
      </c>
      <c r="S11">
        <f t="array" ref="S11">MAX(IF(ft_nq=P11,row_n))</f>
        <v>0</v>
      </c>
      <c r="T11">
        <f t="shared" si="11"/>
        <v>1</v>
      </c>
      <c r="V11" s="71" t="s">
        <v>216</v>
      </c>
      <c r="W11" s="23">
        <f>FT!H11*100</f>
        <v>49.908500000000004</v>
      </c>
      <c r="Y11" s="75">
        <f t="shared" si="3"/>
        <v>25.881289502819211</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2.15496</v>
      </c>
      <c r="H12" s="50">
        <f>IF(FT!B12&lt;&gt;"",FT!B12*100,"")</f>
        <v>54.907600000000002</v>
      </c>
      <c r="I12" s="50">
        <f t="shared" si="2"/>
        <v>1</v>
      </c>
      <c r="J12" t="str">
        <f>IF(FT!B12&lt;&gt;"",FT!E12,"")</f>
        <v>0 [4.030683]</v>
      </c>
      <c r="K12">
        <f>IF(FT!B12&lt;&gt;"",IF(FT!C12&lt;&gt;"",FT!C12,F12/$M$3*$M$4),"")</f>
        <v>4.0306800000000003</v>
      </c>
      <c r="M12">
        <f>M11+1</f>
        <v>1</v>
      </c>
      <c r="P12">
        <f t="shared" si="10"/>
        <v>9</v>
      </c>
      <c r="Q12">
        <f t="shared" si="12"/>
        <v>0</v>
      </c>
      <c r="R12">
        <f t="shared" si="13"/>
        <v>0</v>
      </c>
      <c r="S12">
        <f t="array" ref="S12">MAX(IF(ft_nq=P12,row_n))</f>
        <v>0</v>
      </c>
      <c r="T12">
        <f t="shared" si="11"/>
        <v>1</v>
      </c>
      <c r="V12" s="71" t="s">
        <v>217</v>
      </c>
      <c r="W12" s="23">
        <f>FT!H12*100</f>
        <v>61.412599999999998</v>
      </c>
      <c r="Y12" s="75">
        <f t="shared" si="3"/>
        <v>25.479637673089062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0.13866231647634583</v>
      </c>
      <c r="D13" s="50">
        <f>IF(hist!$D$2&gt;0,hist!B13/hist!$D$2,0)</f>
        <v>0.24377780702677165</v>
      </c>
      <c r="E13" s="50">
        <f t="shared" si="1"/>
        <v>1.1522836836240688E-4</v>
      </c>
      <c r="F13">
        <f t="shared" si="6"/>
        <v>11</v>
      </c>
      <c r="G13" s="50">
        <f>IF(FT!A13&lt;&gt;"",FT!A13*10,"")</f>
        <v>2.1692900000000002</v>
      </c>
      <c r="H13" s="50">
        <f>IF(FT!B13&lt;&gt;"",FT!B13*100,"")</f>
        <v>54.414499999999997</v>
      </c>
      <c r="I13" s="50">
        <f t="shared" si="2"/>
        <v>1</v>
      </c>
      <c r="J13" t="str">
        <f>IF(FT!B13&lt;&gt;"",FT!E13,"")</f>
        <v>0 [4.440615]</v>
      </c>
      <c r="K13">
        <f>IF(FT!B13&lt;&gt;"",IF(FT!C13&lt;&gt;"",FT!C13,F13/$M$3*$M$4),"")</f>
        <v>4.44062</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25.084013663456705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2.1824599999999998</v>
      </c>
      <c r="H14" s="50">
        <f>IF(FT!B14&lt;&gt;"",FT!B14*100,"")</f>
        <v>54.001100000000001</v>
      </c>
      <c r="I14" s="50">
        <f t="shared" si="2"/>
        <v>1</v>
      </c>
      <c r="J14" t="str">
        <f>IF(FT!B14&lt;&gt;"",FT!E14,"")</f>
        <v>0 [4.872780]</v>
      </c>
      <c r="K14">
        <f>IF(FT!B14&lt;&gt;"",IF(FT!C14&lt;&gt;"",FT!C14,F14/$M$3*$M$4),"")</f>
        <v>4.8727799999999997</v>
      </c>
      <c r="M14">
        <f>M13+1</f>
        <v>1</v>
      </c>
      <c r="P14">
        <f t="shared" si="10"/>
        <v>11</v>
      </c>
      <c r="Q14">
        <f t="shared" si="12"/>
        <v>0</v>
      </c>
      <c r="R14">
        <f t="shared" si="13"/>
        <v>0</v>
      </c>
      <c r="S14">
        <f t="array" ref="S14">MAX(IF(ft_nq=P14,row_n))</f>
        <v>0</v>
      </c>
      <c r="T14">
        <f t="shared" si="11"/>
        <v>1</v>
      </c>
      <c r="V14" s="71" t="s">
        <v>221</v>
      </c>
      <c r="W14">
        <f>FT!H14</f>
        <v>1</v>
      </c>
      <c r="Y14" s="75">
        <f t="shared" si="3"/>
        <v>24.743225534488605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0.13213703099510601</v>
      </c>
      <c r="D15" s="50">
        <f>IF(hist!$D$2&gt;0,hist!B15/hist!$D$2,0)</f>
        <v>0.21050699156690744</v>
      </c>
      <c r="E15" s="50">
        <f t="shared" si="1"/>
        <v>1.6938471460455832E-4</v>
      </c>
      <c r="F15">
        <f t="shared" si="6"/>
        <v>13</v>
      </c>
      <c r="G15" s="50">
        <f>IF(FT!A15&lt;&gt;"",FT!A15*10,"")</f>
        <v>2.1947000000000001</v>
      </c>
      <c r="H15" s="50">
        <f>IF(FT!B15&lt;&gt;"",FT!B15*100,"")</f>
        <v>53.621099999999998</v>
      </c>
      <c r="I15" s="50">
        <f t="shared" si="2"/>
        <v>1</v>
      </c>
      <c r="J15" t="str">
        <f>IF(FT!B15&lt;&gt;"",FT!E15,"")</f>
        <v>0 [5.248502]</v>
      </c>
      <c r="K15">
        <f>IF(FT!B15&lt;&gt;"",IF(FT!C15&lt;&gt;"",FT!C15,F15/$M$3*$M$4),"")</f>
        <v>5.2484999999999999</v>
      </c>
      <c r="M15">
        <f t="array" ref="M15">MAX(IF(ft_nq=3,row_n))</f>
        <v>0</v>
      </c>
      <c r="P15">
        <f t="shared" si="10"/>
        <v>12</v>
      </c>
      <c r="Q15">
        <f t="shared" si="12"/>
        <v>0</v>
      </c>
      <c r="R15">
        <f t="shared" si="13"/>
        <v>0</v>
      </c>
      <c r="S15">
        <f t="array" ref="S15">MAX(IF(ft_nq=P15,row_n))</f>
        <v>0</v>
      </c>
      <c r="T15">
        <f t="shared" si="11"/>
        <v>1</v>
      </c>
      <c r="V15" s="23">
        <f>FT!G15*10</f>
        <v>2.2913900000000003</v>
      </c>
      <c r="W15" s="23">
        <f>FT!H15*100</f>
        <v>49.908500000000004</v>
      </c>
      <c r="Y15" s="75">
        <f t="shared" si="3"/>
        <v>24.432086389939396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2.2071000000000001</v>
      </c>
      <c r="H16" s="50">
        <f>IF(FT!B16&lt;&gt;"",FT!B16*100,"")</f>
        <v>53.222100000000005</v>
      </c>
      <c r="I16" s="50">
        <f t="shared" si="2"/>
        <v>1</v>
      </c>
      <c r="J16" t="str">
        <f>IF(FT!B16&lt;&gt;"",FT!E16,"")</f>
        <v>0 [5.660298]</v>
      </c>
      <c r="K16">
        <f>IF(FT!B16&lt;&gt;"",IF(FT!C16&lt;&gt;"",FT!C16,F16/$M$3*$M$4),"")</f>
        <v>5.6603000000000003</v>
      </c>
      <c r="M16">
        <f>M15+1</f>
        <v>1</v>
      </c>
      <c r="P16">
        <f t="shared" si="10"/>
        <v>13</v>
      </c>
      <c r="Q16">
        <f t="shared" si="12"/>
        <v>0</v>
      </c>
      <c r="R16">
        <f t="shared" si="13"/>
        <v>0</v>
      </c>
      <c r="S16">
        <f t="array" ref="S16">MAX(IF(ft_nq=P16,row_n))</f>
        <v>0</v>
      </c>
      <c r="T16">
        <f t="shared" si="11"/>
        <v>1</v>
      </c>
      <c r="V16" s="23">
        <f>FT!G16*10</f>
        <v>1.8565100000000001</v>
      </c>
      <c r="W16" s="23">
        <f>FT!H16*100</f>
        <v>61.412599999999998</v>
      </c>
      <c r="Y16" s="75">
        <f t="shared" si="3"/>
        <v>24.114041049340766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2.21957</v>
      </c>
      <c r="H17" s="50">
        <f>IF(FT!B17&lt;&gt;"",FT!B17*100,"")</f>
        <v>52.800599999999996</v>
      </c>
      <c r="I17" s="50">
        <f t="shared" si="2"/>
        <v>1</v>
      </c>
      <c r="J17" t="str">
        <f>IF(FT!B17&lt;&gt;"",FT!E17,"")</f>
        <v>0 [6.060861]</v>
      </c>
      <c r="K17">
        <f>IF(FT!B17&lt;&gt;"",IF(FT!C17&lt;&gt;"",FT!C17,F17/$M$3*$M$4),"")</f>
        <v>6.0608599999999999</v>
      </c>
      <c r="M17">
        <f>M3+1</f>
        <v>26</v>
      </c>
      <c r="P17">
        <f t="shared" si="10"/>
        <v>14</v>
      </c>
      <c r="Q17">
        <f t="shared" si="12"/>
        <v>0</v>
      </c>
      <c r="R17">
        <f t="shared" si="13"/>
        <v>0</v>
      </c>
      <c r="S17">
        <f t="array" ref="S17">MAX(IF(ft_nq=P17,row_n))</f>
        <v>0</v>
      </c>
      <c r="T17">
        <f t="shared" si="11"/>
        <v>1</v>
      </c>
      <c r="V17" t="s">
        <v>1522</v>
      </c>
      <c r="Y17" s="75">
        <f t="shared" si="3"/>
        <v>23.788661767819892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0.23062035526554286</v>
      </c>
      <c r="D18" s="50">
        <f>IF(hist!$D$2&gt;0,hist!B18/hist!$D$2,0)</f>
        <v>0.18793426819227954</v>
      </c>
      <c r="E18" s="50">
        <f t="shared" si="1"/>
        <v>2.9716369761879154E-4</v>
      </c>
      <c r="F18">
        <f t="shared" si="6"/>
        <v>16</v>
      </c>
      <c r="G18" s="50">
        <f>IF(FT!A18&lt;&gt;"",FT!A18*10,"")</f>
        <v>2.2326199999999998</v>
      </c>
      <c r="H18" s="50">
        <f>IF(FT!B18&lt;&gt;"",FT!B18*100,"")</f>
        <v>52.345799999999997</v>
      </c>
      <c r="I18" s="50">
        <f t="shared" si="2"/>
        <v>1</v>
      </c>
      <c r="J18" t="str">
        <f>IF(FT!B18&lt;&gt;"",FT!E18,"")</f>
        <v>0 [6.467442]</v>
      </c>
      <c r="K18">
        <f>IF(FT!B18&lt;&gt;"",IF(FT!C18&lt;&gt;"",FT!C18,F18/$M$3*$M$4),"")</f>
        <v>6.4674399999999999</v>
      </c>
      <c r="P18">
        <f t="shared" si="10"/>
        <v>15</v>
      </c>
      <c r="Q18">
        <f t="shared" si="12"/>
        <v>0</v>
      </c>
      <c r="R18">
        <f t="shared" si="13"/>
        <v>0</v>
      </c>
      <c r="S18">
        <f t="array" ref="S18">MAX(IF(ft_nq=P18,row_n))</f>
        <v>0</v>
      </c>
      <c r="T18">
        <f t="shared" si="11"/>
        <v>1</v>
      </c>
      <c r="V18" s="288">
        <f>M!B18*100</f>
        <v>68.180799999999991</v>
      </c>
      <c r="W18" s="287">
        <f>100-M!B19*100</f>
        <v>26.909499999999994</v>
      </c>
      <c r="X18" t="str">
        <f>"(" &amp; ROUND(V18,1) &amp; " , " &amp; ROUND(100-W18,1) &amp; ")"</f>
        <v>(68.2 , 73.1)</v>
      </c>
      <c r="Y18" s="75">
        <f t="shared" si="3"/>
        <v>23.445906603004541</v>
      </c>
      <c r="Z18">
        <f>M!B18*100</f>
        <v>68.180799999999991</v>
      </c>
      <c r="AA18">
        <f>100-M!B19*100</f>
        <v>26.909499999999994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2.2461700000000002</v>
      </c>
      <c r="H19" s="50">
        <f>IF(FT!B19&lt;&gt;"",FT!B19*100,"")</f>
        <v>51.841899999999995</v>
      </c>
      <c r="I19" s="50">
        <f t="shared" si="2"/>
        <v>1</v>
      </c>
      <c r="J19" t="str">
        <f>IF(FT!B19&lt;&gt;"",FT!E19,"")</f>
        <v>0 [6.883901]</v>
      </c>
      <c r="K19">
        <f>IF(FT!B19&lt;&gt;"",IF(FT!C19&lt;&gt;"",FT!C19,F19/$M$3*$M$4),"")</f>
        <v>6.8838999999999997</v>
      </c>
      <c r="P19">
        <f t="shared" si="10"/>
        <v>16</v>
      </c>
      <c r="Q19">
        <f t="shared" si="12"/>
        <v>0</v>
      </c>
      <c r="R19">
        <f t="shared" si="13"/>
        <v>0</v>
      </c>
      <c r="S19">
        <f t="array" ref="S19">MAX(IF(ft_nq=P19,row_n))</f>
        <v>0</v>
      </c>
      <c r="T19">
        <f t="shared" si="11"/>
        <v>1</v>
      </c>
      <c r="V19" t="s">
        <v>1521</v>
      </c>
      <c r="Y19" s="75">
        <f t="shared" si="3"/>
        <v>23.080131957955093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2.2551800000000002</v>
      </c>
      <c r="H20" s="50">
        <f>IF(FT!B20&lt;&gt;"",FT!B20*100,"")</f>
        <v>51.5045</v>
      </c>
      <c r="I20" s="50">
        <f t="shared" si="2"/>
        <v>1</v>
      </c>
      <c r="J20" t="str">
        <f>IF(FT!B20&lt;&gt;"",FT!E20,"")</f>
        <v>0 [7.296228]</v>
      </c>
      <c r="K20">
        <f>IF(FT!B20&lt;&gt;"",IF(FT!C20&lt;&gt;"",FT!C20,F20/$M$3*$M$4),"")</f>
        <v>7.2962300000000004</v>
      </c>
      <c r="P20">
        <f t="shared" si="10"/>
        <v>17</v>
      </c>
      <c r="Q20">
        <f t="shared" si="12"/>
        <v>0</v>
      </c>
      <c r="R20">
        <f t="shared" si="13"/>
        <v>0</v>
      </c>
      <c r="S20">
        <f t="array" ref="S20">MAX(IF(ft_nq=P20,row_n))</f>
        <v>0</v>
      </c>
      <c r="T20">
        <f t="shared" si="11"/>
        <v>1</v>
      </c>
      <c r="V20" s="56">
        <v>50</v>
      </c>
      <c r="W20">
        <v>50</v>
      </c>
      <c r="Y20" s="75">
        <f t="shared" si="3"/>
        <v>22.838310024033557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0.1324995468551749</v>
      </c>
      <c r="D21" s="50">
        <f>IF(hist!$D$2&gt;0,hist!B21/hist!$D$2,0)</f>
        <v>0.16791457452217498</v>
      </c>
      <c r="E21" s="50">
        <f t="shared" si="1"/>
        <v>5.1155989191839816E-4</v>
      </c>
      <c r="F21">
        <f t="shared" si="6"/>
        <v>19</v>
      </c>
      <c r="G21" s="50">
        <f>IF(FT!A21&lt;&gt;"",FT!A21*10,"")</f>
        <v>2.26092</v>
      </c>
      <c r="H21" s="50">
        <f>IF(FT!B21&lt;&gt;"",FT!B21*100,"")</f>
        <v>51.295100000000005</v>
      </c>
      <c r="I21" s="50">
        <f t="shared" si="2"/>
        <v>1</v>
      </c>
      <c r="J21" t="str">
        <f>IF(FT!B21&lt;&gt;"",FT!E21,"")</f>
        <v>0 [7.689098]</v>
      </c>
      <c r="K21">
        <f>IF(FT!B21&lt;&gt;"",IF(FT!C21&lt;&gt;"",FT!C21,F21/$M$3*$M$4),"")</f>
        <v>7.6890999999999998</v>
      </c>
      <c r="P21">
        <f t="shared" si="10"/>
        <v>18</v>
      </c>
      <c r="Q21">
        <f t="shared" si="12"/>
        <v>0</v>
      </c>
      <c r="R21">
        <f t="shared" si="13"/>
        <v>0</v>
      </c>
      <c r="S21">
        <f t="array" ref="S21">MAX(IF(ft_nq=P21,row_n))</f>
        <v>0</v>
      </c>
      <c r="T21">
        <f t="shared" si="11"/>
        <v>1</v>
      </c>
      <c r="V21" s="288">
        <f>Measurement!DK17*100</f>
        <v>55.60857413370546</v>
      </c>
      <c r="W21" s="287">
        <f>'R3'!I3</f>
        <v>12.345191499855709</v>
      </c>
      <c r="X21" t="str">
        <f>"(" &amp; ROUND(V21,1) &amp; " , " &amp; ROUND(W21,1) &amp; ")" &amp; CHAR(10) &amp; AR26</f>
        <v>(55.6 , 12.3)
한가로운</v>
      </c>
      <c r="Y21" s="75">
        <f t="shared" si="3"/>
        <v>22.687711197211755</v>
      </c>
      <c r="AA21">
        <f>100-M!B19*100</f>
        <v>26.909499999999994</v>
      </c>
      <c r="AC21">
        <f>'R3'!I3</f>
        <v>12.345191499855709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2.2667799999999998</v>
      </c>
      <c r="H22" s="50">
        <f>IF(FT!B22&lt;&gt;"",FT!B22*100,"")</f>
        <v>51.054400000000001</v>
      </c>
      <c r="I22" s="50">
        <f t="shared" si="2"/>
        <v>1</v>
      </c>
      <c r="J22" t="str">
        <f>IF(FT!B22&lt;&gt;"",FT!E22,"")</f>
        <v>0 [8.107077]</v>
      </c>
      <c r="K22">
        <f>IF(FT!B22&lt;&gt;"",IF(FT!C22&lt;&gt;"",FT!C22,F22/$M$3*$M$4),"")</f>
        <v>8.1070799999999998</v>
      </c>
      <c r="P22">
        <f t="shared" si="10"/>
        <v>19</v>
      </c>
      <c r="Q22">
        <f t="shared" si="12"/>
        <v>0</v>
      </c>
      <c r="R22">
        <f t="shared" si="13"/>
        <v>0</v>
      </c>
      <c r="S22">
        <f t="array" ref="S22">MAX(IF(ft_nq=P22,row_n))</f>
        <v>0</v>
      </c>
      <c r="T22">
        <f t="shared" si="11"/>
        <v>1</v>
      </c>
      <c r="V22" s="300">
        <f>X23</f>
        <v>90</v>
      </c>
      <c r="W22" s="300">
        <f>X23</f>
        <v>90</v>
      </c>
      <c r="X22" t="s">
        <v>1188</v>
      </c>
      <c r="Y22" s="75">
        <f t="shared" si="3"/>
        <v>22.522873856307186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0.14035390610839224</v>
      </c>
      <c r="D23" s="50">
        <f>IF(hist!$D$2&gt;0,hist!B23/hist!$D$2,0)</f>
        <v>0.14782137099054918</v>
      </c>
      <c r="E23" s="50">
        <f t="shared" si="1"/>
        <v>7.2710399246906645E-4</v>
      </c>
      <c r="F23">
        <f t="shared" si="6"/>
        <v>21</v>
      </c>
      <c r="G23" s="50">
        <f>IF(FT!A23&lt;&gt;"",FT!A23*10,"")</f>
        <v>2.2729300000000001</v>
      </c>
      <c r="H23" s="50">
        <f>IF(FT!B23&lt;&gt;"",FT!B23*100,"")</f>
        <v>50.782799999999995</v>
      </c>
      <c r="I23" s="50">
        <f t="shared" si="2"/>
        <v>1</v>
      </c>
      <c r="J23" t="str">
        <f>IF(FT!B23&lt;&gt;"",FT!E23,"")</f>
        <v>0 [8.508575]</v>
      </c>
      <c r="K23">
        <f>IF(FT!B23&lt;&gt;"",IF(FT!C23&lt;&gt;"",FT!C23,F23/$M$3*$M$4),"")</f>
        <v>8.5085700000000006</v>
      </c>
      <c r="P23">
        <f t="shared" si="10"/>
        <v>20</v>
      </c>
      <c r="Q23">
        <f t="shared" si="12"/>
        <v>0</v>
      </c>
      <c r="R23">
        <f t="shared" si="13"/>
        <v>0</v>
      </c>
      <c r="S23">
        <f t="array" ref="S23">MAX(IF(ft_nq=P23,row_n))</f>
        <v>0</v>
      </c>
      <c r="T23">
        <f t="shared" si="11"/>
        <v>1</v>
      </c>
      <c r="V23" s="300">
        <f>100-X23</f>
        <v>10</v>
      </c>
      <c r="W23" s="300">
        <f>X23</f>
        <v>90</v>
      </c>
      <c r="X23">
        <v>90</v>
      </c>
      <c r="Y23" s="75">
        <f t="shared" si="3"/>
        <v>22.34243905443634</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2.2790900000000001</v>
      </c>
      <c r="H24" s="50">
        <f>IF(FT!B24&lt;&gt;"",FT!B24*100,"")</f>
        <v>50.503799999999998</v>
      </c>
      <c r="I24" s="50">
        <f t="shared" si="2"/>
        <v>1</v>
      </c>
      <c r="J24" t="str">
        <f>IF(FT!B24&lt;&gt;"",FT!E24,"")</f>
        <v>0 [8.912708]</v>
      </c>
      <c r="K24">
        <f>IF(FT!B24&lt;&gt;"",IF(FT!C24&lt;&gt;"",FT!C24,F24/$M$3*$M$4),"")</f>
        <v>8.9127100000000006</v>
      </c>
      <c r="P24">
        <f t="shared" si="10"/>
        <v>21</v>
      </c>
      <c r="Q24">
        <f t="shared" si="12"/>
        <v>0</v>
      </c>
      <c r="R24">
        <f t="shared" si="13"/>
        <v>0</v>
      </c>
      <c r="S24">
        <f t="array" ref="S24">MAX(IF(ft_nq=P24,row_n))</f>
        <v>0</v>
      </c>
      <c r="T24">
        <f t="shared" si="11"/>
        <v>1</v>
      </c>
      <c r="V24" s="300">
        <f>100-X23</f>
        <v>10</v>
      </c>
      <c r="W24" s="300">
        <f>100-X23</f>
        <v>10</v>
      </c>
      <c r="Y24" s="75">
        <f t="shared" si="3"/>
        <v>22.159633888964454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2.2863800000000003</v>
      </c>
      <c r="H25" s="50">
        <f>IF(FT!B25&lt;&gt;"",FT!B25*100,"")</f>
        <v>50.164400000000001</v>
      </c>
      <c r="I25" s="50">
        <f t="shared" si="2"/>
        <v>1</v>
      </c>
      <c r="J25" t="str">
        <f>IF(FT!B25&lt;&gt;"",FT!E25,"")</f>
        <v>0 [9.329116]</v>
      </c>
      <c r="K25">
        <f>IF(FT!B25&lt;&gt;"",IF(FT!C25&lt;&gt;"",FT!C25,F25/$M$3*$M$4),"")</f>
        <v>9.3291199999999996</v>
      </c>
      <c r="P25">
        <f t="shared" si="10"/>
        <v>22</v>
      </c>
      <c r="Q25">
        <f t="shared" si="12"/>
        <v>0</v>
      </c>
      <c r="R25">
        <f t="shared" si="13"/>
        <v>0</v>
      </c>
      <c r="S25">
        <f t="array" ref="S25">MAX(IF(ft_nq=P25,row_n))</f>
        <v>0</v>
      </c>
      <c r="T25">
        <f t="shared" si="11"/>
        <v>1</v>
      </c>
      <c r="V25" s="300">
        <f>X23</f>
        <v>90</v>
      </c>
      <c r="W25" s="300">
        <f>100-X23</f>
        <v>10</v>
      </c>
      <c r="Y25" s="75">
        <f t="shared" si="3"/>
        <v>21.940534819233896</v>
      </c>
    </row>
    <row r="26" spans="1:120">
      <c r="A26" s="50">
        <f t="shared" si="5"/>
        <v>24</v>
      </c>
      <c r="B26" s="50">
        <f t="shared" si="0"/>
        <v>0.46337976470588232</v>
      </c>
      <c r="C26" s="50">
        <f>IF(FH!$C$2&gt;0,FH!A26/FH!$C$2,0)</f>
        <v>0.22681393873481961</v>
      </c>
      <c r="D26" s="50">
        <f>IF(hist!$D$2&gt;0,hist!B26/hist!$D$2,0)</f>
        <v>0.13019947222373382</v>
      </c>
      <c r="E26" s="50">
        <f t="shared" si="1"/>
        <v>1.2128188079122912E-3</v>
      </c>
      <c r="F26">
        <f t="shared" si="6"/>
        <v>24</v>
      </c>
      <c r="G26" s="50">
        <f>IF(FT!A26&lt;&gt;"",FT!A26*10,"")</f>
        <v>2.2913900000000003</v>
      </c>
      <c r="H26" s="50">
        <f>IF(FT!B26&lt;&gt;"",FT!B26*100,"")</f>
        <v>49.908500000000004</v>
      </c>
      <c r="I26" s="50">
        <f t="shared" si="2"/>
        <v>1</v>
      </c>
      <c r="J26" t="str">
        <f>IF(FT!B26&lt;&gt;"",FT!E26,"")</f>
        <v>0 [9.717405]</v>
      </c>
      <c r="K26">
        <f>IF(FT!B26&lt;&gt;"",IF(FT!C26&lt;&gt;"",FT!C26,F26/$M$3*$M$4),"")</f>
        <v>9.7174099999999992</v>
      </c>
      <c r="P26">
        <f t="shared" si="10"/>
        <v>23</v>
      </c>
      <c r="Q26">
        <f t="shared" si="12"/>
        <v>0</v>
      </c>
      <c r="R26">
        <f t="shared" si="13"/>
        <v>0</v>
      </c>
      <c r="S26">
        <f t="array" ref="S26">MAX(IF(ft_nq=P26,row_n))</f>
        <v>0</v>
      </c>
      <c r="T26">
        <f t="shared" si="11"/>
        <v>1</v>
      </c>
      <c r="V26" s="300">
        <f>X23</f>
        <v>90</v>
      </c>
      <c r="W26" s="300">
        <f>X23</f>
        <v>90</v>
      </c>
      <c r="Y26" s="75">
        <f t="shared" si="3"/>
        <v>21.780884092188582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0.40227161500815661</v>
      </c>
      <c r="D28" s="50">
        <f>IF(hist!$D$2&gt;0,hist!B28/hist!$D$2,0)</f>
        <v>0.1141440906792677</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0.69186151894145365</v>
      </c>
      <c r="D31" s="50">
        <f>IF(hist!$D$2&gt;0,hist!B31/hist!$D$2,0)</f>
        <v>0.10448349112791086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0.59440366141018663</v>
      </c>
      <c r="D33" s="50">
        <f>IF(hist!$D$2&gt;0,hist!B33/hist!$D$2,0)</f>
        <v>9.2367929655157041E-2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0.45294299999999998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54.7057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35.81733333333333</v>
      </c>
      <c r="W35" s="23">
        <f>IF(FH_info!G2*1&lt;&gt;0,(1-NORMSDIST((FH_info!G2*1-0.5308)/0.1538))*100,0)</f>
        <v>69.364972246809558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0.56854721769077388</v>
      </c>
      <c r="D36" s="50">
        <f>IF(hist!$D$2&gt;0,hist!B36/hist!$D$2,0)</f>
        <v>7.8808377097363796E-2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1.0745199999999999</v>
      </c>
      <c r="W36" s="495">
        <f>IF(W34&gt;=60,30/40*(W34-60)+70,IF(W34&gt;=35,35/25*(W34-35)+35,IF(W34&gt;=0,W34,0)))</f>
        <v>62.587980000000002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0.58588453869856805</v>
      </c>
      <c r="D39" s="50">
        <f>IF(hist!$D$2&gt;0,hist!B39/hist!$D$2,0)</f>
        <v>6.7252430488632095E-2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0.63543139387348191</v>
      </c>
      <c r="D41" s="50">
        <f>IF(hist!$D$2&gt;0,hist!B41/hist!$D$2,0)</f>
        <v>5.6891291408223792E-2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8.7793299999999999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0.56238444806960297</v>
      </c>
      <c r="D44" s="50">
        <f>IF(hist!$D$2&gt;0,hist!B44/hist!$D$2,0)</f>
        <v>4.6379016640741476E-2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0.78442541236179075</v>
      </c>
      <c r="D46" s="50">
        <f>IF(hist!$D$2&gt;0,hist!B46/hist!$D$2,0)</f>
        <v>3.8144023432962922E-2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v>
      </c>
      <c r="D49" s="50">
        <f>IF(hist!$D$2&gt;0,hist!B49/hist!$D$2,0)</f>
        <v>3.1881996980886E-2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0.74394145368859887</v>
      </c>
      <c r="D51" s="50">
        <f>IF(hist!$D$2&gt;0,hist!B51/hist!$D$2,0)</f>
        <v>2.3971751343844255E-2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55.60857413370546</v>
      </c>
      <c r="W52" s="303">
        <f ca="1">100-N9</f>
        <v>45.455372000000004</v>
      </c>
      <c r="X52" t="str">
        <f ca="1">"(" &amp; ROUND(V52,1) &amp; " , " &amp; ROUND(100-W52,1) &amp; ")"</f>
        <v>(55.6 , 54.5)</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0.77542142468733</v>
      </c>
      <c r="D54" s="50">
        <f>IF(hist!$D$2&gt;0,hist!B54/hist!$D$2,0)</f>
        <v>2.1279854190404082E-2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0.84182073590719597</v>
      </c>
      <c r="D57" s="50">
        <f>IF(hist!$D$2&gt;0,hist!B57/hist!$D$2,0)</f>
        <v>1.6937694422144958E-2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0.76823001631321364</v>
      </c>
      <c r="D59" s="50">
        <f>IF(hist!$D$2&gt;0,hist!B59/hist!$D$2,0)</f>
        <v>1.4319327043710367E-2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0.60757658147543947</v>
      </c>
      <c r="D62" s="50">
        <f>IF(hist!$D$2&gt;0,hist!B62/hist!$D$2,0)</f>
        <v>1.2207477521027011E-2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0.59494743520029003</v>
      </c>
      <c r="D64" s="50">
        <f>IF(hist!$D$2&gt;0,hist!B64/hist!$D$2,0)</f>
        <v>1.0369308204405328E-2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0.5037157875657059</v>
      </c>
      <c r="D67" s="50">
        <f>IF(hist!$D$2&gt;0,hist!B67/hist!$D$2,0)</f>
        <v>7.7938314076164252E-3</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0.49441272430668842</v>
      </c>
      <c r="D69" s="50">
        <f>IF(hist!$D$2&gt;0,hist!B69/hist!$D$2,0)</f>
        <v>6.8236878095661235E-3</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0.64854087366322266</v>
      </c>
      <c r="D72" s="50">
        <f>IF(hist!$D$2&gt;0,hist!B72/hist!$D$2,0)</f>
        <v>6.1456076272321334E-3</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0.51404748957766899</v>
      </c>
      <c r="D75" s="50">
        <f>IF(hist!$D$2&gt;0,hist!B75/hist!$D$2,0)</f>
        <v>5.1325734475361449E-3</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0.39320871850643463</v>
      </c>
      <c r="D77" s="50">
        <f>IF(hist!$D$2&gt;0,hist!B77/hist!$D$2,0)</f>
        <v>4.2768037126700194E-3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0.38166893239079208</v>
      </c>
      <c r="D80" s="50">
        <f>IF(hist!$D$2&gt;0,hist!B80/hist!$D$2,0)</f>
        <v>4.1420047417835724E-3</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0.28330614464382814</v>
      </c>
      <c r="D82" s="50">
        <f>IF(hist!$D$2&gt;0,hist!B82/hist!$D$2,0)</f>
        <v>3.6763355696303891E-3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0.26282399854993654</v>
      </c>
      <c r="D85" s="50">
        <f>IF(hist!$D$2&gt;0,hist!B85/hist!$D$2,0)</f>
        <v>3.0819946525401428E-3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0.18409778865325355</v>
      </c>
      <c r="D88" s="50">
        <f>IF(hist!$D$2&gt;0,hist!B88/hist!$D$2,0)</f>
        <v>3.5394947006963094E-3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0.18603090447707088</v>
      </c>
      <c r="D90" s="50">
        <f>IF(hist!$D$2&gt;0,hist!B90/hist!$D$2,0)</f>
        <v>2.2119285677276172E-3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0.34632363603407645</v>
      </c>
      <c r="D93" s="50">
        <f>IF(hist!$D$2&gt;0,hist!B93/hist!$D$2,0)</f>
        <v>2.5591385487948723E-3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0.2632467826717419</v>
      </c>
      <c r="D95" s="50">
        <f>IF(hist!$D$2&gt;0,hist!B95/hist!$D$2,0)</f>
        <v>1.8136588810176585E-3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0.28795858256298712</v>
      </c>
      <c r="D98" s="50">
        <f>IF(hist!$D$2&gt;0,hist!B98/hist!$D$2,0)</f>
        <v>1.1417059246330529E-3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0.49072412543048755</v>
      </c>
      <c r="D100" s="50">
        <f>IF(hist!$D$2&gt;0,hist!B100/hist!$D$2,0)</f>
        <v>1.0538828632940449E-3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0.29629644734457128</v>
      </c>
      <c r="D103" s="50">
        <f>IF(hist!$D$2&gt;0,hist!B103/hist!$D$2,0)</f>
        <v>5.8821369114086229E-4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0.14555011781765453</v>
      </c>
      <c r="D106" s="50">
        <f>IF(hist!$D$2&gt;0,hist!B106/hist!$D$2,0)</f>
        <v>2.7981049562403093E-4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7.667210440456769E-2</v>
      </c>
      <c r="D108" s="50">
        <f>IF(hist!$D$2&gt;0,hist!B108/hist!$D$2,0)</f>
        <v>1.3479897088644759E-4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7.7397136124705446E-2</v>
      </c>
      <c r="D111" s="50">
        <f>IF(hist!$D$2&gt;0,hist!B111/hist!$D$2,0)</f>
        <v>1.0620473918715992E-4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4.573726663041508E-2</v>
      </c>
      <c r="D113" s="50">
        <f>IF(hist!$D$2&gt;0,hist!B113/hist!$D$2,0)</f>
        <v>6.3314157541472039E-5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2.7188689505165849E-3</v>
      </c>
      <c r="D116" s="50">
        <f>IF(hist!$D$2&gt;0,hist!B116/hist!$D$2,0)</f>
        <v>6.1272259493839825E-6</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1.6796583288018852E-2</v>
      </c>
      <c r="D118" s="50">
        <f>IF(hist!$D$2&gt;0,hist!B118/hist!$D$2,0)</f>
        <v>2.0423575895784156E-5</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27.018699999999999</v>
      </c>
      <c r="C5" s="49">
        <v>2.9727700000000001</v>
      </c>
      <c r="D5" s="49">
        <v>11.002599999999999</v>
      </c>
      <c r="E5" s="49">
        <v>20</v>
      </c>
      <c r="F5" s="49">
        <v>19.3552</v>
      </c>
      <c r="G5" s="49">
        <v>50</v>
      </c>
      <c r="H5" s="49">
        <v>30.697099999999999</v>
      </c>
    </row>
    <row r="6" spans="1:10">
      <c r="A6" t="s">
        <v>1111</v>
      </c>
      <c r="B6" s="49">
        <v>29.27</v>
      </c>
      <c r="C6" s="49">
        <v>0.14174100000000001</v>
      </c>
      <c r="D6" s="49">
        <v>0.48425299999999999</v>
      </c>
      <c r="E6" s="49">
        <v>20</v>
      </c>
      <c r="F6" s="49">
        <v>28.762699999999999</v>
      </c>
      <c r="G6" s="49">
        <v>40</v>
      </c>
      <c r="H6" s="49">
        <v>29.3888</v>
      </c>
    </row>
    <row r="7" spans="1:10">
      <c r="A7" t="s">
        <v>1112</v>
      </c>
      <c r="B7" s="49">
        <v>38.487400000000001</v>
      </c>
      <c r="C7" s="49">
        <v>6.1152899999999999</v>
      </c>
      <c r="D7" s="49">
        <v>15.889099999999999</v>
      </c>
      <c r="E7" s="49">
        <v>15</v>
      </c>
      <c r="F7" s="49">
        <v>22.690999999999999</v>
      </c>
      <c r="G7" s="49">
        <v>40</v>
      </c>
      <c r="H7" s="49">
        <v>50.213700000000003</v>
      </c>
    </row>
    <row r="8" spans="1:10">
      <c r="A8" t="s">
        <v>1113</v>
      </c>
      <c r="B8" s="49">
        <v>31.170500000000001</v>
      </c>
      <c r="C8" s="49">
        <v>3.1274899999999999</v>
      </c>
      <c r="D8" s="49">
        <v>10.0335</v>
      </c>
      <c r="E8" s="49">
        <v>20</v>
      </c>
      <c r="F8" s="49">
        <v>25.2182</v>
      </c>
      <c r="G8" s="49">
        <v>50</v>
      </c>
      <c r="H8" s="49">
        <v>35.9268</v>
      </c>
    </row>
    <row r="9" spans="1:10">
      <c r="A9" t="s">
        <v>1114</v>
      </c>
      <c r="B9" s="49">
        <v>72.020799999999994</v>
      </c>
      <c r="C9" s="49">
        <v>2.4643799999999998</v>
      </c>
      <c r="D9" s="49">
        <v>3.4217599999999999</v>
      </c>
      <c r="E9" s="49">
        <v>50</v>
      </c>
      <c r="F9" s="49">
        <v>65.6357</v>
      </c>
      <c r="G9" s="49">
        <v>100</v>
      </c>
      <c r="H9" s="49">
        <v>77.412999999999997</v>
      </c>
    </row>
    <row r="10" spans="1:10">
      <c r="A10" t="s">
        <v>1115</v>
      </c>
      <c r="B10" s="49">
        <v>72.886300000000006</v>
      </c>
      <c r="C10" s="49">
        <v>0.709368</v>
      </c>
      <c r="D10" s="49">
        <v>0.97325399999999995</v>
      </c>
      <c r="E10" s="49">
        <v>40</v>
      </c>
      <c r="F10" s="49">
        <v>71.527299999999997</v>
      </c>
      <c r="G10" s="49">
        <v>100</v>
      </c>
      <c r="H10" s="49">
        <v>74.499899999999997</v>
      </c>
    </row>
    <row r="11" spans="1:10">
      <c r="A11" t="s">
        <v>1116</v>
      </c>
      <c r="B11" s="49">
        <v>12.4435</v>
      </c>
      <c r="C11" s="49">
        <v>0.93854899999999997</v>
      </c>
      <c r="D11" s="49">
        <v>7.54251</v>
      </c>
      <c r="E11" s="49">
        <v>10</v>
      </c>
      <c r="F11" s="49">
        <v>9.6257999999999999</v>
      </c>
      <c r="G11" s="49">
        <v>50</v>
      </c>
      <c r="H11" s="49">
        <v>12.863200000000001</v>
      </c>
    </row>
    <row r="12" spans="1:10">
      <c r="A12" t="s">
        <v>1117</v>
      </c>
      <c r="B12" s="49">
        <v>72.5655</v>
      </c>
      <c r="C12" s="49">
        <v>1.4604999999999999</v>
      </c>
      <c r="D12" s="49">
        <v>2.0126599999999999</v>
      </c>
      <c r="E12" s="49">
        <v>50</v>
      </c>
      <c r="F12" s="49">
        <v>68.598200000000006</v>
      </c>
      <c r="G12" s="49">
        <v>100</v>
      </c>
      <c r="H12" s="49">
        <v>75.914199999999994</v>
      </c>
    </row>
    <row r="13" spans="1:10">
      <c r="A13" t="s">
        <v>1118</v>
      </c>
      <c r="B13" s="49">
        <v>19.221299999999999</v>
      </c>
      <c r="C13" s="49">
        <v>2.57382</v>
      </c>
      <c r="D13" s="49">
        <v>13.3904</v>
      </c>
      <c r="E13" s="49">
        <v>10</v>
      </c>
      <c r="F13" s="49">
        <v>14.8947</v>
      </c>
      <c r="G13" s="49">
        <v>25</v>
      </c>
      <c r="H13" s="49">
        <v>24.073899999999998</v>
      </c>
      <c r="J13" s="49"/>
    </row>
    <row r="14" spans="1:10">
      <c r="A14" t="s">
        <v>1119</v>
      </c>
      <c r="B14" s="49">
        <v>25.738199999999999</v>
      </c>
      <c r="C14" s="49">
        <v>5.93093</v>
      </c>
      <c r="D14" s="49">
        <v>23.043199999999999</v>
      </c>
      <c r="E14" s="49">
        <v>10</v>
      </c>
      <c r="F14" s="49">
        <v>2.0456799999999999</v>
      </c>
      <c r="G14" s="49">
        <v>50</v>
      </c>
      <c r="H14" s="49">
        <v>25.738199999999999</v>
      </c>
    </row>
    <row r="15" spans="1:10">
      <c r="A15" t="s">
        <v>1120</v>
      </c>
      <c r="B15" s="49">
        <v>-0.120823</v>
      </c>
      <c r="C15" s="49">
        <v>0</v>
      </c>
      <c r="D15" s="49">
        <v>0</v>
      </c>
      <c r="E15" s="49">
        <v>0</v>
      </c>
      <c r="F15" s="49">
        <v>0</v>
      </c>
      <c r="G15" s="49">
        <v>0</v>
      </c>
      <c r="H15" s="49">
        <v>0</v>
      </c>
    </row>
    <row r="16" spans="1:10">
      <c r="A16" t="s">
        <v>1121</v>
      </c>
      <c r="B16" s="49">
        <v>-0.224518</v>
      </c>
      <c r="C16" s="49">
        <v>0</v>
      </c>
      <c r="D16" s="49">
        <v>0</v>
      </c>
      <c r="E16" s="49">
        <v>0</v>
      </c>
      <c r="F16" s="49">
        <v>0</v>
      </c>
      <c r="G16" s="49">
        <v>0</v>
      </c>
      <c r="H16" s="49">
        <v>0</v>
      </c>
    </row>
    <row r="17" spans="1:8">
      <c r="A17" t="s">
        <v>1122</v>
      </c>
      <c r="B17" s="49">
        <v>8.7793299999999999</v>
      </c>
      <c r="C17" s="49">
        <v>0</v>
      </c>
      <c r="D17" s="49">
        <v>0</v>
      </c>
      <c r="E17" s="49">
        <v>0</v>
      </c>
      <c r="F17" s="49">
        <v>0</v>
      </c>
      <c r="G17" s="49">
        <v>0</v>
      </c>
      <c r="H17" s="49">
        <v>0</v>
      </c>
    </row>
    <row r="18" spans="1:8">
      <c r="A18" t="s">
        <v>1123</v>
      </c>
      <c r="B18" s="49">
        <v>0.68180799999999997</v>
      </c>
      <c r="C18" s="49">
        <v>0</v>
      </c>
      <c r="D18" s="49">
        <v>0</v>
      </c>
      <c r="E18" s="49">
        <v>0</v>
      </c>
      <c r="F18" s="49">
        <v>0</v>
      </c>
      <c r="G18" s="49">
        <v>0</v>
      </c>
      <c r="H18" s="49">
        <v>0</v>
      </c>
    </row>
    <row r="19" spans="1:8">
      <c r="A19" t="s">
        <v>1124</v>
      </c>
      <c r="B19" s="49">
        <v>0.73090500000000003</v>
      </c>
      <c r="C19" s="49">
        <v>0</v>
      </c>
      <c r="D19" s="49">
        <v>0</v>
      </c>
      <c r="E19" s="49">
        <v>0</v>
      </c>
      <c r="F19" s="49">
        <v>0</v>
      </c>
      <c r="G19" s="49">
        <v>0</v>
      </c>
      <c r="H19" s="49">
        <v>0</v>
      </c>
    </row>
    <row r="20" spans="1:8">
      <c r="A20" t="s">
        <v>1125</v>
      </c>
      <c r="B20" s="49">
        <v>2.44422E-3</v>
      </c>
      <c r="C20" s="49">
        <v>1.07724E-2</v>
      </c>
      <c r="D20" s="49">
        <v>4.4072800000000001</v>
      </c>
      <c r="E20" s="49">
        <v>0</v>
      </c>
      <c r="F20" s="49">
        <v>1.79985E-3</v>
      </c>
      <c r="G20" s="49">
        <v>0</v>
      </c>
      <c r="H20" s="49">
        <v>0.115645</v>
      </c>
    </row>
    <row r="21" spans="1:8">
      <c r="A21" t="s">
        <v>1126</v>
      </c>
      <c r="B21" s="49">
        <v>7.3634499999999997E-3</v>
      </c>
      <c r="C21" s="49">
        <v>8.8528499999999996E-2</v>
      </c>
      <c r="D21" s="49">
        <v>12.0227</v>
      </c>
      <c r="E21" s="49">
        <v>0</v>
      </c>
      <c r="F21" s="49">
        <v>2.6208099999999999E-3</v>
      </c>
      <c r="G21" s="49">
        <v>0</v>
      </c>
      <c r="H21" s="49">
        <v>0.45318399999999998</v>
      </c>
    </row>
    <row r="22" spans="1:8">
      <c r="A22" t="s">
        <v>1127</v>
      </c>
      <c r="B22" s="49">
        <v>32.9146</v>
      </c>
      <c r="C22" s="49">
        <v>13.1906</v>
      </c>
      <c r="D22" s="49">
        <v>0.400752</v>
      </c>
      <c r="E22" s="49">
        <v>0</v>
      </c>
      <c r="F22" s="49">
        <v>14.7049</v>
      </c>
      <c r="G22" s="49">
        <v>0</v>
      </c>
      <c r="H22" s="49">
        <v>53.5212</v>
      </c>
    </row>
    <row r="23" spans="1:8">
      <c r="A23" t="s">
        <v>1128</v>
      </c>
      <c r="B23" s="49">
        <v>16.058900000000001</v>
      </c>
      <c r="C23" s="49">
        <v>0.69289699999999999</v>
      </c>
      <c r="D23" s="49">
        <v>4.3147100000000001E-2</v>
      </c>
      <c r="E23" s="49">
        <v>0</v>
      </c>
      <c r="F23" s="49">
        <v>13.8681</v>
      </c>
      <c r="G23" s="49">
        <v>0</v>
      </c>
      <c r="H23" s="49">
        <v>16.180599999999998</v>
      </c>
    </row>
    <row r="24" spans="1:8">
      <c r="A24" t="s">
        <v>1129</v>
      </c>
      <c r="B24" s="49">
        <v>2.47562E-3</v>
      </c>
      <c r="C24" s="49">
        <v>5.8465499999999998E-3</v>
      </c>
      <c r="D24" s="49">
        <v>2.36165</v>
      </c>
      <c r="E24" s="49">
        <v>0</v>
      </c>
      <c r="F24" s="49">
        <v>2.1235300000000002E-3</v>
      </c>
      <c r="G24" s="49">
        <v>0</v>
      </c>
      <c r="H24" s="49">
        <v>3.2832600000000003E-2</v>
      </c>
    </row>
    <row r="25" spans="1:8">
      <c r="A25" t="s">
        <v>1130</v>
      </c>
      <c r="B25" s="49">
        <v>1.18963E-2</v>
      </c>
      <c r="C25" s="49">
        <v>6.6067399999999998E-2</v>
      </c>
      <c r="D25" s="49">
        <v>5.5536199999999996</v>
      </c>
      <c r="E25" s="49">
        <v>0</v>
      </c>
      <c r="F25" s="49">
        <v>3.2075799999999998E-3</v>
      </c>
      <c r="G25" s="49">
        <v>0</v>
      </c>
      <c r="H25" s="49">
        <v>0.19939999999999999</v>
      </c>
    </row>
    <row r="26" spans="1:8">
      <c r="A26" t="s">
        <v>1131</v>
      </c>
      <c r="B26" s="49">
        <v>4.9428199999999997E-4</v>
      </c>
      <c r="C26" s="49">
        <v>1.00687E-3</v>
      </c>
      <c r="D26" s="49">
        <v>2.0370300000000001</v>
      </c>
      <c r="E26" s="49">
        <v>0</v>
      </c>
      <c r="F26" s="173">
        <v>3.7753100000000001E-4</v>
      </c>
      <c r="G26" s="49">
        <v>0</v>
      </c>
      <c r="H26" s="49">
        <v>1.0932000000000001E-2</v>
      </c>
    </row>
    <row r="27" spans="1:8">
      <c r="A27" t="s">
        <v>1132</v>
      </c>
      <c r="B27" s="173">
        <v>-3.2733800000000002E-6</v>
      </c>
      <c r="C27" s="49">
        <v>1.04772E-3</v>
      </c>
      <c r="D27" s="49">
        <v>-320.072</v>
      </c>
      <c r="E27" s="49">
        <v>0</v>
      </c>
      <c r="F27" s="49">
        <v>-9.1327700000000001E-3</v>
      </c>
      <c r="G27" s="49">
        <v>0</v>
      </c>
      <c r="H27" s="49">
        <v>7.9728999999999998E-3</v>
      </c>
    </row>
    <row r="28" spans="1:8">
      <c r="A28" t="s">
        <v>1133</v>
      </c>
      <c r="B28" s="49">
        <v>1.23427E-3</v>
      </c>
      <c r="C28" s="49">
        <v>6.7167299999999997E-3</v>
      </c>
      <c r="D28" s="49">
        <v>5.4418800000000003</v>
      </c>
      <c r="E28" s="49">
        <v>0</v>
      </c>
      <c r="F28" s="49">
        <v>5.3059899999999998E-4</v>
      </c>
      <c r="G28" s="49">
        <v>0</v>
      </c>
      <c r="H28" s="49">
        <v>3.1926000000000003E-2</v>
      </c>
    </row>
    <row r="29" spans="1:8">
      <c r="A29" t="s">
        <v>1134</v>
      </c>
      <c r="B29" s="49">
        <v>49.756300000000003</v>
      </c>
      <c r="C29" s="49">
        <v>7.9797500000000001</v>
      </c>
      <c r="D29" s="49">
        <v>0.16037699999999999</v>
      </c>
      <c r="E29" s="49">
        <v>0</v>
      </c>
      <c r="F29" s="49">
        <v>41.6464</v>
      </c>
      <c r="G29" s="49">
        <v>0</v>
      </c>
      <c r="H29" s="49">
        <v>69.597899999999996</v>
      </c>
    </row>
    <row r="30" spans="1:8">
      <c r="A30" t="s">
        <v>1135</v>
      </c>
      <c r="B30" s="49">
        <v>15.557700000000001</v>
      </c>
      <c r="C30" s="49">
        <v>0.86558800000000002</v>
      </c>
      <c r="D30" s="49">
        <v>5.5637300000000001E-2</v>
      </c>
      <c r="E30" s="49">
        <v>0</v>
      </c>
      <c r="F30" s="49">
        <v>12.913</v>
      </c>
      <c r="G30" s="49">
        <v>0</v>
      </c>
      <c r="H30" s="49">
        <v>15.8116</v>
      </c>
    </row>
    <row r="31" spans="1:8">
      <c r="A31" t="s">
        <v>1136</v>
      </c>
      <c r="B31" s="49">
        <v>126.369</v>
      </c>
      <c r="C31" s="49">
        <v>6.3285200000000001</v>
      </c>
      <c r="D31" s="49">
        <v>5.0079800000000001E-2</v>
      </c>
      <c r="E31" s="49">
        <v>0</v>
      </c>
      <c r="F31" s="49">
        <v>104.039</v>
      </c>
      <c r="G31" s="49">
        <v>0</v>
      </c>
      <c r="H31" s="49">
        <v>131.48099999999999</v>
      </c>
    </row>
    <row r="32" spans="1:8">
      <c r="A32" t="s">
        <v>1137</v>
      </c>
      <c r="B32" s="49">
        <v>0.38487399999999999</v>
      </c>
      <c r="C32" s="49">
        <v>6.1152900000000003E-2</v>
      </c>
      <c r="D32" s="49">
        <v>0.158891</v>
      </c>
      <c r="E32" s="49">
        <v>0.15</v>
      </c>
      <c r="F32" s="49">
        <v>0.22691</v>
      </c>
      <c r="G32" s="49">
        <v>0.4</v>
      </c>
      <c r="H32" s="49">
        <v>0.50213700000000006</v>
      </c>
    </row>
    <row r="33" spans="1:8">
      <c r="A33" t="s">
        <v>1138</v>
      </c>
      <c r="B33" s="49">
        <v>0.31170300000000001</v>
      </c>
      <c r="C33" s="49">
        <v>2.53996E-3</v>
      </c>
      <c r="D33" s="49">
        <v>8.1486600000000003E-3</v>
      </c>
      <c r="E33" s="49">
        <v>0</v>
      </c>
      <c r="F33" s="49">
        <v>0.305477</v>
      </c>
      <c r="G33" s="49">
        <v>0</v>
      </c>
      <c r="H33" s="49">
        <v>0.32144600000000001</v>
      </c>
    </row>
    <row r="34" spans="1:8">
      <c r="A34" t="s">
        <v>1139</v>
      </c>
      <c r="B34" s="49">
        <v>0.192214</v>
      </c>
      <c r="C34" s="49">
        <v>2.5738199999999999E-2</v>
      </c>
      <c r="D34" s="49">
        <v>0.133904</v>
      </c>
      <c r="E34" s="49">
        <v>0.1</v>
      </c>
      <c r="F34" s="49">
        <v>0.148947</v>
      </c>
      <c r="G34" s="49">
        <v>0.25</v>
      </c>
      <c r="H34" s="49">
        <v>0.24073900000000001</v>
      </c>
    </row>
    <row r="35" spans="1:8">
      <c r="A35" t="s">
        <v>1140</v>
      </c>
      <c r="B35" s="49">
        <v>7.58765E-2</v>
      </c>
      <c r="C35" s="49">
        <v>1.5263000000000001E-2</v>
      </c>
      <c r="D35" s="49">
        <v>0.201155</v>
      </c>
      <c r="E35" s="49">
        <v>0</v>
      </c>
      <c r="F35" s="49">
        <v>4.69486E-2</v>
      </c>
      <c r="G35" s="49">
        <v>0</v>
      </c>
      <c r="H35" s="49">
        <v>9.9894399999999994E-2</v>
      </c>
    </row>
    <row r="36" spans="1:8">
      <c r="A36" t="s">
        <v>1141</v>
      </c>
      <c r="B36" s="49">
        <v>0.15393899999999999</v>
      </c>
      <c r="C36" s="49">
        <v>8.0373899999999998E-2</v>
      </c>
      <c r="D36" s="49">
        <v>0.522115</v>
      </c>
      <c r="E36" s="49">
        <v>0</v>
      </c>
      <c r="F36" s="49">
        <v>3.8459899999999998E-2</v>
      </c>
      <c r="G36" s="49">
        <v>0</v>
      </c>
      <c r="H36" s="49">
        <v>0.371394</v>
      </c>
    </row>
    <row r="37" spans="1:8">
      <c r="A37" t="s">
        <v>1142</v>
      </c>
      <c r="B37" s="49">
        <v>0.257382</v>
      </c>
      <c r="C37" s="49">
        <v>5.9309300000000002E-2</v>
      </c>
      <c r="D37" s="49">
        <v>0.230432</v>
      </c>
      <c r="E37" s="49">
        <v>0.1</v>
      </c>
      <c r="F37" s="49">
        <v>2.0456800000000001E-2</v>
      </c>
      <c r="G37" s="49">
        <v>0.5</v>
      </c>
      <c r="H37" s="49">
        <v>0.257382</v>
      </c>
    </row>
    <row r="38" spans="1:8">
      <c r="A38" t="s">
        <v>1143</v>
      </c>
      <c r="B38" s="49">
        <v>10.952199999999999</v>
      </c>
      <c r="C38" s="49">
        <v>60.982399999999998</v>
      </c>
      <c r="D38" s="49">
        <v>5.5680300000000003</v>
      </c>
      <c r="E38" s="49">
        <v>0</v>
      </c>
      <c r="F38" s="49">
        <v>-154.62299999999999</v>
      </c>
      <c r="G38" s="49">
        <v>0</v>
      </c>
      <c r="H38" s="49">
        <v>143.49700000000001</v>
      </c>
    </row>
    <row r="39" spans="1:8">
      <c r="A39" t="s">
        <v>1144</v>
      </c>
      <c r="B39" s="49">
        <v>8.0527200000000008</v>
      </c>
      <c r="C39" s="49">
        <v>7.59511</v>
      </c>
      <c r="D39" s="49">
        <v>0.94317300000000004</v>
      </c>
      <c r="E39" s="49">
        <v>0</v>
      </c>
      <c r="F39" s="49">
        <v>-4.1623099999999997</v>
      </c>
      <c r="G39" s="49">
        <v>0</v>
      </c>
      <c r="H39" s="49">
        <v>32.849899999999998</v>
      </c>
    </row>
    <row r="40" spans="1:8">
      <c r="A40" t="s">
        <v>1145</v>
      </c>
      <c r="B40" s="49">
        <v>1.6299699999999999</v>
      </c>
      <c r="C40" s="49">
        <v>0.236314</v>
      </c>
      <c r="D40" s="49">
        <v>0.144981</v>
      </c>
      <c r="E40" s="49">
        <v>0</v>
      </c>
      <c r="F40" s="49">
        <v>0.92799699999999996</v>
      </c>
      <c r="G40" s="49">
        <v>0</v>
      </c>
      <c r="H40" s="49">
        <v>1.7162599999999999</v>
      </c>
    </row>
    <row r="41" spans="1:8">
      <c r="A41" t="s">
        <v>1146</v>
      </c>
      <c r="B41" s="49">
        <v>6.2212000000000003E-2</v>
      </c>
      <c r="C41" s="49">
        <v>0.479078</v>
      </c>
      <c r="D41" s="49">
        <v>7.7007399999999997</v>
      </c>
      <c r="E41" s="49">
        <v>0</v>
      </c>
      <c r="F41" s="49">
        <v>-1</v>
      </c>
      <c r="G41" s="49">
        <v>0</v>
      </c>
      <c r="H41" s="49">
        <v>1</v>
      </c>
    </row>
    <row r="42" spans="1:8">
      <c r="A42" t="s">
        <v>1147</v>
      </c>
      <c r="B42" s="49">
        <v>0.272679</v>
      </c>
      <c r="C42" s="49">
        <v>0.18373900000000001</v>
      </c>
      <c r="D42" s="49">
        <v>0.67382900000000001</v>
      </c>
      <c r="E42" s="49">
        <v>0</v>
      </c>
      <c r="F42" s="49">
        <v>-0.15610599999999999</v>
      </c>
      <c r="G42" s="49">
        <v>0</v>
      </c>
      <c r="H42" s="49">
        <v>0.62638899999999997</v>
      </c>
    </row>
    <row r="43" spans="1:8">
      <c r="A43" t="s">
        <v>1148</v>
      </c>
      <c r="B43" s="49">
        <v>6.8939200000000006E-2</v>
      </c>
      <c r="C43" s="49">
        <v>1.4804599999999999E-2</v>
      </c>
      <c r="D43" s="49">
        <v>0.214749</v>
      </c>
      <c r="E43" s="49">
        <v>0</v>
      </c>
      <c r="F43" s="49">
        <v>3.14346E-2</v>
      </c>
      <c r="G43" s="49">
        <v>0</v>
      </c>
      <c r="H43" s="49">
        <v>8.5581500000000005E-2</v>
      </c>
    </row>
    <row r="44" spans="1:8">
      <c r="A44" t="s">
        <v>1149</v>
      </c>
      <c r="B44" s="49">
        <v>46.913699999999999</v>
      </c>
      <c r="C44" s="49">
        <v>3.4375</v>
      </c>
      <c r="D44" s="49">
        <v>7.3272799999999999E-2</v>
      </c>
      <c r="E44" s="49">
        <v>0</v>
      </c>
      <c r="F44" s="49">
        <v>40.388199999999998</v>
      </c>
      <c r="G44" s="49">
        <v>0</v>
      </c>
      <c r="H44" s="49">
        <v>54.782200000000003</v>
      </c>
    </row>
    <row r="45" spans="1:8">
      <c r="A45" t="s">
        <v>1150</v>
      </c>
      <c r="B45" s="49">
        <v>45.371299999999998</v>
      </c>
      <c r="C45" s="49">
        <v>9.8846000000000007</v>
      </c>
      <c r="D45" s="49">
        <v>0.21786</v>
      </c>
      <c r="E45" s="49">
        <v>0</v>
      </c>
      <c r="F45" s="49">
        <v>32.389400000000002</v>
      </c>
      <c r="G45" s="49">
        <v>0</v>
      </c>
      <c r="H45" s="49">
        <v>65.389399999999995</v>
      </c>
    </row>
    <row r="46" spans="1:8">
      <c r="A46" t="s">
        <v>1151</v>
      </c>
      <c r="B46" s="49">
        <v>24.709700000000002</v>
      </c>
      <c r="C46" s="49">
        <v>2.4037999999999999</v>
      </c>
      <c r="D46" s="49">
        <v>9.7281599999999996E-2</v>
      </c>
      <c r="E46" s="49">
        <v>0</v>
      </c>
      <c r="F46" s="49">
        <v>18.749199999999998</v>
      </c>
      <c r="G46" s="49">
        <v>0</v>
      </c>
      <c r="H46" s="49">
        <v>27.6876</v>
      </c>
    </row>
    <row r="47" spans="1:8">
      <c r="A47" t="s">
        <v>1152</v>
      </c>
      <c r="B47" s="49">
        <v>0.21447099999999999</v>
      </c>
      <c r="C47" s="49">
        <v>0.277978</v>
      </c>
      <c r="D47" s="49">
        <v>1.2961100000000001</v>
      </c>
      <c r="E47" s="49">
        <v>0</v>
      </c>
      <c r="F47" s="49">
        <v>8.8428699999999999E-2</v>
      </c>
      <c r="G47" s="49">
        <v>0</v>
      </c>
      <c r="H47" s="49">
        <v>0.92563099999999998</v>
      </c>
    </row>
    <row r="48" spans="1:8">
      <c r="A48" t="s">
        <v>1153</v>
      </c>
      <c r="B48" s="49">
        <v>0.67702899999999999</v>
      </c>
      <c r="C48" s="49">
        <v>4.1231200000000003E-2</v>
      </c>
      <c r="D48" s="49">
        <v>6.0900200000000002E-2</v>
      </c>
      <c r="E48" s="49">
        <v>0</v>
      </c>
      <c r="F48" s="49">
        <v>0.60865199999999997</v>
      </c>
      <c r="G48" s="49">
        <v>0</v>
      </c>
      <c r="H48" s="49">
        <v>0.77037</v>
      </c>
    </row>
    <row r="50" spans="1:4">
      <c r="A50" t="str">
        <f>lang!B7</f>
        <v>긍정감정</v>
      </c>
      <c r="B50" s="134">
        <f>SUM(B9:B12)</f>
        <v>229.91610000000003</v>
      </c>
      <c r="C50" s="134"/>
      <c r="D50" s="134">
        <f t="shared" ref="D50" si="0">SUM(D9:D12)</f>
        <v>13.950184</v>
      </c>
    </row>
    <row r="51" spans="1:4">
      <c r="A51" t="str">
        <f>lang!B8</f>
        <v>부정감정</v>
      </c>
      <c r="B51" s="134">
        <f>SUM(B5:B8)</f>
        <v>125.9466</v>
      </c>
      <c r="C51" s="134"/>
      <c r="D51" s="134">
        <f t="shared" ref="D51" si="1">SUM(D5:D8)</f>
        <v>37.409452999999999</v>
      </c>
    </row>
    <row r="52" spans="1:4">
      <c r="A52" t="str">
        <f>lang!B9</f>
        <v>생리감정</v>
      </c>
      <c r="B52" s="134">
        <f>SUM(B13:B14)</f>
        <v>44.959499999999998</v>
      </c>
      <c r="C52" s="134"/>
      <c r="D52" s="134">
        <f t="shared" ref="D52" si="2">SUM(D13:D14)</f>
        <v>36.433599999999998</v>
      </c>
    </row>
    <row r="53" spans="1:4">
      <c r="B53" s="50">
        <f>SUM(B50:B52)</f>
        <v>400.82220000000001</v>
      </c>
      <c r="D53" s="50">
        <f>SUM(D50:D52)</f>
        <v>87.793237000000005</v>
      </c>
    </row>
    <row r="54" spans="1:4">
      <c r="A54" t="str">
        <f>lang!B7</f>
        <v>긍정감정</v>
      </c>
      <c r="B54" s="135">
        <f>IF(B$53&lt;&gt;0,B50/B$53,0)</f>
        <v>0.57361119219444434</v>
      </c>
      <c r="C54" s="135"/>
      <c r="D54" s="135">
        <f>IF(D$53&lt;&gt;0,D50/D$53,0)</f>
        <v>0.15889816205318866</v>
      </c>
    </row>
    <row r="55" spans="1:4">
      <c r="A55" t="str">
        <f>lang!B8</f>
        <v>부정감정</v>
      </c>
      <c r="B55" s="135">
        <f>IF(B$53&lt;&gt;0,B51/B$53,0)</f>
        <v>0.31422061951658364</v>
      </c>
      <c r="C55" s="135"/>
      <c r="D55" s="135">
        <f>IF(D$53&lt;&gt;0,D51/D$53,0)</f>
        <v>0.42610859649701716</v>
      </c>
    </row>
    <row r="56" spans="1:4">
      <c r="A56" t="str">
        <f>lang!B9</f>
        <v>생리감정</v>
      </c>
      <c r="B56" s="135">
        <f>IF(B$53&lt;&gt;0,B52/B$53,0)</f>
        <v>0.11216818828897201</v>
      </c>
      <c r="C56" s="135"/>
      <c r="D56" s="135">
        <f>IF(D$53&lt;&gt;0,D52/D$53,0)</f>
        <v>0.4149932414497941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22.068000000000001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2.12</v>
      </c>
      <c r="B8" s="49">
        <v>2.12</v>
      </c>
    </row>
    <row r="9" spans="1:3">
      <c r="A9" s="49">
        <v>0</v>
      </c>
      <c r="B9" s="49">
        <v>0</v>
      </c>
    </row>
    <row r="10" spans="1:3">
      <c r="A10" s="49">
        <v>3.12</v>
      </c>
      <c r="B10" s="49">
        <v>3.12</v>
      </c>
    </row>
    <row r="11" spans="1:3">
      <c r="A11" s="49">
        <v>0</v>
      </c>
      <c r="B11" s="49">
        <v>0</v>
      </c>
    </row>
    <row r="12" spans="1:3">
      <c r="A12" s="49">
        <v>0</v>
      </c>
      <c r="B12" s="49">
        <v>0</v>
      </c>
    </row>
    <row r="13" spans="1:3">
      <c r="A13" s="49">
        <v>3.06</v>
      </c>
      <c r="B13" s="49">
        <v>3.06</v>
      </c>
    </row>
    <row r="14" spans="1:3">
      <c r="A14" s="49">
        <v>0</v>
      </c>
      <c r="B14" s="49">
        <v>0</v>
      </c>
    </row>
    <row r="15" spans="1:3">
      <c r="A15" s="49">
        <v>2.9159999999999999</v>
      </c>
      <c r="B15" s="49">
        <v>2.9159999999999999</v>
      </c>
    </row>
    <row r="16" spans="1:3">
      <c r="A16" s="49">
        <v>0</v>
      </c>
      <c r="B16" s="49">
        <v>0</v>
      </c>
    </row>
    <row r="17" spans="1:2">
      <c r="A17" s="49">
        <v>0</v>
      </c>
      <c r="B17" s="49">
        <v>0</v>
      </c>
    </row>
    <row r="18" spans="1:2">
      <c r="A18" s="49">
        <v>5.0893300000000004</v>
      </c>
      <c r="B18" s="49">
        <v>5.0893300000000004</v>
      </c>
    </row>
    <row r="19" spans="1:2">
      <c r="A19" s="49">
        <v>0</v>
      </c>
      <c r="B19" s="49">
        <v>0</v>
      </c>
    </row>
    <row r="20" spans="1:2">
      <c r="A20" s="49">
        <v>0</v>
      </c>
      <c r="B20" s="49">
        <v>0</v>
      </c>
    </row>
    <row r="21" spans="1:2">
      <c r="A21" s="49">
        <v>2.9239999999999999</v>
      </c>
      <c r="B21" s="49">
        <v>2.9239999999999999</v>
      </c>
    </row>
    <row r="22" spans="1:2">
      <c r="A22" s="49">
        <v>0</v>
      </c>
      <c r="B22" s="49">
        <v>0</v>
      </c>
    </row>
    <row r="23" spans="1:2">
      <c r="A23" s="49">
        <v>3.0973299999999999</v>
      </c>
      <c r="B23" s="49">
        <v>3.0973299999999999</v>
      </c>
    </row>
    <row r="24" spans="1:2">
      <c r="A24" s="49">
        <v>0</v>
      </c>
      <c r="B24" s="49">
        <v>0</v>
      </c>
    </row>
    <row r="25" spans="1:2">
      <c r="A25" s="49">
        <v>0</v>
      </c>
      <c r="B25" s="49">
        <v>0</v>
      </c>
    </row>
    <row r="26" spans="1:2">
      <c r="A26" s="49">
        <v>5.0053299999999998</v>
      </c>
      <c r="B26" s="49">
        <v>5.0053299999999998</v>
      </c>
    </row>
    <row r="27" spans="1:2">
      <c r="A27" s="49">
        <v>0</v>
      </c>
      <c r="B27" s="49">
        <v>0</v>
      </c>
    </row>
    <row r="28" spans="1:2">
      <c r="A28" s="49">
        <v>8.8773300000000006</v>
      </c>
      <c r="B28" s="49">
        <v>8.8773300000000006</v>
      </c>
    </row>
    <row r="29" spans="1:2">
      <c r="A29" s="49">
        <v>0</v>
      </c>
      <c r="B29" s="49">
        <v>0</v>
      </c>
    </row>
    <row r="30" spans="1:2">
      <c r="A30" s="49">
        <v>0</v>
      </c>
      <c r="B30" s="49">
        <v>0</v>
      </c>
    </row>
    <row r="31" spans="1:2">
      <c r="A31" s="49">
        <v>15.268000000000001</v>
      </c>
      <c r="B31" s="49">
        <v>15.268000000000001</v>
      </c>
    </row>
    <row r="32" spans="1:2">
      <c r="A32" s="49">
        <v>0</v>
      </c>
      <c r="B32" s="49">
        <v>0</v>
      </c>
    </row>
    <row r="33" spans="1:2">
      <c r="A33" s="49">
        <v>13.1173</v>
      </c>
      <c r="B33" s="49">
        <v>13.1173</v>
      </c>
    </row>
    <row r="34" spans="1:2">
      <c r="A34" s="49">
        <v>0</v>
      </c>
      <c r="B34" s="49">
        <v>0</v>
      </c>
    </row>
    <row r="35" spans="1:2">
      <c r="A35" s="49">
        <v>0</v>
      </c>
      <c r="B35" s="49">
        <v>0</v>
      </c>
    </row>
    <row r="36" spans="1:2">
      <c r="A36" s="49">
        <v>12.5467</v>
      </c>
      <c r="B36" s="49">
        <v>12.5467</v>
      </c>
    </row>
    <row r="37" spans="1:2">
      <c r="A37" s="49">
        <v>0</v>
      </c>
      <c r="B37" s="49">
        <v>0</v>
      </c>
    </row>
    <row r="38" spans="1:2">
      <c r="A38" s="49">
        <v>0</v>
      </c>
      <c r="B38" s="49">
        <v>0</v>
      </c>
    </row>
    <row r="39" spans="1:2">
      <c r="A39" s="49">
        <v>12.9293</v>
      </c>
      <c r="B39" s="49">
        <v>12.9293</v>
      </c>
    </row>
    <row r="40" spans="1:2">
      <c r="A40" s="49">
        <v>0</v>
      </c>
      <c r="B40" s="49">
        <v>0</v>
      </c>
    </row>
    <row r="41" spans="1:2">
      <c r="A41" s="49">
        <v>14.0227</v>
      </c>
      <c r="B41" s="49">
        <v>14.0227</v>
      </c>
    </row>
    <row r="42" spans="1:2">
      <c r="A42" s="49">
        <v>0</v>
      </c>
      <c r="B42" s="49">
        <v>0</v>
      </c>
    </row>
    <row r="43" spans="1:2">
      <c r="A43" s="49">
        <v>0</v>
      </c>
      <c r="B43" s="49">
        <v>0</v>
      </c>
    </row>
    <row r="44" spans="1:2">
      <c r="A44" s="49">
        <v>12.4107</v>
      </c>
      <c r="B44" s="49">
        <v>12.4107</v>
      </c>
    </row>
    <row r="45" spans="1:2">
      <c r="A45" s="49">
        <v>0</v>
      </c>
      <c r="B45" s="49">
        <v>0</v>
      </c>
    </row>
    <row r="46" spans="1:2">
      <c r="A46" s="49">
        <v>17.310700000000001</v>
      </c>
      <c r="B46" s="49">
        <v>17.310700000000001</v>
      </c>
    </row>
    <row r="47" spans="1:2">
      <c r="A47" s="49">
        <v>0</v>
      </c>
      <c r="B47" s="49">
        <v>0</v>
      </c>
    </row>
    <row r="48" spans="1:2">
      <c r="A48" s="49">
        <v>0</v>
      </c>
      <c r="B48" s="49">
        <v>0</v>
      </c>
    </row>
    <row r="49" spans="1:2">
      <c r="A49" s="49">
        <v>22.068000000000001</v>
      </c>
      <c r="B49" s="49">
        <v>22.068000000000001</v>
      </c>
    </row>
    <row r="50" spans="1:2">
      <c r="A50" s="49">
        <v>0</v>
      </c>
      <c r="B50" s="49">
        <v>0</v>
      </c>
    </row>
    <row r="51" spans="1:2">
      <c r="A51" s="49">
        <v>16.417300000000001</v>
      </c>
      <c r="B51" s="49">
        <v>16.417300000000001</v>
      </c>
    </row>
    <row r="52" spans="1:2">
      <c r="A52" s="49">
        <v>0</v>
      </c>
      <c r="B52" s="49">
        <v>0</v>
      </c>
    </row>
    <row r="53" spans="1:2">
      <c r="A53" s="49">
        <v>0</v>
      </c>
      <c r="B53" s="49">
        <v>0</v>
      </c>
    </row>
    <row r="54" spans="1:2">
      <c r="A54" s="49">
        <v>17.111999999999998</v>
      </c>
      <c r="B54" s="49">
        <v>17.111999999999998</v>
      </c>
    </row>
    <row r="55" spans="1:2">
      <c r="A55" s="49">
        <v>0</v>
      </c>
      <c r="B55" s="49">
        <v>0</v>
      </c>
    </row>
    <row r="56" spans="1:2">
      <c r="A56" s="49">
        <v>0</v>
      </c>
      <c r="B56" s="49">
        <v>0</v>
      </c>
    </row>
    <row r="57" spans="1:2">
      <c r="A57" s="49">
        <v>18.577300000000001</v>
      </c>
      <c r="B57" s="49">
        <v>18.577300000000001</v>
      </c>
    </row>
    <row r="58" spans="1:2">
      <c r="A58" s="49">
        <v>0</v>
      </c>
      <c r="B58" s="49">
        <v>0</v>
      </c>
    </row>
    <row r="59" spans="1:2">
      <c r="A59" s="49">
        <v>16.953299999999999</v>
      </c>
      <c r="B59" s="49">
        <v>16.953299999999999</v>
      </c>
    </row>
    <row r="60" spans="1:2">
      <c r="A60" s="49">
        <v>0</v>
      </c>
      <c r="B60" s="49">
        <v>0</v>
      </c>
    </row>
    <row r="61" spans="1:2">
      <c r="A61" s="49">
        <v>0</v>
      </c>
      <c r="B61" s="49">
        <v>0</v>
      </c>
    </row>
    <row r="62" spans="1:2">
      <c r="A62" s="49">
        <v>13.407999999999999</v>
      </c>
      <c r="B62" s="49">
        <v>13.407999999999999</v>
      </c>
    </row>
    <row r="63" spans="1:2">
      <c r="A63" s="49">
        <v>0</v>
      </c>
      <c r="B63" s="49">
        <v>0</v>
      </c>
    </row>
    <row r="64" spans="1:2">
      <c r="A64" s="49">
        <v>13.129300000000001</v>
      </c>
      <c r="B64" s="49">
        <v>13.129300000000001</v>
      </c>
    </row>
    <row r="65" spans="1:2">
      <c r="A65" s="49">
        <v>0</v>
      </c>
      <c r="B65" s="49">
        <v>0</v>
      </c>
    </row>
    <row r="66" spans="1:2">
      <c r="A66" s="49">
        <v>0</v>
      </c>
      <c r="B66" s="49">
        <v>0</v>
      </c>
    </row>
    <row r="67" spans="1:2">
      <c r="A67" s="49">
        <v>11.116</v>
      </c>
      <c r="B67" s="49">
        <v>11.116</v>
      </c>
    </row>
    <row r="68" spans="1:2">
      <c r="A68" s="49">
        <v>0</v>
      </c>
      <c r="B68" s="49">
        <v>0</v>
      </c>
    </row>
    <row r="69" spans="1:2">
      <c r="A69" s="49">
        <v>10.9107</v>
      </c>
      <c r="B69" s="49">
        <v>10.9107</v>
      </c>
    </row>
    <row r="70" spans="1:2">
      <c r="A70" s="49">
        <v>0</v>
      </c>
      <c r="B70" s="49">
        <v>0</v>
      </c>
    </row>
    <row r="71" spans="1:2">
      <c r="A71" s="49">
        <v>0</v>
      </c>
      <c r="B71" s="49">
        <v>0</v>
      </c>
    </row>
    <row r="72" spans="1:2">
      <c r="A72" s="49">
        <v>14.311999999999999</v>
      </c>
      <c r="B72" s="49">
        <v>14.311999999999999</v>
      </c>
    </row>
    <row r="73" spans="1:2">
      <c r="A73" s="49">
        <v>0</v>
      </c>
      <c r="B73" s="49">
        <v>0</v>
      </c>
    </row>
    <row r="74" spans="1:2">
      <c r="A74" s="49">
        <v>0</v>
      </c>
      <c r="B74" s="49">
        <v>0</v>
      </c>
    </row>
    <row r="75" spans="1:2">
      <c r="A75" s="49">
        <v>11.343999999999999</v>
      </c>
      <c r="B75" s="49">
        <v>11.343999999999999</v>
      </c>
    </row>
    <row r="76" spans="1:2">
      <c r="A76" s="49">
        <v>0</v>
      </c>
      <c r="B76" s="49">
        <v>0</v>
      </c>
    </row>
    <row r="77" spans="1:2">
      <c r="A77" s="49">
        <v>8.6773299999999995</v>
      </c>
      <c r="B77" s="49">
        <v>8.6773299999999995</v>
      </c>
    </row>
    <row r="78" spans="1:2">
      <c r="A78" s="49">
        <v>0</v>
      </c>
      <c r="B78" s="49">
        <v>0</v>
      </c>
    </row>
    <row r="79" spans="1:2">
      <c r="A79" s="49">
        <v>0</v>
      </c>
      <c r="B79" s="49">
        <v>0</v>
      </c>
    </row>
    <row r="80" spans="1:2">
      <c r="A80" s="49">
        <v>8.4226700000000001</v>
      </c>
      <c r="B80" s="49">
        <v>8.4226700000000001</v>
      </c>
    </row>
    <row r="81" spans="1:2">
      <c r="A81" s="49">
        <v>0</v>
      </c>
      <c r="B81" s="49">
        <v>0</v>
      </c>
    </row>
    <row r="82" spans="1:2">
      <c r="A82" s="49">
        <v>6.2519999999999998</v>
      </c>
      <c r="B82" s="49">
        <v>6.2519999999999998</v>
      </c>
    </row>
    <row r="83" spans="1:2">
      <c r="A83" s="49">
        <v>0</v>
      </c>
      <c r="B83" s="49">
        <v>0</v>
      </c>
    </row>
    <row r="84" spans="1:2">
      <c r="A84" s="49">
        <v>0</v>
      </c>
      <c r="B84" s="49">
        <v>0</v>
      </c>
    </row>
    <row r="85" spans="1:2">
      <c r="A85" s="49">
        <v>5.8</v>
      </c>
      <c r="B85" s="49">
        <v>5.8</v>
      </c>
    </row>
    <row r="86" spans="1:2">
      <c r="A86" s="49">
        <v>0</v>
      </c>
      <c r="B86" s="49">
        <v>0</v>
      </c>
    </row>
    <row r="87" spans="1:2">
      <c r="A87" s="49">
        <v>0</v>
      </c>
      <c r="B87" s="49">
        <v>0</v>
      </c>
    </row>
    <row r="88" spans="1:2">
      <c r="A88" s="49">
        <v>4.0626699999999998</v>
      </c>
      <c r="B88" s="49">
        <v>4.0626699999999998</v>
      </c>
    </row>
    <row r="89" spans="1:2">
      <c r="A89" s="49">
        <v>0</v>
      </c>
      <c r="B89" s="49">
        <v>0</v>
      </c>
    </row>
    <row r="90" spans="1:2">
      <c r="A90" s="49">
        <v>4.1053300000000004</v>
      </c>
      <c r="B90" s="49">
        <v>4.1053300000000004</v>
      </c>
    </row>
    <row r="91" spans="1:2">
      <c r="A91" s="49">
        <v>0</v>
      </c>
      <c r="B91" s="49">
        <v>0</v>
      </c>
    </row>
    <row r="92" spans="1:2">
      <c r="A92" s="49">
        <v>0</v>
      </c>
      <c r="B92" s="49">
        <v>0</v>
      </c>
    </row>
    <row r="93" spans="1:2">
      <c r="A93" s="49">
        <v>7.6426699999999999</v>
      </c>
      <c r="B93" s="49">
        <v>7.6426699999999999</v>
      </c>
    </row>
    <row r="94" spans="1:2">
      <c r="A94" s="49">
        <v>0</v>
      </c>
      <c r="B94" s="49">
        <v>0</v>
      </c>
    </row>
    <row r="95" spans="1:2">
      <c r="A95" s="49">
        <v>5.8093300000000001</v>
      </c>
      <c r="B95" s="49">
        <v>5.8093300000000001</v>
      </c>
    </row>
    <row r="96" spans="1:2">
      <c r="A96" s="49">
        <v>0</v>
      </c>
      <c r="B96" s="49">
        <v>0</v>
      </c>
    </row>
    <row r="97" spans="1:2">
      <c r="A97" s="49">
        <v>0</v>
      </c>
      <c r="B97" s="49">
        <v>0</v>
      </c>
    </row>
    <row r="98" spans="1:2">
      <c r="A98" s="49">
        <v>6.3546699999999996</v>
      </c>
      <c r="B98" s="49">
        <v>6.3546699999999996</v>
      </c>
    </row>
    <row r="99" spans="1:2">
      <c r="A99" s="49">
        <v>0</v>
      </c>
      <c r="B99" s="49">
        <v>0</v>
      </c>
    </row>
    <row r="100" spans="1:2">
      <c r="A100" s="49">
        <v>10.8293</v>
      </c>
      <c r="B100" s="49">
        <v>10.8293</v>
      </c>
    </row>
    <row r="101" spans="1:2">
      <c r="A101" s="49">
        <v>0</v>
      </c>
      <c r="B101" s="49">
        <v>0</v>
      </c>
    </row>
    <row r="102" spans="1:2">
      <c r="A102" s="49">
        <v>0</v>
      </c>
      <c r="B102" s="49">
        <v>0</v>
      </c>
    </row>
    <row r="103" spans="1:2">
      <c r="A103" s="49">
        <v>6.5386699999999998</v>
      </c>
      <c r="B103" s="49">
        <v>6.5386699999999998</v>
      </c>
    </row>
    <row r="104" spans="1:2">
      <c r="A104" s="49">
        <v>0</v>
      </c>
      <c r="B104" s="49">
        <v>0</v>
      </c>
    </row>
    <row r="105" spans="1:2">
      <c r="A105" s="49">
        <v>0</v>
      </c>
      <c r="B105" s="49">
        <v>0</v>
      </c>
    </row>
    <row r="106" spans="1:2">
      <c r="A106" s="49">
        <v>3.2120000000000002</v>
      </c>
      <c r="B106" s="49">
        <v>3.2120000000000002</v>
      </c>
    </row>
    <row r="107" spans="1:2">
      <c r="A107" s="49">
        <v>0</v>
      </c>
      <c r="B107" s="49">
        <v>0</v>
      </c>
    </row>
    <row r="108" spans="1:2">
      <c r="A108" s="49">
        <v>1.6919999999999999</v>
      </c>
      <c r="B108" s="49">
        <v>1.6919999999999999</v>
      </c>
    </row>
    <row r="109" spans="1:2">
      <c r="A109" s="49">
        <v>0</v>
      </c>
      <c r="B109" s="49">
        <v>0</v>
      </c>
    </row>
    <row r="110" spans="1:2">
      <c r="A110" s="49">
        <v>0</v>
      </c>
      <c r="B110" s="49">
        <v>0</v>
      </c>
    </row>
    <row r="111" spans="1:2">
      <c r="A111" s="49">
        <v>1.708</v>
      </c>
      <c r="B111" s="49">
        <v>1.708</v>
      </c>
    </row>
    <row r="112" spans="1:2">
      <c r="A112" s="49">
        <v>0</v>
      </c>
      <c r="B112" s="49">
        <v>0</v>
      </c>
    </row>
    <row r="113" spans="1:2">
      <c r="A113" s="49">
        <v>1.0093300000000001</v>
      </c>
      <c r="B113" s="49">
        <v>1.0093300000000001</v>
      </c>
    </row>
    <row r="114" spans="1:2">
      <c r="A114" s="49">
        <v>0</v>
      </c>
      <c r="B114" s="49">
        <v>0</v>
      </c>
    </row>
    <row r="115" spans="1:2">
      <c r="A115" s="49">
        <v>0</v>
      </c>
      <c r="B115" s="49">
        <v>0</v>
      </c>
    </row>
    <row r="116" spans="1:2">
      <c r="A116" s="49">
        <v>0.06</v>
      </c>
      <c r="B116" s="49">
        <v>0.06</v>
      </c>
    </row>
    <row r="117" spans="1:2">
      <c r="A117" s="49">
        <v>0</v>
      </c>
      <c r="B117" s="49">
        <v>0</v>
      </c>
    </row>
    <row r="118" spans="1:2">
      <c r="A118" s="49">
        <v>0.37066700000000002</v>
      </c>
      <c r="B118" s="49">
        <v>0.37066700000000002</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0.18565100000000001</v>
      </c>
      <c r="B2" s="49">
        <v>0.61412599999999995</v>
      </c>
      <c r="C2">
        <v>0</v>
      </c>
      <c r="D2">
        <v>0</v>
      </c>
      <c r="E2" t="s">
        <v>1161</v>
      </c>
      <c r="F2" s="49">
        <f>IF(A2&lt;&gt;"",1,"")</f>
        <v>1</v>
      </c>
      <c r="G2">
        <f>IF($H8&gt;0,LOOKUP(COUNT(A2:A1000)*$H8,F2:F1000,A2:A1000),LOOKUP(1,F2:F1000,A2:A1000))</f>
        <v>0.19121099999999999</v>
      </c>
      <c r="H2">
        <f>IF($H8&gt;0,LOOKUP(COUNT(B2:B1000)*$H8,F2:F1000,B2:B1000),LOOKUP(1,F2:F1000,B2:B1000))</f>
        <v>0.60404100000000005</v>
      </c>
      <c r="J2" s="49">
        <f>IF(A2&lt;&gt;"",A2*10,"")</f>
        <v>1.8565100000000001</v>
      </c>
      <c r="K2" s="49">
        <f>IF(B2&lt;&gt;"",B2*100,"")</f>
        <v>61.412599999999998</v>
      </c>
      <c r="L2" s="49">
        <f>IF(F2&lt;&gt;"",IF(K2&lt;&gt;0,K2/J2,0),"")</f>
        <v>33.079595585264819</v>
      </c>
    </row>
    <row r="3" spans="1:12">
      <c r="A3" s="49">
        <v>0.19121099999999999</v>
      </c>
      <c r="B3" s="49">
        <v>0.60404100000000005</v>
      </c>
      <c r="C3">
        <v>0.374303</v>
      </c>
      <c r="D3">
        <v>0</v>
      </c>
      <c r="E3" t="s">
        <v>2560</v>
      </c>
      <c r="F3" s="49">
        <f>IF(A3&lt;&gt;"",F2+1,"")</f>
        <v>2</v>
      </c>
      <c r="G3">
        <f>IF($H9&gt;0,LOOKUP(COUNT(A2:A1000)*$H9,F2:F1000,A2:A1000),LOOKUP(1,F2:F1000,A2:A1000))</f>
        <v>0.227293</v>
      </c>
      <c r="H3">
        <f>IF($H9&gt;0,LOOKUP(COUNT(B2:B1000)*$H9,F2:F1000,B2:B1000),LOOKUP(1,F2:F1000,B2:B1000))</f>
        <v>0.50782799999999995</v>
      </c>
      <c r="J3" s="49">
        <f t="shared" ref="J3:J66" si="0">IF(A3&lt;&gt;"",A3*10,"")</f>
        <v>1.91211</v>
      </c>
      <c r="K3" s="49">
        <f t="shared" ref="K3:K66" si="1">IF(B3&lt;&gt;"",B3*100,"")</f>
        <v>60.404100000000007</v>
      </c>
      <c r="L3" s="49">
        <f t="shared" ref="L3:L66" si="2">IF(F3&lt;&gt;"",IF(K3&lt;&gt;0,K3/J3,0),"")</f>
        <v>31.590285077741346</v>
      </c>
    </row>
    <row r="4" spans="1:12">
      <c r="A4" s="49">
        <v>0.195964</v>
      </c>
      <c r="B4" s="49">
        <v>0.59673299999999996</v>
      </c>
      <c r="C4">
        <v>0.77987399999999996</v>
      </c>
      <c r="D4">
        <v>0</v>
      </c>
      <c r="E4" t="s">
        <v>2561</v>
      </c>
      <c r="F4" s="49">
        <f t="shared" ref="F4:F67" si="3">IF(A4&lt;&gt;"",F3+1,"")</f>
        <v>3</v>
      </c>
      <c r="G4" s="71" t="s">
        <v>209</v>
      </c>
      <c r="H4" s="23">
        <f>IF(ISERROR(G3-G2)=FALSE,(G3-G2)*10,0)</f>
        <v>0.36082000000000003</v>
      </c>
      <c r="J4" s="49">
        <f t="shared" si="0"/>
        <v>1.95964</v>
      </c>
      <c r="K4" s="49">
        <f t="shared" si="1"/>
        <v>59.673299999999998</v>
      </c>
      <c r="L4" s="49">
        <f t="shared" si="2"/>
        <v>30.451154293645768</v>
      </c>
    </row>
    <row r="5" spans="1:12">
      <c r="A5" s="49">
        <v>0.19992199999999999</v>
      </c>
      <c r="B5" s="49">
        <v>0.59085200000000004</v>
      </c>
      <c r="C5">
        <v>1.18591</v>
      </c>
      <c r="D5">
        <v>0</v>
      </c>
      <c r="E5" t="s">
        <v>2562</v>
      </c>
      <c r="F5" s="49">
        <f t="shared" si="3"/>
        <v>4</v>
      </c>
      <c r="G5" s="71" t="s">
        <v>210</v>
      </c>
      <c r="H5" s="23">
        <f>IF(ISERROR(H3-H2)=FALSE,H3-H2,0)</f>
        <v>-9.6213000000000104E-2</v>
      </c>
      <c r="J5" s="49">
        <f t="shared" si="0"/>
        <v>1.9992199999999998</v>
      </c>
      <c r="K5" s="49">
        <f t="shared" si="1"/>
        <v>59.085200000000007</v>
      </c>
      <c r="L5" s="49">
        <f t="shared" si="2"/>
        <v>29.554126109182587</v>
      </c>
    </row>
    <row r="6" spans="1:12">
      <c r="A6" s="49">
        <v>0.203515</v>
      </c>
      <c r="B6" s="49">
        <v>0.58448699999999998</v>
      </c>
      <c r="C6">
        <v>1.5891500000000001</v>
      </c>
      <c r="D6">
        <v>0</v>
      </c>
      <c r="E6" t="s">
        <v>2563</v>
      </c>
      <c r="F6" s="49">
        <f t="shared" si="3"/>
        <v>5</v>
      </c>
      <c r="G6" s="71" t="s">
        <v>211</v>
      </c>
      <c r="H6" s="23">
        <f>IF(H4&lt;&gt;0,H5/H4,0)</f>
        <v>-0.26665096169835401</v>
      </c>
      <c r="J6" s="49">
        <f t="shared" si="0"/>
        <v>2.0351499999999998</v>
      </c>
      <c r="K6" s="49">
        <f t="shared" si="1"/>
        <v>58.448699999999995</v>
      </c>
      <c r="L6" s="49">
        <f t="shared" si="2"/>
        <v>28.719602977667495</v>
      </c>
    </row>
    <row r="7" spans="1:12">
      <c r="A7" s="49">
        <v>0.206591</v>
      </c>
      <c r="B7" s="49">
        <v>0.57689199999999996</v>
      </c>
      <c r="C7">
        <v>2.0123000000000002</v>
      </c>
      <c r="D7">
        <v>0</v>
      </c>
      <c r="E7" t="s">
        <v>2564</v>
      </c>
      <c r="F7" s="49">
        <f t="shared" si="3"/>
        <v>6</v>
      </c>
      <c r="G7" s="71" t="s">
        <v>212</v>
      </c>
      <c r="H7" s="23">
        <f>DEGREES(ATAN(H6))</f>
        <v>-14.930577086096118</v>
      </c>
      <c r="J7" s="49">
        <f t="shared" si="0"/>
        <v>2.0659100000000001</v>
      </c>
      <c r="K7" s="49">
        <f t="shared" si="1"/>
        <v>57.6892</v>
      </c>
      <c r="L7" s="49">
        <f t="shared" si="2"/>
        <v>27.924352948579557</v>
      </c>
    </row>
    <row r="8" spans="1:12">
      <c r="A8" s="49">
        <v>0.20907999999999999</v>
      </c>
      <c r="B8" s="49">
        <v>0.56955</v>
      </c>
      <c r="C8">
        <v>2.4127700000000001</v>
      </c>
      <c r="D8">
        <v>0</v>
      </c>
      <c r="E8" t="s">
        <v>2565</v>
      </c>
      <c r="F8" s="49">
        <f t="shared" si="3"/>
        <v>7</v>
      </c>
      <c r="G8" s="71" t="s">
        <v>213</v>
      </c>
      <c r="H8" s="72">
        <v>0.1</v>
      </c>
      <c r="J8" s="49">
        <f t="shared" si="0"/>
        <v>2.0907999999999998</v>
      </c>
      <c r="K8" s="49">
        <f t="shared" si="1"/>
        <v>56.954999999999998</v>
      </c>
      <c r="L8" s="49">
        <f t="shared" si="2"/>
        <v>27.240769083604363</v>
      </c>
    </row>
    <row r="9" spans="1:12">
      <c r="A9" s="49">
        <v>0.211233</v>
      </c>
      <c r="B9" s="49">
        <v>0.56317399999999995</v>
      </c>
      <c r="C9">
        <v>2.8140299999999998</v>
      </c>
      <c r="D9">
        <v>0</v>
      </c>
      <c r="E9" t="s">
        <v>2566</v>
      </c>
      <c r="F9" s="49">
        <f t="shared" si="3"/>
        <v>8</v>
      </c>
      <c r="G9" s="71" t="s">
        <v>214</v>
      </c>
      <c r="H9" s="72">
        <v>0.9</v>
      </c>
      <c r="J9" s="49">
        <f t="shared" si="0"/>
        <v>2.11233</v>
      </c>
      <c r="K9" s="49">
        <f t="shared" si="1"/>
        <v>56.317399999999992</v>
      </c>
      <c r="L9" s="49">
        <f t="shared" si="2"/>
        <v>26.661269782657062</v>
      </c>
    </row>
    <row r="10" spans="1:12">
      <c r="A10" s="49">
        <v>0.212723</v>
      </c>
      <c r="B10" s="49">
        <v>0.55858699999999994</v>
      </c>
      <c r="C10">
        <v>3.2188400000000001</v>
      </c>
      <c r="D10">
        <v>0</v>
      </c>
      <c r="E10" t="s">
        <v>2567</v>
      </c>
      <c r="F10" s="49">
        <f t="shared" si="3"/>
        <v>9</v>
      </c>
      <c r="G10" t="s">
        <v>215</v>
      </c>
      <c r="J10" s="49">
        <f t="shared" si="0"/>
        <v>2.12723</v>
      </c>
      <c r="K10" s="49">
        <f t="shared" si="1"/>
        <v>55.858699999999992</v>
      </c>
      <c r="L10" s="49">
        <f t="shared" si="2"/>
        <v>26.258890670026275</v>
      </c>
    </row>
    <row r="11" spans="1:12">
      <c r="A11" s="49">
        <v>0.21406700000000001</v>
      </c>
      <c r="B11" s="49">
        <v>0.554033</v>
      </c>
      <c r="C11">
        <v>3.6297299999999999</v>
      </c>
      <c r="D11">
        <v>0</v>
      </c>
      <c r="E11" t="s">
        <v>2568</v>
      </c>
      <c r="F11" s="49">
        <f t="shared" si="3"/>
        <v>10</v>
      </c>
      <c r="G11" s="71" t="s">
        <v>216</v>
      </c>
      <c r="H11" s="73">
        <f>MIN(B2:B1000)</f>
        <v>0.499085</v>
      </c>
      <c r="J11" s="49">
        <f t="shared" si="0"/>
        <v>2.1406700000000001</v>
      </c>
      <c r="K11" s="49">
        <f t="shared" si="1"/>
        <v>55.403300000000002</v>
      </c>
      <c r="L11" s="49">
        <f t="shared" si="2"/>
        <v>25.881289502819211</v>
      </c>
    </row>
    <row r="12" spans="1:12">
      <c r="A12" s="49">
        <v>0.21549599999999999</v>
      </c>
      <c r="B12" s="49">
        <v>0.54907600000000001</v>
      </c>
      <c r="C12">
        <v>4.0306800000000003</v>
      </c>
      <c r="D12">
        <v>0</v>
      </c>
      <c r="E12" t="s">
        <v>2569</v>
      </c>
      <c r="F12" s="49">
        <f t="shared" si="3"/>
        <v>11</v>
      </c>
      <c r="G12" s="71" t="s">
        <v>218</v>
      </c>
      <c r="H12" s="73">
        <f>MAX(B2:B1000)</f>
        <v>0.61412599999999995</v>
      </c>
      <c r="J12" s="49">
        <f t="shared" si="0"/>
        <v>2.15496</v>
      </c>
      <c r="K12" s="49">
        <f t="shared" si="1"/>
        <v>54.907600000000002</v>
      </c>
      <c r="L12" s="49">
        <f t="shared" si="2"/>
        <v>25.479637673089062</v>
      </c>
    </row>
    <row r="13" spans="1:12">
      <c r="A13" s="49">
        <v>0.21692900000000001</v>
      </c>
      <c r="B13" s="49">
        <v>0.54414499999999999</v>
      </c>
      <c r="C13">
        <v>4.44062</v>
      </c>
      <c r="D13">
        <v>0</v>
      </c>
      <c r="E13" t="s">
        <v>2570</v>
      </c>
      <c r="F13" s="49">
        <f t="shared" si="3"/>
        <v>12</v>
      </c>
      <c r="G13" s="71" t="s">
        <v>220</v>
      </c>
      <c r="H13">
        <f>MATCH($H$11,B2:B1000,0)</f>
        <v>25</v>
      </c>
      <c r="J13" s="49">
        <f t="shared" si="0"/>
        <v>2.1692900000000002</v>
      </c>
      <c r="K13" s="49">
        <f t="shared" si="1"/>
        <v>54.414499999999997</v>
      </c>
      <c r="L13" s="49">
        <f t="shared" si="2"/>
        <v>25.084013663456705</v>
      </c>
    </row>
    <row r="14" spans="1:12">
      <c r="A14" s="49">
        <v>0.218246</v>
      </c>
      <c r="B14" s="49">
        <v>0.54001100000000002</v>
      </c>
      <c r="C14">
        <v>4.8727799999999997</v>
      </c>
      <c r="D14">
        <v>0</v>
      </c>
      <c r="E14" t="s">
        <v>2571</v>
      </c>
      <c r="F14" s="49">
        <f t="shared" si="3"/>
        <v>13</v>
      </c>
      <c r="G14" s="71" t="s">
        <v>221</v>
      </c>
      <c r="H14">
        <f>MATCH($H$12,B2:B1000,0)</f>
        <v>1</v>
      </c>
      <c r="J14" s="49">
        <f t="shared" si="0"/>
        <v>2.1824599999999998</v>
      </c>
      <c r="K14" s="49">
        <f t="shared" si="1"/>
        <v>54.001100000000001</v>
      </c>
      <c r="L14" s="49">
        <f t="shared" si="2"/>
        <v>24.743225534488605</v>
      </c>
    </row>
    <row r="15" spans="1:12">
      <c r="A15" s="49">
        <v>0.21947</v>
      </c>
      <c r="B15" s="49">
        <v>0.53621099999999999</v>
      </c>
      <c r="C15">
        <v>5.2484999999999999</v>
      </c>
      <c r="D15">
        <v>0</v>
      </c>
      <c r="E15" t="s">
        <v>2572</v>
      </c>
      <c r="F15" s="49">
        <f t="shared" si="3"/>
        <v>14</v>
      </c>
      <c r="G15">
        <f>LOOKUP($H13,F2:F1000,A2:A1000)</f>
        <v>0.22913900000000001</v>
      </c>
      <c r="H15">
        <f>LOOKUP($H13,F2:F1000,B2:B1000)</f>
        <v>0.499085</v>
      </c>
      <c r="J15" s="49">
        <f t="shared" si="0"/>
        <v>2.1947000000000001</v>
      </c>
      <c r="K15" s="49">
        <f t="shared" si="1"/>
        <v>53.621099999999998</v>
      </c>
      <c r="L15" s="49">
        <f t="shared" si="2"/>
        <v>24.432086389939396</v>
      </c>
    </row>
    <row r="16" spans="1:12">
      <c r="A16" s="49">
        <v>0.22070999999999999</v>
      </c>
      <c r="B16" s="49">
        <v>0.53222100000000006</v>
      </c>
      <c r="C16">
        <v>5.6603000000000003</v>
      </c>
      <c r="D16">
        <v>0</v>
      </c>
      <c r="E16" t="s">
        <v>2573</v>
      </c>
      <c r="F16" s="49">
        <f t="shared" si="3"/>
        <v>15</v>
      </c>
      <c r="G16">
        <f>LOOKUP($H14,F2:F1000,A2:A1000)</f>
        <v>0.18565100000000001</v>
      </c>
      <c r="H16">
        <f>LOOKUP($H14,F2:F1000,B2:B1000)</f>
        <v>0.61412599999999995</v>
      </c>
      <c r="J16" s="49">
        <f t="shared" si="0"/>
        <v>2.2071000000000001</v>
      </c>
      <c r="K16" s="49">
        <f t="shared" si="1"/>
        <v>53.222100000000005</v>
      </c>
      <c r="L16" s="49">
        <f t="shared" si="2"/>
        <v>24.114041049340766</v>
      </c>
    </row>
    <row r="17" spans="1:12">
      <c r="A17" s="49">
        <v>0.22195699999999999</v>
      </c>
      <c r="B17" s="49">
        <v>0.52800599999999998</v>
      </c>
      <c r="C17">
        <v>6.0608599999999999</v>
      </c>
      <c r="D17">
        <v>0</v>
      </c>
      <c r="E17" t="s">
        <v>2574</v>
      </c>
      <c r="F17" s="49">
        <f t="shared" si="3"/>
        <v>16</v>
      </c>
      <c r="J17" s="49">
        <f t="shared" si="0"/>
        <v>2.21957</v>
      </c>
      <c r="K17" s="49">
        <f t="shared" si="1"/>
        <v>52.800599999999996</v>
      </c>
      <c r="L17" s="49">
        <f t="shared" si="2"/>
        <v>23.788661767819892</v>
      </c>
    </row>
    <row r="18" spans="1:12">
      <c r="A18" s="49">
        <v>0.22326199999999999</v>
      </c>
      <c r="B18" s="49">
        <v>0.52345799999999998</v>
      </c>
      <c r="C18">
        <v>6.4674399999999999</v>
      </c>
      <c r="D18">
        <v>0</v>
      </c>
      <c r="E18" t="s">
        <v>2575</v>
      </c>
      <c r="F18" s="49">
        <f t="shared" si="3"/>
        <v>17</v>
      </c>
      <c r="J18" s="49">
        <f t="shared" si="0"/>
        <v>2.2326199999999998</v>
      </c>
      <c r="K18" s="49">
        <f t="shared" si="1"/>
        <v>52.345799999999997</v>
      </c>
      <c r="L18" s="49">
        <f t="shared" si="2"/>
        <v>23.445906603004541</v>
      </c>
    </row>
    <row r="19" spans="1:12">
      <c r="A19" s="49">
        <v>0.22461700000000001</v>
      </c>
      <c r="B19" s="49">
        <v>0.51841899999999996</v>
      </c>
      <c r="C19">
        <v>6.8838999999999997</v>
      </c>
      <c r="D19">
        <v>0</v>
      </c>
      <c r="E19" t="s">
        <v>2576</v>
      </c>
      <c r="F19" s="49">
        <f t="shared" si="3"/>
        <v>18</v>
      </c>
      <c r="J19" s="49">
        <f t="shared" si="0"/>
        <v>2.2461700000000002</v>
      </c>
      <c r="K19" s="49">
        <f t="shared" si="1"/>
        <v>51.841899999999995</v>
      </c>
      <c r="L19" s="49">
        <f t="shared" si="2"/>
        <v>23.080131957955093</v>
      </c>
    </row>
    <row r="20" spans="1:12">
      <c r="A20" s="49">
        <v>0.225518</v>
      </c>
      <c r="B20" s="49">
        <v>0.51504499999999998</v>
      </c>
      <c r="C20">
        <v>7.2962300000000004</v>
      </c>
      <c r="D20">
        <v>0</v>
      </c>
      <c r="E20" t="s">
        <v>2577</v>
      </c>
      <c r="F20" s="49">
        <f t="shared" si="3"/>
        <v>19</v>
      </c>
      <c r="J20" s="49">
        <f t="shared" si="0"/>
        <v>2.2551800000000002</v>
      </c>
      <c r="K20" s="49">
        <f t="shared" si="1"/>
        <v>51.5045</v>
      </c>
      <c r="L20" s="49">
        <f t="shared" si="2"/>
        <v>22.838310024033557</v>
      </c>
    </row>
    <row r="21" spans="1:12">
      <c r="A21" s="49">
        <v>0.22609199999999999</v>
      </c>
      <c r="B21" s="49">
        <v>0.51295100000000005</v>
      </c>
      <c r="C21">
        <v>7.6890999999999998</v>
      </c>
      <c r="D21">
        <v>0</v>
      </c>
      <c r="E21" t="s">
        <v>2578</v>
      </c>
      <c r="F21" s="49">
        <f t="shared" si="3"/>
        <v>20</v>
      </c>
      <c r="J21" s="49">
        <f t="shared" si="0"/>
        <v>2.26092</v>
      </c>
      <c r="K21" s="49">
        <f t="shared" si="1"/>
        <v>51.295100000000005</v>
      </c>
      <c r="L21" s="49">
        <f t="shared" si="2"/>
        <v>22.687711197211755</v>
      </c>
    </row>
    <row r="22" spans="1:12">
      <c r="A22" s="49">
        <v>0.22667799999999999</v>
      </c>
      <c r="B22" s="49">
        <v>0.510544</v>
      </c>
      <c r="C22">
        <v>8.1070799999999998</v>
      </c>
      <c r="D22">
        <v>0</v>
      </c>
      <c r="E22" t="s">
        <v>2579</v>
      </c>
      <c r="F22" s="49">
        <f t="shared" si="3"/>
        <v>21</v>
      </c>
      <c r="J22" s="49">
        <f t="shared" si="0"/>
        <v>2.2667799999999998</v>
      </c>
      <c r="K22" s="49">
        <f t="shared" si="1"/>
        <v>51.054400000000001</v>
      </c>
      <c r="L22" s="49">
        <f t="shared" si="2"/>
        <v>22.522873856307186</v>
      </c>
    </row>
    <row r="23" spans="1:12">
      <c r="A23" s="49">
        <v>0.227293</v>
      </c>
      <c r="B23" s="49">
        <v>0.50782799999999995</v>
      </c>
      <c r="C23">
        <v>8.5085700000000006</v>
      </c>
      <c r="D23">
        <v>0</v>
      </c>
      <c r="E23" t="s">
        <v>2580</v>
      </c>
      <c r="F23" s="49">
        <f t="shared" si="3"/>
        <v>22</v>
      </c>
      <c r="J23" s="49">
        <f t="shared" si="0"/>
        <v>2.2729300000000001</v>
      </c>
      <c r="K23" s="49">
        <f t="shared" si="1"/>
        <v>50.782799999999995</v>
      </c>
      <c r="L23" s="49">
        <f t="shared" si="2"/>
        <v>22.34243905443634</v>
      </c>
    </row>
    <row r="24" spans="1:12">
      <c r="A24" s="49">
        <v>0.227909</v>
      </c>
      <c r="B24" s="49">
        <v>0.50503799999999999</v>
      </c>
      <c r="C24">
        <v>8.9127100000000006</v>
      </c>
      <c r="D24">
        <v>0</v>
      </c>
      <c r="E24" t="s">
        <v>2581</v>
      </c>
      <c r="F24" s="49">
        <f t="shared" si="3"/>
        <v>23</v>
      </c>
      <c r="G24" t="s">
        <v>245</v>
      </c>
      <c r="H24">
        <f>COUNT(A2:A2000)</f>
        <v>25</v>
      </c>
      <c r="J24" s="49">
        <f t="shared" si="0"/>
        <v>2.2790900000000001</v>
      </c>
      <c r="K24" s="49">
        <f t="shared" si="1"/>
        <v>50.503799999999998</v>
      </c>
      <c r="L24" s="49">
        <f t="shared" si="2"/>
        <v>22.159633888964454</v>
      </c>
    </row>
    <row r="25" spans="1:12">
      <c r="A25" s="49">
        <v>0.22863800000000001</v>
      </c>
      <c r="B25" s="49">
        <v>0.50164399999999998</v>
      </c>
      <c r="C25">
        <v>9.3291199999999996</v>
      </c>
      <c r="D25">
        <v>0</v>
      </c>
      <c r="E25" t="s">
        <v>2582</v>
      </c>
      <c r="F25" s="49">
        <f t="shared" si="3"/>
        <v>24</v>
      </c>
      <c r="J25" s="49">
        <f t="shared" si="0"/>
        <v>2.2863800000000003</v>
      </c>
      <c r="K25" s="49">
        <f t="shared" si="1"/>
        <v>50.164400000000001</v>
      </c>
      <c r="L25" s="49">
        <f t="shared" si="2"/>
        <v>21.940534819233896</v>
      </c>
    </row>
    <row r="26" spans="1:12">
      <c r="A26" s="49">
        <v>0.22913900000000001</v>
      </c>
      <c r="B26" s="49">
        <v>0.499085</v>
      </c>
      <c r="C26">
        <v>9.7174099999999992</v>
      </c>
      <c r="D26">
        <v>0</v>
      </c>
      <c r="E26" t="s">
        <v>2583</v>
      </c>
      <c r="F26" s="49">
        <f t="shared" si="3"/>
        <v>25</v>
      </c>
      <c r="J26" s="49">
        <f t="shared" si="0"/>
        <v>2.2913900000000003</v>
      </c>
      <c r="K26" s="49">
        <f t="shared" si="1"/>
        <v>49.908500000000004</v>
      </c>
      <c r="L26" s="49">
        <f t="shared" si="2"/>
        <v>21.780884092188582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45819.772581018522</v>
      </c>
      <c r="B2" t="s">
        <v>2584</v>
      </c>
      <c r="C2" s="49"/>
      <c r="D2" s="49"/>
      <c r="E2" s="49">
        <v>4.9234099999999996</v>
      </c>
      <c r="F2" s="49">
        <v>1.0745199999999999</v>
      </c>
      <c r="G2" s="49">
        <v>0.45294299999999998</v>
      </c>
      <c r="H2" s="49">
        <v>0</v>
      </c>
      <c r="I2" s="49">
        <v>22.068000000000001</v>
      </c>
      <c r="J2" s="49">
        <v>47</v>
      </c>
      <c r="K2" s="49">
        <v>47</v>
      </c>
      <c r="L2" s="49">
        <v>100</v>
      </c>
      <c r="M2" s="521" t="s">
        <v>1549</v>
      </c>
      <c r="O2" s="565" t="str">
        <f>IF(FH_info!B2="","",TRIM(MID(SUBSTITUTE(FH_info!B2,"^",REPT(" ",LEN(FH_info!B2))),LEN(FH_info!B2)*2-LEN(FH_info!B2)+1,LEN(FH_info!B2))))</f>
        <v>nFQ6</v>
      </c>
      <c r="P2" s="565" t="str">
        <f>IF(FH_info!O2="","",TRIM(MID(SUBSTITUTE(FH_info!O2," ",REPT(" ",LEN(FH_info!O2))),LEN(FH_info!O2)*1-LEN(FH_info!O2)+1,LEN(FH_info!O2))))</f>
        <v>nFQ6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22.068000999999999</v>
      </c>
      <c r="D2">
        <f>MAX(B2:B257)</f>
        <v>652.82397500000002</v>
      </c>
      <c r="G2" t="s">
        <v>1590</v>
      </c>
      <c r="H2">
        <v>4.9234140000000002</v>
      </c>
      <c r="I2">
        <v>22.068000999999999</v>
      </c>
      <c r="J2">
        <v>0</v>
      </c>
      <c r="K2">
        <v>47</v>
      </c>
      <c r="L2">
        <v>47</v>
      </c>
      <c r="M2">
        <v>1.074516</v>
      </c>
      <c r="N2">
        <v>0.45294299999999998</v>
      </c>
      <c r="O2">
        <v>0.20515700000000001</v>
      </c>
    </row>
    <row r="3" spans="1:15">
      <c r="A3">
        <v>0</v>
      </c>
      <c r="B3">
        <v>0</v>
      </c>
      <c r="G3" t="s">
        <v>1591</v>
      </c>
      <c r="H3">
        <v>4.9234140000000002</v>
      </c>
      <c r="I3">
        <v>652.82397500000002</v>
      </c>
      <c r="J3">
        <v>0</v>
      </c>
      <c r="K3">
        <v>3</v>
      </c>
      <c r="L3">
        <v>3</v>
      </c>
      <c r="M3">
        <v>0.30200900000000003</v>
      </c>
      <c r="N3">
        <v>0.29314000000000001</v>
      </c>
      <c r="O3">
        <v>8.5930999999999993E-2</v>
      </c>
    </row>
    <row r="4" spans="1:15">
      <c r="A4">
        <v>0</v>
      </c>
      <c r="B4">
        <v>0</v>
      </c>
    </row>
    <row r="5" spans="1:15">
      <c r="A5">
        <v>1.02</v>
      </c>
      <c r="B5">
        <v>652.82397500000002</v>
      </c>
    </row>
    <row r="6" spans="1:15">
      <c r="A6">
        <v>0</v>
      </c>
      <c r="B6">
        <v>0</v>
      </c>
    </row>
    <row r="7" spans="1:15">
      <c r="A7">
        <v>0</v>
      </c>
      <c r="B7">
        <v>0</v>
      </c>
    </row>
    <row r="8" spans="1:15">
      <c r="A8">
        <v>2.12</v>
      </c>
      <c r="B8">
        <v>309.67867999999999</v>
      </c>
    </row>
    <row r="9" spans="1:15">
      <c r="A9">
        <v>0</v>
      </c>
      <c r="B9">
        <v>0</v>
      </c>
    </row>
    <row r="10" spans="1:15">
      <c r="A10">
        <v>3.12</v>
      </c>
      <c r="B10">
        <v>198.26800499999999</v>
      </c>
    </row>
    <row r="11" spans="1:15">
      <c r="A11">
        <v>0</v>
      </c>
      <c r="B11">
        <v>0</v>
      </c>
    </row>
    <row r="12" spans="1:15">
      <c r="A12">
        <v>0</v>
      </c>
      <c r="B12">
        <v>0</v>
      </c>
    </row>
    <row r="13" spans="1:15">
      <c r="A13">
        <v>3.06</v>
      </c>
      <c r="B13">
        <v>159.14399700000001</v>
      </c>
    </row>
    <row r="14" spans="1:15">
      <c r="A14">
        <v>0</v>
      </c>
      <c r="B14">
        <v>0</v>
      </c>
    </row>
    <row r="15" spans="1:15">
      <c r="A15">
        <v>2.9159999999999999</v>
      </c>
      <c r="B15">
        <v>137.42401100000001</v>
      </c>
    </row>
    <row r="16" spans="1:15">
      <c r="A16">
        <v>0</v>
      </c>
      <c r="B16">
        <v>0</v>
      </c>
    </row>
    <row r="17" spans="1:2">
      <c r="A17">
        <v>0</v>
      </c>
      <c r="B17">
        <v>0</v>
      </c>
    </row>
    <row r="18" spans="1:2">
      <c r="A18">
        <v>5.0893329999999999</v>
      </c>
      <c r="B18">
        <v>122.687996</v>
      </c>
    </row>
    <row r="19" spans="1:2">
      <c r="A19">
        <v>0</v>
      </c>
      <c r="B19">
        <v>0</v>
      </c>
    </row>
    <row r="20" spans="1:2">
      <c r="A20">
        <v>0</v>
      </c>
      <c r="B20">
        <v>0</v>
      </c>
    </row>
    <row r="21" spans="1:2">
      <c r="A21">
        <v>2.9239999999999999</v>
      </c>
      <c r="B21">
        <v>109.61866000000001</v>
      </c>
    </row>
    <row r="22" spans="1:2">
      <c r="A22">
        <v>0</v>
      </c>
      <c r="B22">
        <v>0</v>
      </c>
    </row>
    <row r="23" spans="1:2">
      <c r="A23">
        <v>3.0973329999999999</v>
      </c>
      <c r="B23">
        <v>96.501334999999997</v>
      </c>
    </row>
    <row r="24" spans="1:2">
      <c r="A24">
        <v>0</v>
      </c>
      <c r="B24">
        <v>0</v>
      </c>
    </row>
    <row r="25" spans="1:2">
      <c r="A25">
        <v>0</v>
      </c>
      <c r="B25">
        <v>0</v>
      </c>
    </row>
    <row r="26" spans="1:2">
      <c r="A26">
        <v>5.0053330000000003</v>
      </c>
      <c r="B26">
        <v>84.997337000000002</v>
      </c>
    </row>
    <row r="27" spans="1:2">
      <c r="A27">
        <v>0</v>
      </c>
      <c r="B27">
        <v>0</v>
      </c>
    </row>
    <row r="28" spans="1:2">
      <c r="A28">
        <v>8.8773339999999994</v>
      </c>
      <c r="B28">
        <v>74.515998999999994</v>
      </c>
    </row>
    <row r="29" spans="1:2">
      <c r="A29">
        <v>0</v>
      </c>
      <c r="B29">
        <v>0</v>
      </c>
    </row>
    <row r="30" spans="1:2">
      <c r="A30">
        <v>0</v>
      </c>
      <c r="B30">
        <v>0</v>
      </c>
    </row>
    <row r="31" spans="1:2">
      <c r="A31">
        <v>15.268001</v>
      </c>
      <c r="B31">
        <v>68.209327999999999</v>
      </c>
    </row>
    <row r="32" spans="1:2">
      <c r="A32">
        <v>0</v>
      </c>
      <c r="B32">
        <v>0</v>
      </c>
    </row>
    <row r="33" spans="1:2">
      <c r="A33">
        <v>13.117331999999999</v>
      </c>
      <c r="B33">
        <v>60.299999</v>
      </c>
    </row>
    <row r="34" spans="1:2">
      <c r="A34">
        <v>0</v>
      </c>
      <c r="B34">
        <v>0</v>
      </c>
    </row>
    <row r="35" spans="1:2">
      <c r="A35">
        <v>0</v>
      </c>
      <c r="B35">
        <v>0</v>
      </c>
    </row>
    <row r="36" spans="1:2">
      <c r="A36">
        <v>12.546666</v>
      </c>
      <c r="B36">
        <v>51.447997999999998</v>
      </c>
    </row>
    <row r="37" spans="1:2">
      <c r="A37">
        <v>0</v>
      </c>
      <c r="B37">
        <v>0</v>
      </c>
    </row>
    <row r="38" spans="1:2">
      <c r="A38">
        <v>0</v>
      </c>
      <c r="B38">
        <v>0</v>
      </c>
    </row>
    <row r="39" spans="1:2">
      <c r="A39">
        <v>12.929334000000001</v>
      </c>
      <c r="B39">
        <v>43.903998999999999</v>
      </c>
    </row>
    <row r="40" spans="1:2">
      <c r="A40">
        <v>0</v>
      </c>
      <c r="B40">
        <v>0</v>
      </c>
    </row>
    <row r="41" spans="1:2">
      <c r="A41">
        <v>14.022667</v>
      </c>
      <c r="B41">
        <v>37.139999000000003</v>
      </c>
    </row>
    <row r="42" spans="1:2">
      <c r="A42">
        <v>0</v>
      </c>
      <c r="B42">
        <v>0</v>
      </c>
    </row>
    <row r="43" spans="1:2">
      <c r="A43">
        <v>0</v>
      </c>
      <c r="B43">
        <v>0</v>
      </c>
    </row>
    <row r="44" spans="1:2">
      <c r="A44">
        <v>12.410666000000001</v>
      </c>
      <c r="B44">
        <v>30.277334</v>
      </c>
    </row>
    <row r="45" spans="1:2">
      <c r="A45">
        <v>0</v>
      </c>
      <c r="B45">
        <v>0</v>
      </c>
    </row>
    <row r="46" spans="1:2">
      <c r="A46">
        <v>17.310666999999999</v>
      </c>
      <c r="B46">
        <v>24.901333000000001</v>
      </c>
    </row>
    <row r="47" spans="1:2">
      <c r="A47">
        <v>0</v>
      </c>
      <c r="B47">
        <v>0</v>
      </c>
    </row>
    <row r="48" spans="1:2">
      <c r="A48">
        <v>0</v>
      </c>
      <c r="B48">
        <v>0</v>
      </c>
    </row>
    <row r="49" spans="1:2">
      <c r="A49">
        <v>22.068000999999999</v>
      </c>
      <c r="B49">
        <v>20.813331999999999</v>
      </c>
    </row>
    <row r="50" spans="1:2">
      <c r="A50">
        <v>0</v>
      </c>
      <c r="B50">
        <v>0</v>
      </c>
    </row>
    <row r="51" spans="1:2">
      <c r="A51">
        <v>16.417334</v>
      </c>
      <c r="B51">
        <v>15.649334</v>
      </c>
    </row>
    <row r="52" spans="1:2">
      <c r="A52">
        <v>0</v>
      </c>
      <c r="B52">
        <v>0</v>
      </c>
    </row>
    <row r="53" spans="1:2">
      <c r="A53">
        <v>0</v>
      </c>
      <c r="B53">
        <v>0</v>
      </c>
    </row>
    <row r="54" spans="1:2">
      <c r="A54">
        <v>17.111999999999998</v>
      </c>
      <c r="B54">
        <v>13.891999</v>
      </c>
    </row>
    <row r="55" spans="1:2">
      <c r="A55">
        <v>0</v>
      </c>
      <c r="B55">
        <v>0</v>
      </c>
    </row>
    <row r="56" spans="1:2">
      <c r="A56">
        <v>0</v>
      </c>
      <c r="B56">
        <v>0</v>
      </c>
    </row>
    <row r="57" spans="1:2">
      <c r="A57">
        <v>18.577332999999999</v>
      </c>
      <c r="B57">
        <v>11.057333</v>
      </c>
    </row>
    <row r="58" spans="1:2">
      <c r="A58">
        <v>0</v>
      </c>
      <c r="B58">
        <v>0</v>
      </c>
    </row>
    <row r="59" spans="1:2">
      <c r="A59">
        <v>16.953333000000001</v>
      </c>
      <c r="B59">
        <v>9.3480000000000008</v>
      </c>
    </row>
    <row r="60" spans="1:2">
      <c r="A60">
        <v>0</v>
      </c>
      <c r="B60">
        <v>0</v>
      </c>
    </row>
    <row r="61" spans="1:2">
      <c r="A61">
        <v>0</v>
      </c>
      <c r="B61">
        <v>0</v>
      </c>
    </row>
    <row r="62" spans="1:2">
      <c r="A62">
        <v>13.408001000000001</v>
      </c>
      <c r="B62">
        <v>7.9693339999999999</v>
      </c>
    </row>
    <row r="63" spans="1:2">
      <c r="A63">
        <v>0</v>
      </c>
      <c r="B63">
        <v>0</v>
      </c>
    </row>
    <row r="64" spans="1:2">
      <c r="A64">
        <v>13.129333000000001</v>
      </c>
      <c r="B64">
        <v>6.7693329999999996</v>
      </c>
    </row>
    <row r="65" spans="1:2">
      <c r="A65">
        <v>0</v>
      </c>
      <c r="B65">
        <v>0</v>
      </c>
    </row>
    <row r="66" spans="1:2">
      <c r="A66">
        <v>0</v>
      </c>
      <c r="B66">
        <v>0</v>
      </c>
    </row>
    <row r="67" spans="1:2">
      <c r="A67">
        <v>11.116</v>
      </c>
      <c r="B67">
        <v>5.0880000000000001</v>
      </c>
    </row>
    <row r="68" spans="1:2">
      <c r="A68">
        <v>0</v>
      </c>
      <c r="B68">
        <v>0</v>
      </c>
    </row>
    <row r="69" spans="1:2">
      <c r="A69">
        <v>10.910666000000001</v>
      </c>
      <c r="B69">
        <v>4.4546669999999997</v>
      </c>
    </row>
    <row r="70" spans="1:2">
      <c r="A70">
        <v>0</v>
      </c>
      <c r="B70">
        <v>0</v>
      </c>
    </row>
    <row r="71" spans="1:2">
      <c r="A71">
        <v>0</v>
      </c>
      <c r="B71">
        <v>0</v>
      </c>
    </row>
    <row r="72" spans="1:2">
      <c r="A72">
        <v>14.311999</v>
      </c>
      <c r="B72">
        <v>4.0119999999999996</v>
      </c>
    </row>
    <row r="73" spans="1:2">
      <c r="A73">
        <v>0</v>
      </c>
      <c r="B73">
        <v>0</v>
      </c>
    </row>
    <row r="74" spans="1:2">
      <c r="A74">
        <v>0</v>
      </c>
      <c r="B74">
        <v>0</v>
      </c>
    </row>
    <row r="75" spans="1:2">
      <c r="A75">
        <v>11.343999999999999</v>
      </c>
      <c r="B75">
        <v>3.3506670000000001</v>
      </c>
    </row>
    <row r="76" spans="1:2">
      <c r="A76">
        <v>0</v>
      </c>
      <c r="B76">
        <v>0</v>
      </c>
    </row>
    <row r="77" spans="1:2">
      <c r="A77">
        <v>8.6773340000000001</v>
      </c>
      <c r="B77">
        <v>2.7919999999999998</v>
      </c>
    </row>
    <row r="78" spans="1:2">
      <c r="A78">
        <v>0</v>
      </c>
      <c r="B78">
        <v>0</v>
      </c>
    </row>
    <row r="79" spans="1:2">
      <c r="A79">
        <v>0</v>
      </c>
      <c r="B79">
        <v>0</v>
      </c>
    </row>
    <row r="80" spans="1:2">
      <c r="A80">
        <v>8.4226670000000006</v>
      </c>
      <c r="B80">
        <v>2.7040000000000002</v>
      </c>
    </row>
    <row r="81" spans="1:2">
      <c r="A81">
        <v>0</v>
      </c>
      <c r="B81">
        <v>0</v>
      </c>
    </row>
    <row r="82" spans="1:2">
      <c r="A82">
        <v>6.2519999999999998</v>
      </c>
      <c r="B82">
        <v>2.4</v>
      </c>
    </row>
    <row r="83" spans="1:2">
      <c r="A83">
        <v>0</v>
      </c>
      <c r="B83">
        <v>0</v>
      </c>
    </row>
    <row r="84" spans="1:2">
      <c r="A84">
        <v>0</v>
      </c>
      <c r="B84">
        <v>0</v>
      </c>
    </row>
    <row r="85" spans="1:2">
      <c r="A85">
        <v>5.8</v>
      </c>
      <c r="B85">
        <v>2.012</v>
      </c>
    </row>
    <row r="86" spans="1:2">
      <c r="A86">
        <v>0</v>
      </c>
      <c r="B86">
        <v>0</v>
      </c>
    </row>
    <row r="87" spans="1:2">
      <c r="A87">
        <v>0</v>
      </c>
      <c r="B87">
        <v>0</v>
      </c>
    </row>
    <row r="88" spans="1:2">
      <c r="A88">
        <v>4.0626660000000001</v>
      </c>
      <c r="B88">
        <v>2.310667</v>
      </c>
    </row>
    <row r="89" spans="1:2">
      <c r="A89">
        <v>0</v>
      </c>
      <c r="B89">
        <v>0</v>
      </c>
    </row>
    <row r="90" spans="1:2">
      <c r="A90">
        <v>4.1053329999999999</v>
      </c>
      <c r="B90">
        <v>1.444</v>
      </c>
    </row>
    <row r="91" spans="1:2">
      <c r="A91">
        <v>0</v>
      </c>
      <c r="B91">
        <v>0</v>
      </c>
    </row>
    <row r="92" spans="1:2">
      <c r="A92">
        <v>0</v>
      </c>
      <c r="B92">
        <v>0</v>
      </c>
    </row>
    <row r="93" spans="1:2">
      <c r="A93">
        <v>7.6426670000000003</v>
      </c>
      <c r="B93">
        <v>1.6706669999999999</v>
      </c>
    </row>
    <row r="94" spans="1:2">
      <c r="A94">
        <v>0</v>
      </c>
      <c r="B94">
        <v>0</v>
      </c>
    </row>
    <row r="95" spans="1:2">
      <c r="A95">
        <v>5.8093329999999996</v>
      </c>
      <c r="B95">
        <v>1.1839999999999999</v>
      </c>
    </row>
    <row r="96" spans="1:2">
      <c r="A96">
        <v>0</v>
      </c>
      <c r="B96">
        <v>0</v>
      </c>
    </row>
    <row r="97" spans="1:2">
      <c r="A97">
        <v>0</v>
      </c>
      <c r="B97">
        <v>0</v>
      </c>
    </row>
    <row r="98" spans="1:2">
      <c r="A98">
        <v>6.3546670000000001</v>
      </c>
      <c r="B98">
        <v>0.74533300000000002</v>
      </c>
    </row>
    <row r="99" spans="1:2">
      <c r="A99">
        <v>0</v>
      </c>
      <c r="B99">
        <v>0</v>
      </c>
    </row>
    <row r="100" spans="1:2">
      <c r="A100">
        <v>10.829333</v>
      </c>
      <c r="B100">
        <v>0.68799999999999994</v>
      </c>
    </row>
    <row r="101" spans="1:2">
      <c r="A101">
        <v>0</v>
      </c>
      <c r="B101">
        <v>0</v>
      </c>
    </row>
    <row r="102" spans="1:2">
      <c r="A102">
        <v>0</v>
      </c>
      <c r="B102">
        <v>0</v>
      </c>
    </row>
    <row r="103" spans="1:2">
      <c r="A103">
        <v>6.5386660000000001</v>
      </c>
      <c r="B103">
        <v>0.38400000000000001</v>
      </c>
    </row>
    <row r="104" spans="1:2">
      <c r="A104">
        <v>0</v>
      </c>
      <c r="B104">
        <v>0</v>
      </c>
    </row>
    <row r="105" spans="1:2">
      <c r="A105">
        <v>0</v>
      </c>
      <c r="B105">
        <v>0</v>
      </c>
    </row>
    <row r="106" spans="1:2">
      <c r="A106">
        <v>3.2120000000000002</v>
      </c>
      <c r="B106">
        <v>0.182667</v>
      </c>
    </row>
    <row r="107" spans="1:2">
      <c r="A107">
        <v>0</v>
      </c>
      <c r="B107">
        <v>0</v>
      </c>
    </row>
    <row r="108" spans="1:2">
      <c r="A108">
        <v>1.6919999999999999</v>
      </c>
      <c r="B108">
        <v>8.7999999999999995E-2</v>
      </c>
    </row>
    <row r="109" spans="1:2">
      <c r="A109">
        <v>0</v>
      </c>
      <c r="B109">
        <v>0</v>
      </c>
    </row>
    <row r="110" spans="1:2">
      <c r="A110">
        <v>0</v>
      </c>
      <c r="B110">
        <v>0</v>
      </c>
    </row>
    <row r="111" spans="1:2">
      <c r="A111">
        <v>1.708</v>
      </c>
      <c r="B111">
        <v>6.9333000000000006E-2</v>
      </c>
    </row>
    <row r="112" spans="1:2">
      <c r="A112">
        <v>0</v>
      </c>
      <c r="B112">
        <v>0</v>
      </c>
    </row>
    <row r="113" spans="1:2">
      <c r="A113">
        <v>1.009333</v>
      </c>
      <c r="B113">
        <v>4.1333000000000002E-2</v>
      </c>
    </row>
    <row r="114" spans="1:2">
      <c r="A114">
        <v>0</v>
      </c>
      <c r="B114">
        <v>0</v>
      </c>
    </row>
    <row r="115" spans="1:2">
      <c r="A115">
        <v>0</v>
      </c>
      <c r="B115">
        <v>0</v>
      </c>
    </row>
    <row r="116" spans="1:2">
      <c r="A116">
        <v>0.06</v>
      </c>
      <c r="B116">
        <v>4.0000000000000001E-3</v>
      </c>
    </row>
    <row r="117" spans="1:2">
      <c r="A117">
        <v>0</v>
      </c>
      <c r="B117">
        <v>0</v>
      </c>
    </row>
    <row r="118" spans="1:2">
      <c r="A118">
        <v>0.37066700000000002</v>
      </c>
      <c r="B118">
        <v>1.3332999999999999E-2</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0.103829973122489
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0.10382997312248921</v>
      </c>
      <c r="I4" s="322">
        <f>IF(Measurement!AQ7&lt;&gt;"",NORMSDIST((H6-$B$2)/$B$3)*100,"")</f>
        <v>63.64330557404827</v>
      </c>
      <c r="J4" t="str">
        <f>Measurement!AR7</f>
        <v>건강</v>
      </c>
    </row>
    <row r="5" spans="1:11">
      <c r="B5" s="171">
        <v>-10</v>
      </c>
      <c r="C5" s="171">
        <f>NORMSDIST(($B5-$B$2)/$B$3)*100</f>
        <v>7.1097265868555281E-5</v>
      </c>
      <c r="G5" t="s">
        <v>1539</v>
      </c>
      <c r="H5" s="320">
        <f>IF(Measurement!AQ7&lt;-7,-7,Measurement!AQ7)</f>
        <v>0.10382997312248921</v>
      </c>
      <c r="I5" s="321">
        <f>IF(Measurement!AQ7&lt;&gt;"",0,"")</f>
        <v>0</v>
      </c>
    </row>
    <row r="6" spans="1:11">
      <c r="B6" s="171">
        <f>B5+0.1</f>
        <v>-9.9</v>
      </c>
      <c r="C6" s="171">
        <f t="shared" ref="C6:C57" si="0">NORMSDIST(($B6-$B$2)/$B$3)*100</f>
        <v>9.1781224195367343E-5</v>
      </c>
      <c r="H6" s="320">
        <f>IF(Measurement!AQ7&lt;-7,-7,Measurement!AQ7)</f>
        <v>0.10382997312248921</v>
      </c>
      <c r="I6" s="321">
        <f>IF(Measurement!AQ7&lt;&gt;"",NORMSDIST((H6-$B$2)/$B$3)*100,"")</f>
        <v>63.64330557404827</v>
      </c>
    </row>
    <row r="7" spans="1:11">
      <c r="B7" s="171">
        <f t="shared" ref="B7:B70" si="1">B6+0.1</f>
        <v>-9.8000000000000007</v>
      </c>
      <c r="C7" s="171">
        <f t="shared" si="0"/>
        <v>1.1818368021892541E-4</v>
      </c>
      <c r="D7" s="171"/>
      <c r="H7" s="320">
        <f>IF(Measurement!AQ7&lt;&gt;"",-7,"")</f>
        <v>-7</v>
      </c>
      <c r="I7" s="321">
        <f>IF(Measurement!AQ7&lt;&gt;"",NORMSDIST((H6-$B$2)/$B$3)*100,"")</f>
        <v>63.64330557404827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62.59</v>
      </c>
      <c r="V4" t="s">
        <v>1218</v>
      </c>
    </row>
    <row r="5" spans="1:29">
      <c r="B5" s="171">
        <v>0</v>
      </c>
      <c r="C5" s="171">
        <f>NORMSDIST(($B5-$B$2)/$B$3)*100</f>
        <v>1.2153167836658598</v>
      </c>
      <c r="H5">
        <f>info!W36</f>
        <v>62.587980000000002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62.587980000000002</v>
      </c>
      <c r="I6" s="171">
        <f>NORMSDIST((H6-$B$2)/$B$3)*100</f>
        <v>71.46517842546605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71.46517842546605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1.0745199999999999</v>
      </c>
    </row>
    <row r="3" spans="1:11" ht="18">
      <c r="A3" s="71" t="s">
        <v>1065</v>
      </c>
      <c r="B3" s="557">
        <v>0.71290976993199895</v>
      </c>
      <c r="C3" s="523"/>
      <c r="H3" s="561" t="s">
        <v>2223</v>
      </c>
      <c r="I3" s="562">
        <f>IF(I2=0,0,NORMSDIST((I2-$B$2)/$B$3)*100)</f>
        <v>12.345191499855709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1.07</v>
      </c>
    </row>
    <row r="6" spans="1:11">
      <c r="B6" s="23">
        <v>0</v>
      </c>
      <c r="C6" s="23">
        <f>NORMSDIST(($B6-$B$2)/$B$3)*100</f>
        <v>0.38478836223957635</v>
      </c>
      <c r="H6" s="205">
        <f>IF(info!V36&gt;I1,I1,info!V36)</f>
        <v>1.0745199999999999</v>
      </c>
      <c r="I6" s="560">
        <v>0</v>
      </c>
    </row>
    <row r="7" spans="1:11">
      <c r="B7" s="23">
        <f>B5+0.05</f>
        <v>0</v>
      </c>
      <c r="C7" s="23">
        <f t="shared" ref="C7:E58" si="0">NORMSDIST(($B7-$B$2)/$B$3)*100</f>
        <v>0.38478836223957635</v>
      </c>
      <c r="H7" s="205">
        <f>IF(info!V36&gt;I1,I1,info!V36)</f>
        <v>1.0745199999999999</v>
      </c>
      <c r="I7" s="560">
        <f>NORMSDIST((H7-$B$2)/$B$3)*100</f>
        <v>12.345191499855709</v>
      </c>
    </row>
    <row r="8" spans="1:11">
      <c r="B8" s="23">
        <f t="shared" ref="B8:B71" si="1">B7+0.05</f>
        <v>0.05</v>
      </c>
      <c r="C8" s="23">
        <f t="shared" si="0"/>
        <v>0.47295624138584591</v>
      </c>
      <c r="D8" s="171"/>
      <c r="H8" s="205">
        <v>0</v>
      </c>
      <c r="I8" s="560">
        <f>NORMSDIST((H7-$B$2)/$B$3)*100</f>
        <v>12.345191499855709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감정변이도1.07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1.0745199999999999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1.0745199999999999</v>
      </c>
      <c r="I6" s="171">
        <f>NORMSDIST((H6-$B$2)/$B$3)*100</f>
        <v>3.5576682434285689E-2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3.5576682434285689E-2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45819.772581018522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nFQ6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3</v>
      </c>
      <c r="N12" s="234">
        <f>IF(O12=1,Measurement!CH8,"")</f>
        <v>7</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45819.772581018522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2025-06-11T09:32:46Z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