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msSm^1^1^\"/>
    </mc:Choice>
  </mc:AlternateContent>
  <xr:revisionPtr revIDLastSave="0" documentId="13_ncr:1_{F10D7A20-AD90-4015-8A24-89729219F56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Q8" i="33"/>
  <c r="H7" i="33"/>
  <c r="V2" i="14"/>
  <c r="L8" i="49" s="1"/>
  <c r="U2" i="14"/>
  <c r="R8" i="49" s="1"/>
  <c r="T2" i="14"/>
  <c r="L7" i="49" s="1"/>
  <c r="R2" i="14"/>
  <c r="O2" i="14"/>
  <c r="H8" i="30" s="1"/>
  <c r="L8" i="37" l="1"/>
  <c r="L8" i="41"/>
  <c r="L8" i="45"/>
  <c r="L7" i="33"/>
  <c r="H8" i="36"/>
  <c r="Q8" i="37"/>
  <c r="L7" i="39"/>
  <c r="H8" i="40"/>
  <c r="Q8" i="41"/>
  <c r="L7" i="43"/>
  <c r="H8" i="44"/>
  <c r="Q8" i="45"/>
  <c r="L8" i="40"/>
  <c r="L8" i="44"/>
  <c r="L7" i="30"/>
  <c r="H8" i="33"/>
  <c r="Q8" i="36"/>
  <c r="L7" i="38"/>
  <c r="H8" i="39"/>
  <c r="Q8" i="40"/>
  <c r="L7" i="42"/>
  <c r="H8" i="43"/>
  <c r="Q8" i="44"/>
  <c r="L7" i="46"/>
  <c r="L8" i="36"/>
  <c r="L8" i="33"/>
  <c r="L8" i="39"/>
  <c r="L8" i="43"/>
  <c r="Q2" i="14"/>
  <c r="H8" i="49"/>
  <c r="L7" i="41"/>
  <c r="H8" i="42"/>
  <c r="Q8" i="43"/>
  <c r="L7" i="45"/>
  <c r="H8" i="46"/>
  <c r="L7" i="37"/>
  <c r="H8" i="38"/>
  <c r="Q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CA7" i="1"/>
  <c r="CB7" i="1"/>
  <c r="BW6" i="1" s="1"/>
  <c r="CD7" i="1"/>
  <c r="CD6" i="1" s="1"/>
  <c r="BY7" i="1"/>
  <c r="CC7" i="1"/>
  <c r="AS7" i="1"/>
  <c r="A71" i="32"/>
  <c r="A67" i="32"/>
  <c r="B53" i="24"/>
  <c r="D53" i="24" s="1"/>
  <c r="H4" i="21"/>
  <c r="H6" i="21"/>
  <c r="I6" i="21" s="1"/>
  <c r="H5" i="21"/>
  <c r="A9" i="17"/>
  <c r="C8" i="17"/>
  <c r="B8" i="17" s="1"/>
  <c r="V21" i="11"/>
  <c r="V52" i="11"/>
  <c r="X52" i="11" s="1"/>
  <c r="B46" i="25"/>
  <c r="G46" i="25" s="1"/>
  <c r="BZ6" i="1"/>
  <c r="H7" i="21"/>
  <c r="I5" i="21"/>
  <c r="B27" i="21"/>
  <c r="C26" i="21"/>
  <c r="B83" i="23"/>
  <c r="E82" i="23"/>
  <c r="C28" i="23"/>
  <c r="H20" i="18"/>
  <c r="F15" i="13"/>
  <c r="L14" i="13"/>
  <c r="M17" i="1"/>
  <c r="A50" i="6"/>
  <c r="A54" i="6"/>
  <c r="K24" i="1"/>
  <c r="I24" i="1"/>
  <c r="F9" i="11"/>
  <c r="A10" i="11"/>
  <c r="B9" i="11"/>
  <c r="E9" i="11" s="1"/>
  <c r="CB6" i="1" l="1"/>
  <c r="CC6" i="1"/>
  <c r="CA6" i="1"/>
  <c r="CE6" i="1"/>
  <c r="BY6" i="1"/>
  <c r="CG7" i="1" s="1"/>
  <c r="BX6" i="1"/>
  <c r="CG4" i="1" s="1"/>
  <c r="CG8" i="1" s="1"/>
  <c r="M12" i="49" s="1"/>
  <c r="BV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B84" i="23"/>
  <c r="E83" i="23"/>
  <c r="B28" i="21"/>
  <c r="C27" i="21"/>
  <c r="C29" i="23"/>
  <c r="S20" i="18"/>
  <c r="C27" i="18"/>
  <c r="F16" i="13"/>
  <c r="L15" i="13"/>
  <c r="M18" i="1"/>
  <c r="A55" i="6"/>
  <c r="A51" i="6"/>
  <c r="F10" i="11"/>
  <c r="A11" i="11"/>
  <c r="B10" i="11"/>
  <c r="E10" i="11" s="1"/>
  <c r="CH7" i="1" l="1"/>
  <c r="CK7" i="1" s="1"/>
  <c r="CH4" i="1"/>
  <c r="CH8" i="1" s="1"/>
  <c r="N12" i="49" s="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4" i="1" l="1"/>
  <c r="Y11" i="1"/>
  <c r="Y10" i="1"/>
  <c r="Y12" i="1"/>
  <c r="Y8" i="1"/>
  <c r="C213" i="17"/>
  <c r="B213" i="17" s="1"/>
  <c r="Y9" i="1" s="1"/>
  <c r="A214" i="17"/>
  <c r="F211" i="11"/>
  <c r="A212" i="11"/>
  <c r="B211" i="11"/>
  <c r="E211" i="11" s="1"/>
  <c r="L33" i="48" l="1"/>
  <c r="L33" i="18"/>
  <c r="L37" i="48"/>
  <c r="L37" i="18"/>
  <c r="L35" i="48"/>
  <c r="L35" i="18"/>
  <c r="L36" i="48"/>
  <c r="L36" i="18"/>
  <c r="L34" i="48"/>
  <c r="L34" i="18"/>
  <c r="L39" i="48"/>
  <c r="L39" i="18"/>
  <c r="C214" i="17"/>
  <c r="B214" i="17" s="1"/>
  <c r="A215" i="17"/>
  <c r="F212" i="11"/>
  <c r="A213" i="11"/>
  <c r="B212" i="11"/>
  <c r="E212" i="11" s="1"/>
  <c r="Y7" i="1" l="1"/>
  <c r="Y13" i="1"/>
  <c r="C215" i="17"/>
  <c r="B215" i="17" s="1"/>
  <c r="A216" i="17"/>
  <c r="F213" i="11"/>
  <c r="B213" i="11"/>
  <c r="E213" i="11" s="1"/>
  <c r="A214" i="11"/>
  <c r="L38" i="48" l="1"/>
  <c r="L38" i="18"/>
  <c r="L32" i="48"/>
  <c r="L32" i="18"/>
  <c r="C216" i="17"/>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K17" i="1" l="1"/>
  <c r="CJ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K18" i="1" l="1"/>
  <c r="CJ18" i="1"/>
  <c r="G13" i="48" s="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AV15" i="11" s="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<sst xmlns="http://schemas.openxmlformats.org/spreadsheetml/2006/main" count="7312" uniqueCount="2586">
  <si>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</si>
  <si>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</si>
  <si>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</si>
  <si>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</si>
  <si>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</si>
  <si>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</si>
  <si>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</si>
  <si>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</si>
  <si>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</si>
  <si>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</si>
  <si>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</si>
  <si>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</si>
  <si>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</si>
  <si>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</si>
  <si>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</si>
  <si>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</si>
  <si>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</si>
  <si>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</si>
  <si>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</si>
  <si>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</si>
  <si>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</si>
  <si>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</si>
  <si>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</si>
  <si>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</si>
  <si>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</si>
  <si>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</si>
  <si>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</si>
  <si>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</si>
  <si>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</si>
  <si>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</si>
  <si>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</si>
  <si>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</si>
  <si>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</si>
  <si>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</si>
  <si>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</si>
  <si>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</si>
  <si>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</si>
  <si>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</si>
  <si>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</si>
  <si>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</si>
  <si>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</si>
  <si>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</si>
  <si>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</si>
  <si>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</si>
  <si>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</si>
  <si>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</si>
  <si>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</si>
  <si>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</si>
  <si>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</si>
  <si>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</si>
  <si>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</si>
  <si>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</si>
  <si>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</si>
  <si>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</si>
  <si>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</si>
  <si>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</si>
  <si>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</si>
  <si>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</si>
  <si>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</si>
  <si>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</si>
  <si>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</si>
  <si>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</si>
  <si>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</si>
  <si>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</si>
  <si>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</si>
  <si>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</si>
  <si>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</si>
  <si>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</si>
  <si>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</si>
  <si>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</si>
  <si>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</si>
  <si>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</si>
  <si>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</si>
  <si>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</si>
  <si>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</si>
  <si>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</si>
  <si>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</si>
  <si>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</si>
  <si>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</si>
  <si>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</si>
  <si>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</si>
  <si>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</si>
  <si>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</si>
  <si>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</si>
  <si>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</si>
  <si>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</si>
  <si>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</si>
  <si>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</si>
  <si>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</si>
  <si>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</si>
  <si>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</si>
  <si>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</si>
  <si>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</si>
  <si>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</si>
  <si>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</si>
  <si>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</si>
  <si>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</si>
  <si>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</si>
  <si>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</si>
  <si>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</si>
  <si>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</si>
  <si>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</si>
  <si>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</si>
  <si>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</si>
  <si>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</si>
  <si>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</si>
  <si>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</si>
  <si>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</si>
  <si>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</si>
  <si>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</si>
  <si>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</si>
  <si>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</si>
  <si>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</si>
  <si>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</si>
  <si>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</si>
  <si>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</si>
  <si>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</si>
  <si>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</si>
  <si>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</si>
  <si>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</si>
  <si>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</si>
  <si>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</si>
  <si>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</si>
  <si>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</si>
  <si>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</si>
  <si>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</si>
  <si>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</si>
  <si>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</si>
  <si>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</si>
  <si>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</si>
  <si>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</si>
  <si>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</si>
  <si>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</si>
  <si>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</si>
  <si>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</si>
  <si>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</si>
  <si>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</si>
  <si>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</si>
  <si>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</si>
  <si>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</si>
  <si>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</si>
  <si>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</si>
  <si>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</si>
  <si>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</si>
  <si>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</si>
  <si>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</si>
  <si>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</si>
  <si>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</si>
  <si>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</si>
  <si>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</si>
  <si>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</si>
  <si>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</si>
  <si>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</si>
  <si>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</si>
  <si>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</si>
  <si>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</si>
  <si>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</si>
  <si>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</si>
  <si>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</si>
  <si>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</si>
  <si>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</si>
  <si>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</si>
  <si>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</si>
  <si>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</si>
  <si>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</si>
  <si>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</si>
  <si>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</si>
  <si>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</si>
  <si>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</si>
  <si>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</si>
  <si>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</si>
  <si>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</si>
  <si>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</si>
  <si>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</si>
  <si>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</si>
  <si>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</si>
  <si>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</si>
  <si>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</si>
  <si>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</si>
  <si>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</si>
  <si>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</si>
  <si>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</si>
  <si>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</si>
  <si>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</si>
  <si>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</si>
  <si>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</si>
  <si>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</si>
  <si>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</si>
  <si>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</si>
  <si>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</si>
  <si>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</si>
  <si>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</si>
  <si>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</si>
  <si>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</si>
  <si>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</si>
  <si>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</si>
  <si>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</si>
  <si>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</si>
  <si>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</si>
  <si>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</si>
  <si>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</si>
  <si>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</si>
  <si>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</si>
  <si>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</si>
  <si>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</si>
  <si>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</si>
  <si>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</si>
  <si>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</si>
  <si>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</si>
  <si>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</si>
  <si>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</si>
  <si>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</si>
  <si>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</si>
  <si>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</si>
  <si>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</si>
  <si>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</si>
  <si>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</si>
  <si>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</si>
  <si>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</si>
  <si>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</si>
  <si>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</si>
  <si>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</si>
  <si>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</si>
  <si>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</si>
  <si>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</si>
  <si>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</si>
  <si>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</si>
  <si>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</si>
  <si>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</si>
  <si>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</si>
  <si>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</si>
  <si>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</si>
  <si>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</si>
  <si>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</si>
  <si>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</si>
  <si>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</si>
  <si>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</si>
  <si>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</si>
  <si>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</si>
  <si>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</si>
  <si>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</si>
  <si>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</si>
  <si>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</si>
  <si>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</si>
  <si>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</si>
  <si>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</si>
  <si>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</si>
  <si>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</si>
  <si>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</si>
  <si>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</si>
  <si>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</si>
  <si>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</si>
  <si>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</si>
  <si>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</si>
  <si>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</si>
  <si>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</si>
  <si>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</si>
  <si>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</si>
  <si>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</si>
  <si>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</si>
  <si>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</si>
  <si>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</si>
  <si>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</si>
  <si>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</si>
  <si>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</si>
  <si>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</si>
  <si>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</si>
  <si>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</si>
  <si>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</si>
  <si>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</si>
  <si>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</si>
  <si>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</si>
  <si>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</si>
  <si>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</si>
  <si>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</si>
  <si>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</si>
  <si>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</si>
  <si>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</si>
  <si>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</si>
  <si>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</si>
  <si>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</si>
  <si>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</si>
  <si>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</si>
  <si>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</si>
  <si>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</si>
  <si>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</si>
  <si>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</si>
  <si>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</si>
  <si>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</si>
  <si>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</si>
  <si>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</si>
  <si>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</si>
  <si>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</si>
  <si>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</si>
  <si>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</si>
  <si>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</si>
  <si>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</si>
  <si>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</si>
  <si>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</si>
  <si>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</si>
  <si>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</si>
  <si>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</si>
  <si>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</si>
  <si>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</si>
  <si>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</si>
  <si>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</si>
  <si>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</si>
  <si>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</si>
  <si>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</si>
  <si>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</si>
  <si>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</si>
  <si>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</si>
  <si>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</si>
  <si>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</si>
  <si>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</si>
  <si>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</si>
  <si>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</si>
  <si>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</si>
  <si>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</si>
  <si>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</si>
  <si>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</si>
  <si>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</si>
  <si>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</si>
  <si>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</si>
  <si>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</si>
  <si>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</si>
  <si>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</si>
  <si>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</si>
  <si>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</si>
  <si>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</si>
  <si>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</si>
  <si>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</si>
  <si>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</si>
  <si>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</si>
  <si>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</si>
  <si>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</si>
  <si>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</si>
  <si>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</si>
  <si>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</si>
  <si>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</si>
  <si>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</si>
  <si>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</si>
  <si>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</si>
  <si>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</si>
  <si>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</si>
  <si>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</si>
  <si>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</si>
  <si>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</si>
  <si>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</si>
  <si>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</si>
  <si>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</si>
  <si>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</si>
  <si>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</si>
  <si>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</si>
  <si>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</si>
  <si>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</si>
  <si>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</si>
  <si>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</si>
  <si>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</si>
  <si>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</si>
  <si>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</si>
  <si>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</si>
  <si>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</si>
  <si>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</si>
  <si>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</si>
  <si>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</si>
  <si>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</si>
  <si>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</si>
  <si>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</si>
  <si>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</si>
  <si>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</si>
  <si>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</si>
  <si>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</si>
  <si>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</si>
  <si>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</si>
  <si>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</si>
  <si>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</si>
  <si>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</si>
  <si>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</si>
  <si>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</si>
  <si>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</si>
  <si>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</si>
  <si>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</si>
  <si>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</si>
  <si>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</si>
  <si>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</si>
  <si>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</si>
  <si>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</si>
  <si>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</si>
  <si>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</si>
  <si>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</si>
  <si>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</si>
  <si>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</si>
  <si>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</si>
  <si>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</si>
  <si>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</si>
  <si>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</si>
  <si>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</si>
  <si>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</si>
  <si>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</si>
  <si>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</si>
  <si>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</si>
  <si>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</si>
  <si>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</si>
  <si>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</si>
  <si>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</si>
  <si>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</si>
  <si>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</si>
  <si>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</si>
  <si>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</si>
  <si>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</si>
  <si>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</si>
  <si>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</si>
  <si>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</si>
  <si>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</si>
  <si>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</si>
  <si>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</si>
  <si>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</si>
  <si>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</si>
  <si>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</si>
  <si>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</si>
  <si>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</si>
  <si>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</si>
  <si>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</si>
  <si>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</si>
  <si>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</si>
  <si>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</si>
  <si>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</si>
  <si>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</si>
  <si>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</si>
  <si>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</si>
  <si>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</si>
  <si>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</si>
  <si>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</si>
  <si>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</si>
  <si>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</si>
  <si>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</si>
  <si>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</si>
  <si>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</si>
  <si>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</si>
  <si>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</si>
  <si>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</si>
  <si>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</si>
  <si>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</si>
  <si>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</si>
  <si>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</si>
  <si>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</si>
  <si>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</si>
  <si>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</si>
  <si>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</si>
  <si>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</si>
  <si>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</si>
  <si>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</si>
  <si>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</si>
  <si>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</si>
  <si>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</si>
  <si>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</si>
  <si>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</si>
  <si>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</si>
  <si>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</si>
  <si>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</si>
  <si>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</si>
  <si>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</si>
  <si>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</si>
  <si>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</si>
  <si>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</si>
  <si>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</si>
  <si>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</si>
  <si>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</si>
  <si>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</si>
  <si>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</si>
  <si>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</si>
  <si>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</si>
  <si>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</si>
  <si>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</si>
  <si>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</si>
  <si>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</si>
  <si>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</si>
  <si>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</si>
  <si>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</si>
  <si>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</si>
  <si>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</si>
  <si>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</si>
  <si>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</si>
  <si>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</si>
  <si>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</si>
  <si>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</si>
  <si>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</si>
  <si>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</si>
  <si>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</si>
  <si>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</si>
  <si>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</si>
  <si>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</si>
  <si>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</si>
  <si>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</si>
  <si>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</si>
  <si>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</si>
  <si>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</si>
  <si>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</si>
  <si>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</si>
  <si>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</si>
  <si>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</si>
  <si>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</si>
  <si>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</si>
  <si>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</si>
  <si>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</si>
  <si>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</si>
  <si>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</si>
  <si>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</si>
  <si>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</si>
  <si>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</si>
  <si>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</si>
  <si>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</si>
  <si>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</si>
  <si>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</si>
  <si>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</si>
  <si>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</si>
  <si>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</si>
  <si>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</si>
  <si>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</si>
  <si>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</si>
  <si>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</si>
  <si>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</si>
  <si>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</si>
  <si>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</si>
  <si>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</si>
  <si>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</si>
  <si>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</si>
  <si>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</si>
  <si>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</si>
  <si>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</si>
  <si>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</si>
  <si>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</si>
  <si>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</si>
  <si>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</si>
  <si>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</si>
  <si>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</si>
  <si>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</si>
  <si>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</si>
  <si>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</si>
  <si>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</si>
  <si>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</si>
  <si>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</si>
  <si>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</si>
  <si>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</si>
  <si>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</si>
  <si>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</si>
  <si>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</si>
  <si>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</si>
  <si>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</si>
  <si>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</si>
  <si>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</si>
  <si>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</si>
  <si>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</si>
  <si>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</si>
  <si>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</si>
  <si>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</si>
  <si>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</si>
  <si>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</si>
  <si>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</si>
  <si>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</si>
  <si>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</si>
  <si>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</si>
  <si>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</si>
  <si>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</si>
  <si>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</si>
  <si>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</si>
  <si>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</si>
  <si>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</si>
  <si>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</si>
  <si>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</si>
  <si>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</si>
  <si>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</si>
  <si>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</si>
  <si>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</si>
  <si>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</si>
  <si>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</si>
  <si>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</si>
  <si>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</si>
  <si>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</si>
  <si>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</si>
  <si>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</si>
  <si>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</si>
  <si>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</si>
  <si>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</si>
  <si>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</si>
  <si>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</si>
  <si>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</si>
  <si>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</si>
  <si>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</si>
  <si>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</si>
  <si>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</si>
  <si>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</si>
  <si>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</si>
  <si>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</si>
  <si>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</si>
  <si>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</si>
  <si>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</si>
  <si>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</si>
  <si>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</si>
  <si>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</si>
  <si>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</si>
  <si>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</si>
  <si>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</si>
  <si>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</si>
  <si>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</si>
  <si>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</si>
  <si>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</si>
  <si>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</si>
  <si>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</si>
  <si>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</si>
  <si>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</si>
  <si>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</si>
  <si>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</si>
  <si>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</si>
  <si>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</si>
  <si>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</si>
  <si>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</si>
  <si>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</si>
  <si>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</si>
  <si>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</si>
  <si>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</si>
  <si>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</si>
  <si>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</si>
  <si>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</si>
  <si>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</si>
  <si>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</si>
  <si>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</si>
  <si>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</si>
  <si>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</si>
  <si>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</si>
  <si>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</si>
  <si>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</si>
  <si>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</si>
  <si>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</si>
  <si>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</si>
  <si>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</si>
  <si>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</si>
  <si>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</si>
  <si>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</si>
  <si>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</si>
  <si>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</si>
  <si>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</si>
  <si>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</si>
  <si>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</si>
  <si>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</si>
  <si>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</si>
  <si>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</si>
  <si>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</si>
  <si>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</si>
  <si>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</si>
  <si>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</si>
  <si>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</si>
  <si>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</si>
  <si>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</si>
  <si>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</si>
  <si>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</si>
  <si>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</si>
  <si>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</si>
  <si>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</si>
  <si>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</si>
  <si>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</si>
  <si>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</si>
  <si>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</si>
  <si>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</si>
  <si>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</si>
  <si>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</si>
  <si>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</si>
  <si>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</si>
  <si>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</si>
  <si>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</si>
  <si>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</si>
  <si>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</si>
  <si>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</si>
  <si>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</si>
  <si>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</si>
  <si>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</si>
  <si>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</si>
  <si>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</si>
  <si>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</si>
  <si>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</si>
  <si>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</si>
  <si>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</si>
  <si>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</si>
  <si>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</si>
  <si>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</si>
  <si>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</si>
  <si>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</si>
  <si>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</si>
  <si>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</si>
  <si>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</si>
  <si>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</si>
  <si>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</si>
  <si>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</si>
  <si>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</si>
  <si>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</si>
  <si>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</si>
  <si>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</si>
  <si>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</si>
  <si>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</si>
  <si>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</si>
  <si>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</si>
  <si>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</si>
  <si>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</si>
  <si>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</si>
  <si>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</si>
  <si>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</si>
  <si>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</si>
  <si>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</si>
  <si>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</si>
  <si>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</si>
  <si>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</si>
  <si>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</si>
  <si>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</si>
  <si>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</si>
  <si>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</si>
  <si>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</si>
  <si>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</si>
  <si>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</si>
  <si>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</si>
  <si>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</si>
  <si>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</si>
  <si>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</si>
  <si>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</si>
  <si>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</si>
  <si>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</si>
  <si>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</si>
  <si>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</si>
  <si>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</si>
  <si>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</si>
  <si>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</si>
  <si>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</si>
  <si>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</si>
  <si>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</si>
  <si>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</si>
  <si>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</si>
  <si>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</si>
  <si>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</si>
  <si>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</si>
  <si>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</si>
  <si>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</si>
  <si>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</si>
  <si>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</si>
  <si>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</si>
  <si>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</si>
  <si>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</si>
  <si>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</si>
  <si>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</si>
  <si>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</si>
  <si>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</si>
  <si>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</si>
  <si>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</si>
  <si>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</si>
  <si>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</si>
  <si>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</si>
  <si>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</si>
  <si>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</si>
  <si>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</si>
  <si>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</si>
  <si>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</si>
  <si>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</si>
  <si>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</si>
  <si>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</si>
  <si>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</si>
  <si>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</si>
  <si>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</si>
  <si>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</si>
  <si>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</si>
  <si>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</si>
  <si>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</si>
  <si>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</si>
  <si>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</si>
  <si>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</si>
  <si>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</si>
  <si>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</si>
  <si>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</si>
  <si>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</si>
  <si>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</si>
  <si>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</si>
  <si>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</si>
  <si>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</si>
  <si>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</si>
  <si>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</si>
  <si>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</si>
  <si>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</si>
  <si>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</si>
  <si>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</si>
  <si>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</si>
  <si>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</si>
  <si>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</si>
  <si>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</si>
  <si>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</si>
  <si>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</si>
  <si>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</si>
  <si>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</si>
  <si>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</si>
  <si>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</si>
  <si>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</si>
  <si>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</si>
  <si>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</si>
  <si>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</si>
  <si>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</si>
  <si>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</si>
  <si>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</si>
  <si>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</si>
  <si>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</si>
  <si>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</si>
  <si>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</si>
  <si>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</si>
  <si>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</si>
  <si>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</si>
  <si>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</si>
  <si>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</si>
  <si>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</si>
  <si>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</si>
  <si>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</si>
  <si>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</si>
  <si>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</si>
  <si>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</si>
  <si>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</si>
  <si>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</si>
  <si>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</si>
  <si>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</si>
  <si>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</si>
  <si>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</si>
  <si>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</si>
  <si>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</si>
  <si>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</si>
  <si>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</si>
  <si>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</si>
  <si>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</si>
  <si>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</si>
  <si>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</si>
  <si>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</si>
  <si>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</si>
  <si>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</si>
  <si>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</si>
  <si>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</si>
  <si>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</si>
  <si>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</si>
  <si>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</si>
  <si>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</si>
  <si>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</si>
  <si>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</si>
  <si>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</si>
  <si>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</si>
  <si>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</si>
  <si>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</si>
  <si>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</si>
  <si>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</si>
  <si>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</si>
  <si>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</si>
  <si>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</si>
  <si>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</si>
  <si>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</si>
  <si>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</si>
  <si>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</si>
  <si>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</si>
  <si>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</si>
  <si>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</si>
  <si>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</si>
  <si>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</si>
  <si>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</si>
  <si>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</si>
  <si>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</si>
  <si>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</si>
  <si>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</si>
  <si>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</si>
  <si>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</si>
  <si>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</si>
  <si>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</si>
  <si>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</si>
  <si>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</si>
  <si>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</si>
  <si>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</si>
  <si>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</si>
  <si>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</si>
  <si>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</si>
  <si>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</si>
  <si>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</si>
  <si>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</si>
  <si>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</si>
  <si>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</si>
  <si>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</si>
  <si>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</si>
  <si>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</si>
  <si>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</si>
  <si>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</si>
  <si>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</si>
  <si>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</si>
  <si>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</si>
  <si>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</si>
  <si>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</si>
  <si>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</si>
  <si>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</si>
  <si>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</si>
  <si>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</si>
  <si>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</si>
  <si>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</si>
  <si>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</si>
  <si>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</si>
  <si>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</si>
  <si>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</si>
  <si>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</si>
  <si>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</si>
  <si>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</si>
  <si>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</si>
  <si>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</si>
  <si>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</si>
  <si>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</si>
  <si>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</si>
  <si>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</si>
  <si>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</si>
  <si>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</si>
  <si>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</si>
  <si>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</si>
  <si>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</si>
  <si>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</si>
  <si>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</si>
  <si>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</si>
  <si>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</si>
  <si>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</si>
  <si>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</si>
  <si>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</si>
  <si>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</si>
  <si>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</si>
  <si>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</si>
  <si>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</si>
  <si>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</si>
  <si>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</si>
  <si>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</si>
  <si>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</si>
  <si>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</si>
  <si>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</si>
  <si>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</si>
  <si>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</si>
  <si>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</si>
  <si>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</si>
  <si>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</si>
  <si>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</si>
  <si>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</si>
  <si>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</si>
  <si>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</si>
  <si>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</si>
  <si>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</si>
  <si>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</si>
  <si>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</si>
  <si>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</si>
  <si>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</si>
  <si>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</si>
  <si>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</si>
  <si>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</si>
  <si>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</si>
  <si>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</si>
  <si>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</si>
  <si>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</si>
  <si>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</si>
  <si>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</si>
  <si>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</si>
  <si>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</si>
  <si>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</si>
  <si>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</si>
  <si>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</si>
  <si>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</si>
  <si>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</si>
  <si>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</si>
  <si>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</si>
  <si>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</si>
  <si>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</si>
  <si>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</si>
  <si>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</si>
  <si>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</si>
  <si>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</si>
  <si>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</si>
  <si>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</si>
  <si>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</si>
  <si>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</si>
  <si>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</si>
  <si>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</si>
  <si>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</si>
  <si>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</si>
  <si>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</si>
  <si>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</si>
  <si>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</si>
  <si>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</si>
  <si>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</si>
  <si>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</si>
  <si>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</si>
  <si>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</si>
  <si>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</si>
  <si>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</si>
  <si>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</si>
  <si>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</si>
  <si>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</si>
  <si>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</si>
  <si>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</si>
  <si>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</si>
  <si>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</si>
  <si>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</si>
  <si>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</si>
  <si>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</si>
  <si>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</si>
  <si>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</si>
  <si>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</si>
  <si>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</si>
  <si>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</si>
  <si>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</si>
  <si>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</si>
  <si>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</si>
  <si>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</si>
  <si>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</si>
  <si>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</si>
  <si>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</si>
  <si>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</si>
  <si>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</si>
  <si>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</si>
  <si>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</si>
  <si>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</si>
  <si>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</si>
  <si>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</si>
  <si>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</si>
  <si>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</si>
  <si>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</si>
  <si>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</si>
  <si>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</si>
  <si>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</si>
  <si>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</si>
  <si>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</si>
  <si>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</si>
  <si>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</si>
  <si>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</si>
  <si>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</si>
  <si>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</si>
  <si>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</si>
  <si>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</si>
  <si>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</si>
  <si>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</si>
  <si>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</si>
  <si>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</si>
  <si>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</si>
  <si>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</si>
  <si>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</si>
  <si>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</si>
  <si>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</si>
  <si>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</si>
  <si>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</si>
  <si>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</si>
  <si>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</si>
  <si>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</si>
  <si>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</si>
  <si>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</si>
  <si>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</si>
  <si>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</si>
  <si>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</si>
  <si>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</si>
  <si>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</si>
  <si>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</si>
  <si>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</si>
  <si>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</si>
  <si>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</si>
  <si>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</si>
  <si>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</si>
  <si>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</si>
  <si>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</si>
  <si>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</si>
  <si>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</si>
  <si>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</si>
  <si>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</si>
  <si>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</si>
  <si>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</si>
  <si>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</si>
  <si>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</si>
  <si>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</si>
  <si>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</si>
  <si>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</si>
  <si>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</si>
  <si>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</si>
  <si>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</si>
  <si>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</si>
  <si>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</si>
  <si>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</si>
  <si>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</si>
  <si>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</si>
  <si>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</si>
  <si>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</si>
  <si>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</si>
  <si>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</si>
  <si>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</si>
  <si>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</si>
  <si>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</si>
  <si>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</si>
  <si>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</si>
  <si>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</si>
  <si>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</si>
  <si>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</si>
  <si>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</si>
  <si>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</si>
  <si>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</si>
  <si>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</si>
  <si>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</si>
  <si>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</si>
  <si>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</si>
  <si>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</si>
  <si>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</si>
  <si>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</si>
  <si>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</si>
  <si>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</si>
  <si>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</si>
  <si>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</si>
  <si>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</si>
  <si>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</si>
  <si>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</si>
  <si>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</si>
  <si>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</si>
  <si>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</si>
  <si>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</si>
  <si>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</si>
  <si>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</si>
  <si>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</si>
  <si>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</si>
  <si>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</si>
  <si>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</si>
  <si>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</si>
  <si>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</si>
  <si>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</si>
  <si>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</si>
  <si>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</si>
  <si>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</si>
  <si>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</si>
  <si>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</si>
  <si>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</si>
  <si>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</si>
  <si>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</si>
  <si>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</si>
  <si>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</si>
  <si>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</si>
  <si>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</si>
  <si>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</si>
  <si>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</si>
  <si>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</si>
  <si>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</si>
  <si>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</si>
  <si>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</si>
  <si>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</si>
  <si>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</si>
  <si>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</si>
  <si>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</si>
  <si>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</si>
  <si>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</si>
  <si>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</si>
  <si>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</si>
  <si>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</si>
  <si>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</si>
  <si>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</si>
  <si>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</si>
  <si>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</si>
  <si>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</si>
  <si>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</si>
  <si>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</si>
  <si>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</si>
  <si>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</si>
  <si>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</si>
  <si>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</si>
  <si>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</si>
  <si>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</si>
  <si>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</si>
  <si>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</si>
  <si>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</si>
  <si>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</si>
  <si>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</si>
  <si>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</si>
  <si>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</si>
  <si>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</si>
  <si>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</si>
  <si>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</si>
  <si>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</si>
  <si>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</si>
  <si>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</si>
  <si>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</si>
  <si>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</si>
  <si>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</si>
  <si>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</si>
  <si>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</si>
  <si>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</si>
  <si>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</si>
  <si>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</si>
  <si>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</si>
  <si>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</si>
  <si>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</si>
  <si>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</si>
  <si>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</si>
  <si>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</si>
  <si>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</si>
  <si>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</si>
  <si>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</si>
  <si>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</si>
  <si>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</si>
  <si>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</si>
  <si>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</si>
  <si>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</si>
  <si>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</si>
  <si>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</si>
  <si>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</si>
  <si>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</si>
  <si>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</si>
  <si>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</si>
  <si>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</si>
  <si>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</si>
  <si>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</si>
  <si>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</si>
  <si>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</si>
  <si>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</si>
  <si>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</si>
  <si>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</si>
  <si>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</si>
  <si>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</si>
  <si>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</si>
  <si>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</si>
  <si>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</si>
  <si>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</si>
  <si>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</si>
  <si>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</si>
  <si>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</si>
  <si>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</si>
  <si>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</si>
  <si>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</si>
  <si>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</si>
  <si>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</si>
  <si>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</si>
  <si>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</si>
  <si>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</si>
  <si>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</si>
  <si>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</si>
  <si>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</si>
  <si>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</si>
  <si>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</si>
  <si>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</si>
  <si>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</si>
  <si>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</si>
  <si>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</si>
  <si>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</si>
  <si>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</si>
  <si>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</si>
  <si>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</si>
  <si>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</si>
  <si>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</si>
  <si>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</si>
  <si>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</si>
  <si>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</si>
  <si>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</si>
  <si>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</si>
  <si>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</si>
  <si>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</si>
  <si>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</si>
  <si>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</si>
  <si>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</si>
  <si>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</si>
  <si>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</si>
  <si>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</si>
  <si>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</si>
  <si>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</si>
  <si>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</si>
  <si>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</si>
  <si>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</si>
  <si>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</si>
  <si>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</si>
  <si>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</si>
  <si>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</si>
  <si>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</si>
  <si>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</si>
  <si>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</si>
  <si>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</si>
  <si>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</si>
  <si>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</si>
  <si>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</si>
  <si>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</si>
  <si>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</si>
  <si>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</si>
  <si>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</si>
  <si>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</si>
  <si>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</si>
  <si>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</si>
  <si>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</si>
  <si>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</si>
  <si>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</si>
  <si>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</si>
  <si>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</si>
  <si>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</si>
  <si>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</si>
  <si>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</si>
  <si>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</si>
  <si>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</si>
  <si>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</si>
  <si>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</si>
  <si>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</si>
  <si>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</si>
  <si>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</si>
  <si>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</si>
  <si>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</si>
  <si>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</si>
  <si>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</si>
  <si>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</si>
  <si>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</si>
  <si>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</si>
  <si>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</si>
  <si>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</si>
  <si>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</si>
  <si>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</si>
  <si>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</si>
  <si>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</si>
  <si>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</si>
  <si>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</si>
  <si>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</si>
  <si>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</si>
  <si>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</si>
  <si>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</si>
  <si>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</si>
  <si>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</si>
  <si>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</si>
  <si>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</si>
  <si>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</si>
  <si>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</si>
  <si>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</si>
  <si>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</si>
  <si>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</si>
  <si>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</si>
  <si>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</si>
  <si>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</si>
  <si>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</si>
  <si>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</si>
  <si>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</si>
  <si>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</si>
  <si>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</si>
  <si>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</si>
  <si>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</si>
  <si>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</si>
  <si>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</si>
  <si>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</si>
  <si>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</si>
  <si>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</si>
  <si>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</si>
  <si>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</si>
  <si>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</si>
  <si>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</si>
  <si>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</si>
  <si>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</si>
  <si>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</si>
  <si>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</si>
  <si>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</si>
  <si>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</si>
  <si>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</si>
  <si>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</si>
  <si>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</si>
  <si>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</si>
  <si>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</si>
  <si>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</si>
  <si>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</si>
  <si>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</si>
  <si>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</si>
  <si>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</si>
  <si>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</si>
  <si>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</si>
  <si>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</si>
  <si>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</si>
  <si>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</si>
  <si>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</si>
  <si>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</si>
  <si>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</si>
  <si>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</si>
  <si>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</si>
  <si>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</si>
  <si>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</si>
  <si>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</si>
  <si>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</si>
  <si>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</si>
  <si>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</si>
  <si>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</si>
  <si>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</si>
  <si>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</si>
  <si>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</si>
  <si>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</si>
  <si>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</si>
  <si>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</si>
  <si>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</si>
  <si>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</si>
  <si>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</si>
  <si>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</si>
  <si>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</si>
  <si>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</si>
  <si>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</si>
  <si>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</si>
  <si>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</si>
  <si>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</si>
  <si>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</si>
  <si>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</si>
  <si>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</si>
  <si>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</si>
  <si>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</si>
  <si>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</si>
  <si>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</si>
  <si>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</si>
  <si>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</si>
  <si>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</si>
  <si>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</si>
  <si>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</si>
  <si>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</si>
  <si>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</si>
  <si>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</si>
  <si>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</si>
  <si>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</si>
  <si>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</si>
  <si>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</si>
  <si>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</si>
  <si>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</si>
  <si>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</si>
  <si>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</si>
  <si>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</si>
  <si>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</si>
  <si>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</si>
  <si>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</si>
  <si>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</si>
  <si>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</si>
  <si>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</si>
  <si>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</si>
  <si>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</si>
  <si>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</si>
  <si>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</si>
  <si>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</si>
  <si>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</si>
  <si>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</si>
  <si>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</si>
  <si>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</si>
  <si>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</si>
  <si>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</si>
  <si>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</si>
  <si>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</si>
  <si>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</si>
  <si>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</si>
  <si>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</si>
  <si>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</si>
  <si>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</si>
  <si>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</si>
  <si>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</si>
  <si>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</si>
  <si>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</si>
  <si>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</si>
  <si>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</si>
  <si>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</si>
  <si>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</si>
  <si>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</si>
  <si>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</si>
  <si>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</si>
  <si>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</si>
  <si>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</si>
  <si>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</si>
  <si>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</si>
  <si>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</si>
  <si>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</si>
  <si>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</si>
  <si>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</si>
  <si>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</si>
  <si>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</si>
  <si>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</si>
  <si>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</si>
  <si>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</si>
  <si>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</si>
  <si>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</si>
  <si>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</si>
  <si>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</si>
  <si>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</si>
  <si>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</si>
  <si>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</si>
  <si>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</si>
  <si>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</si>
  <si>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</si>
  <si>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</si>
  <si>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</si>
  <si>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</si>
  <si>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</si>
  <si>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</si>
  <si>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</si>
  <si>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</si>
  <si>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</si>
  <si>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</si>
  <si>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</si>
  <si>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</si>
  <si>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</si>
  <si>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</si>
  <si>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</si>
  <si>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</si>
  <si>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</si>
  <si>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</si>
  <si>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</si>
  <si>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</si>
  <si>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</si>
  <si>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</si>
  <si>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</si>
  <si>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</si>
  <si>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</si>
  <si>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</si>
  <si>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</si>
  <si>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</si>
  <si>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</si>
  <si>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</si>
  <si>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</si>
  <si>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</si>
  <si>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</si>
  <si>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</si>
  <si>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</si>
  <si>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</si>
  <si>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</si>
  <si>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</si>
  <si>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</si>
  <si>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</si>
  <si>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</si>
  <si>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</si>
  <si>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</si>
  <si>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</si>
  <si>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</si>
  <si>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</si>
  <si>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</si>
  <si>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</si>
  <si>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</si>
  <si>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</si>
  <si>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</si>
  <si>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</si>
  <si>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</si>
  <si>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</si>
  <si>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</si>
  <si>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</si>
  <si>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</si>
  <si>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</si>
  <si>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</si>
  <si>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</si>
  <si>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</si>
  <si>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</si>
  <si>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</si>
  <si>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</si>
  <si>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</si>
  <si>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</si>
  <si>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</si>
  <si>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</si>
  <si>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</si>
  <si>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</si>
  <si>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</si>
  <si>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</si>
  <si>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</si>
  <si>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</si>
  <si>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</si>
  <si>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</si>
  <si>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</si>
  <si>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</si>
  <si>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</si>
  <si>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</si>
  <si>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</si>
  <si>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</si>
  <si>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</si>
  <si>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</si>
  <si>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</si>
  <si>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</si>
  <si>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</si>
  <si>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</si>
  <si>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</si>
  <si>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</si>
  <si>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</si>
  <si>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</si>
  <si>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</si>
  <si>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</si>
  <si>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</si>
  <si>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</si>
  <si>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</si>
  <si>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</si>
  <si>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</si>
  <si>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</si>
  <si>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</si>
  <si>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</si>
  <si>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</si>
  <si>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</si>
  <si>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</si>
  <si>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</si>
  <si>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</si>
  <si>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</si>
  <si>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</si>
  <si>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</si>
  <si>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</si>
  <si>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</si>
  <si>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</si>
  <si>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</si>
  <si>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</si>
  <si>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</si>
  <si>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</si>
  <si>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</si>
  <si>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</si>
  <si>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</si>
  <si>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</si>
  <si>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</si>
  <si>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</si>
  <si>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</si>
  <si>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</si>
  <si>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</si>
  <si>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</si>
  <si>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</si>
  <si>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</si>
  <si>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</si>
  <si>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</si>
  <si>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</si>
  <si>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</si>
  <si>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</si>
  <si>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</si>
  <si>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</si>
  <si>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</si>
  <si>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</si>
  <si>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</si>
  <si>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</si>
  <si>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</si>
  <si>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</si>
  <si>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</si>
  <si>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</si>
  <si>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</si>
  <si>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</si>
  <si>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</si>
  <si>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</si>
  <si>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</si>
  <si>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</si>
  <si>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</si>
  <si>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</si>
  <si>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</si>
  <si>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</si>
  <si>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</si>
  <si>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</si>
  <si>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</si>
  <si>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</si>
  <si>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</si>
  <si>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</si>
  <si>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</si>
  <si>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</si>
  <si>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</si>
  <si>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</si>
  <si>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</si>
  <si>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</si>
  <si>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</si>
  <si>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</si>
  <si>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</si>
  <si>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</si>
  <si>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</si>
  <si>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</si>
  <si>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</si>
  <si>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</si>
  <si>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</si>
  <si>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</si>
  <si>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</si>
  <si>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</si>
  <si>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</si>
  <si>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</si>
  <si>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</si>
  <si>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</si>
  <si>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</si>
  <si>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</si>
  <si>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</si>
  <si>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</si>
  <si>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</si>
  <si>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</si>
  <si>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</si>
  <si>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</si>
  <si>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</si>
  <si>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</si>
  <si>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</si>
  <si>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</si>
  <si>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</si>
  <si>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</si>
  <si>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</si>
  <si>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</si>
  <si>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</si>
  <si>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</si>
  <si>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</si>
  <si>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</si>
  <si>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</si>
  <si>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</si>
  <si>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</si>
  <si>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</si>
  <si>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</si>
  <si>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</si>
  <si>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</si>
  <si>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</si>
  <si>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</si>
  <si>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</si>
  <si>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</si>
  <si>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</si>
  <si>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</si>
  <si>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</si>
  <si>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</si>
  <si>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</si>
  <si>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</si>
  <si>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</si>
  <si>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</si>
  <si>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</si>
  <si>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</si>
  <si>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</si>
  <si>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</si>
  <si>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</si>
  <si>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</si>
  <si>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</si>
  <si>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</si>
  <si>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</si>
  <si>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</si>
  <si>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</si>
  <si>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</si>
  <si>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</si>
  <si>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</si>
  <si>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</si>
  <si>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</si>
  <si>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</si>
  <si>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</si>
  <si>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</si>
  <si>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</si>
  <si>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</si>
  <si>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</si>
  <si>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</si>
  <si>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</si>
  <si>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</si>
  <si>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</si>
  <si>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</si>
  <si>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</si>
  <si>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</si>
  <si>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</si>
  <si>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</si>
  <si>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</si>
  <si>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</si>
  <si>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</si>
  <si>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</si>
  <si>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</si>
  <si>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</si>
  <si>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</si>
  <si>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</si>
  <si>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</si>
  <si>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</si>
  <si>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</si>
  <si>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</si>
  <si>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</si>
  <si>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</si>
  <si>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</si>
  <si>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</si>
  <si>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</si>
  <si>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</si>
  <si>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</si>
  <si>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</si>
  <si>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</si>
  <si>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</si>
  <si>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</si>
  <si>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</si>
  <si>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</si>
  <si>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</si>
  <si>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</si>
  <si>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</si>
  <si>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</si>
  <si>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</si>
  <si>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</si>
  <si>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</si>
  <si>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</si>
  <si>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</si>
  <si>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</si>
  <si>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</si>
  <si>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</si>
  <si>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</si>
  <si>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</si>
  <si>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</si>
  <si>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</si>
  <si>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</si>
  <si>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</si>
  <si>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</si>
  <si>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</si>
  <si>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</si>
  <si>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</si>
  <si>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</si>
  <si>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</si>
  <si>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</si>
  <si>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</si>
  <si>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</si>
  <si>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</si>
  <si>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</si>
  <si>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</si>
  <si>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</si>
  <si>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</si>
  <si>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</si>
  <si>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</si>
  <si>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</si>
  <si>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</si>
  <si>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</si>
  <si>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</si>
  <si>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</si>
  <si>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</si>
  <si>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</si>
  <si>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</si>
  <si>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</si>
  <si>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</si>
  <si>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</si>
  <si>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</si>
  <si>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</si>
  <si>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</si>
  <si>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</si>
  <si>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</si>
  <si>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</si>
  <si>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</si>
  <si>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</si>
  <si>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</si>
  <si>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</si>
  <si>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</si>
  <si>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</si>
  <si>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</si>
  <si>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</si>
  <si>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</si>
  <si>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</si>
  <si>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</si>
  <si>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</si>
  <si>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</si>
  <si>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</si>
  <si>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</si>
  <si>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</si>
  <si>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</si>
  <si>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</si>
  <si>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</si>
  <si>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</si>
  <si>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</si>
  <si>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</si>
  <si>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</si>
  <si>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</si>
  <si>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</si>
  <si>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</si>
  <si>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</si>
  <si>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</si>
  <si>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</si>
  <si>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</si>
  <si>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</si>
  <si>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</si>
  <si>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</si>
  <si>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</si>
  <si>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</si>
  <si>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</si>
  <si>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</si>
  <si>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</si>
  <si>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</si>
  <si>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</si>
  <si>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</si>
  <si>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</si>
  <si>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</si>
  <si>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</si>
  <si>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</si>
  <si>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</si>
  <si>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</si>
  <si>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</si>
  <si>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</si>
  <si>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</si>
  <si>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</si>
  <si>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</si>
  <si>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</si>
  <si>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</si>
  <si>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</si>
  <si>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</si>
  <si>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</si>
  <si>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</si>
  <si>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</si>
  <si>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</si>
  <si>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</si>
  <si>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</si>
  <si>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</si>
  <si>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</si>
  <si>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</si>
  <si>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</si>
  <si>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</si>
  <si>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</si>
  <si>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</si>
  <si>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</si>
  <si>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</si>
  <si>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</si>
  <si>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</si>
  <si>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</si>
  <si>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</si>
  <si>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</si>
  <si>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</si>
  <si>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</si>
  <si>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</si>
  <si>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</si>
  <si>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</si>
  <si>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</si>
  <si>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</si>
  <si>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</si>
  <si>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</si>
  <si>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</si>
  <si>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</si>
  <si>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</si>
  <si>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</si>
  <si>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</si>
  <si>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</si>
  <si>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</si>
  <si>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</si>
  <si>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</si>
  <si>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</si>
  <si>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</si>
  <si>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</si>
  <si>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</si>
  <si>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</si>
  <si>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</si>
  <si>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</si>
  <si>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</si>
  <si>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</si>
  <si>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</si>
  <si>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</si>
  <si>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</si>
  <si>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</si>
  <si>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</si>
  <si>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</si>
  <si>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</si>
  <si>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</si>
  <si>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</si>
  <si>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</si>
  <si>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</si>
  <si>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</si>
  <si>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</si>
  <si>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</si>
  <si>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</si>
  <si>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</si>
  <si>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</si>
  <si>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</si>
  <si>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</si>
  <si>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</si>
  <si>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</si>
  <si>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</si>
  <si>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</si>
  <si>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</si>
  <si>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</si>
  <si>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</si>
  <si>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</si>
  <si>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</si>
  <si>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</si>
  <si>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</si>
  <si>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</si>
  <si>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</si>
  <si>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</si>
  <si>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</si>
  <si>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</si>
  <si>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</si>
  <si>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</si>
  <si>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</si>
  <si>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</si>
  <si>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</si>
  <si>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</si>
  <si>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</si>
  <si>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</si>
  <si>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</si>
  <si>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</si>
  <si>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</si>
  <si>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</si>
  <si>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</si>
  <si>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</si>
  <si>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</si>
  <si>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</si>
  <si>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</si>
  <si>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</si>
  <si>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</si>
  <si>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</si>
  <si>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</si>
  <si>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</si>
  <si>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</si>
  <si>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</si>
  <si>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</si>
  <si>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</si>
  <si>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</si>
  <si>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</si>
  <si>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</si>
  <si>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</si>
  <si>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</si>
  <si>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</si>
  <si>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</si>
  <si>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</si>
  <si>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</si>
  <si>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</si>
  <si>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</si>
  <si>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</si>
  <si>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</si>
  <si>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</si>
  <si>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</si>
  <si>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</si>
  <si>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</si>
  <si>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</si>
  <si>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</si>
  <si>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</si>
  <si>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</si>
  <si>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</si>
  <si>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</si>
  <si>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</si>
  <si>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</si>
  <si>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</si>
  <si>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</si>
  <si>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</si>
  <si>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</si>
  <si>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</si>
  <si>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</si>
  <si>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</si>
  <si>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</si>
  <si>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</si>
  <si>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</si>
  <si>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</si>
  <si>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</si>
  <si>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</si>
  <si>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</si>
  <si>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</si>
  <si>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</si>
  <si>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</si>
  <si>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</si>
  <si>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</si>
  <si>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</si>
  <si>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</si>
  <si>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</si>
  <si>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</si>
  <si>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</si>
  <si>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</si>
  <si>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</si>
  <si>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</si>
  <si>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</si>
  <si>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</si>
  <si>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</si>
  <si>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</si>
  <si>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</si>
  <si>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</si>
  <si>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</si>
  <si>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</si>
  <si>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</si>
  <si>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</si>
  <si>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</si>
  <si>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</si>
  <si>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</si>
  <si>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</si>
  <si>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</si>
  <si>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</si>
  <si>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</si>
  <si>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</si>
  <si>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</si>
  <si>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</si>
  <si>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</si>
  <si>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</si>
  <si>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</si>
  <si>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</si>
  <si>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</si>
  <si>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</si>
  <si>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</si>
  <si>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</si>
  <si>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</si>
  <si>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</si>
  <si>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</si>
  <si>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</si>
  <si>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</si>
  <si>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</si>
  <si>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</si>
  <si>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</si>
  <si>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</si>
  <si>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</si>
  <si>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</si>
  <si>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</si>
  <si>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</si>
  <si>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</si>
  <si>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</si>
  <si>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</si>
  <si>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</si>
  <si>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</si>
  <si>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</si>
  <si>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</si>
  <si>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</si>
  <si>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</si>
  <si>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</si>
  <si>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</si>
  <si>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</si>
  <si>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</si>
  <si>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</si>
  <si>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</si>
  <si>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</si>
  <si>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</si>
  <si>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</si>
  <si>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</si>
  <si>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</si>
  <si>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</si>
  <si>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</si>
  <si>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</si>
  <si>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</si>
  <si>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</si>
  <si>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</si>
  <si>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</si>
  <si>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</si>
  <si>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</si>
  <si>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</si>
  <si>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</si>
  <si>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</si>
  <si>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</si>
  <si>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</si>
  <si>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</si>
  <si>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</si>
  <si>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</si>
  <si>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</si>
  <si>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</si>
  <si>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</si>
  <si>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</si>
  <si>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</si>
  <si>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</si>
  <si>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</si>
  <si>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</si>
  <si>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</si>
  <si>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</si>
  <si>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</si>
  <si>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</si>
  <si>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</si>
  <si>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</si>
  <si>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</si>
  <si>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</si>
  <si>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</si>
  <si>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</si>
  <si>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</si>
  <si>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</si>
  <si>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</si>
  <si>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</si>
  <si>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</si>
  <si>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</si>
  <si>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</si>
  <si>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</si>
  <si>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</si>
  <si>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</si>
  <si>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</si>
  <si>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</si>
  <si>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</si>
  <si>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</si>
  <si>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</si>
  <si>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</si>
  <si>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</si>
  <si>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</si>
  <si>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</si>
  <si>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</si>
  <si>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</si>
  <si>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</si>
  <si>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</si>
  <si>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</si>
  <si>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</si>
  <si>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</si>
  <si>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</si>
  <si>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</si>
  <si>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</si>
  <si>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</si>
  <si>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</si>
  <si>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</si>
  <si>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</si>
  <si>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</si>
  <si>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</si>
  <si>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</si>
  <si>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</si>
  <si>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</si>
  <si>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</si>
  <si>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</si>
  <si>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</si>
  <si>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</si>
  <si>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</si>
  <si>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</si>
  <si>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</si>
  <si>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</si>
  <si>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</si>
  <si>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</si>
  <si>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</si>
  <si>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</si>
  <si>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</si>
  <si>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</si>
  <si>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</si>
  <si>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</si>
  <si>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</si>
  <si>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</si>
  <si>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</si>
  <si>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</si>
  <si>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</si>
  <si>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</si>
  <si>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</si>
  <si>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</si>
  <si>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</si>
  <si>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</si>
  <si>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</si>
  <si>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</si>
  <si>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</si>
  <si>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</si>
  <si>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</si>
  <si>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</si>
  <si>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</si>
  <si>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</si>
  <si>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</si>
  <si>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</si>
  <si>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</si>
  <si>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</si>
  <si>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</si>
  <si>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</si>
  <si>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</si>
  <si>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</si>
  <si>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</si>
  <si>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</si>
  <si>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</si>
  <si>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</si>
  <si>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</si>
  <si>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</si>
  <si>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</si>
  <si>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</si>
  <si>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</si>
  <si>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</si>
  <si>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</si>
  <si>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</si>
  <si>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</si>
  <si>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</si>
  <si>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</si>
  <si>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</si>
  <si>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</si>
  <si>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</si>
  <si>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</si>
  <si>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</si>
  <si>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</si>
  <si>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</si>
  <si>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</si>
  <si>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</si>
  <si>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</si>
  <si>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</si>
  <si>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</si>
  <si>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</si>
  <si>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</si>
  <si>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</si>
  <si>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</si>
  <si>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</si>
  <si>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</si>
  <si>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</si>
  <si>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</si>
  <si>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</si>
  <si>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</si>
  <si>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</si>
  <si>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</si>
  <si>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</si>
  <si>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</si>
  <si>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</si>
  <si>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</si>
  <si>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</si>
  <si>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</si>
  <si>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</si>
  <si>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</si>
  <si>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</si>
  <si>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</si>
  <si>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</si>
  <si>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</si>
  <si>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</si>
  <si>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</si>
  <si>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</si>
  <si>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</si>
  <si>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</si>
  <si>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</si>
  <si>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</si>
  <si>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</si>
  <si>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</si>
  <si>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</si>
  <si>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</si>
  <si>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</si>
  <si>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</si>
  <si>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</si>
  <si>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</si>
  <si>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</si>
  <si>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</si>
  <si>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</si>
  <si>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</si>
  <si>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</si>
  <si>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</si>
  <si>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</si>
  <si>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</si>
  <si>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</si>
  <si>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</si>
  <si>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</si>
  <si>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</si>
  <si>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</si>
  <si>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</si>
  <si>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</si>
  <si>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</si>
  <si>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</si>
  <si>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</si>
  <si>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</si>
  <si>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</si>
  <si>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</si>
  <si>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</si>
  <si>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</si>
  <si>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</si>
  <si>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</si>
  <si>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</si>
  <si>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</si>
  <si>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</si>
  <si>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</si>
  <si>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</si>
  <si>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</si>
  <si>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</si>
  <si>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</si>
  <si>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</si>
  <si>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</si>
  <si>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</si>
  <si>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</si>
  <si>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</si>
  <si>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</si>
  <si>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</si>
  <si>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</si>
  <si>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</si>
  <si>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</si>
  <si>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</si>
  <si>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</si>
  <si>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</si>
  <si>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</si>
  <si>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</si>
  <si>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</si>
  <si>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</si>
  <si>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</si>
  <si>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</si>
  <si>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</si>
  <si>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</si>
  <si>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</si>
  <si>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</si>
  <si>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</si>
  <si>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</si>
  <si>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</si>
  <si>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</si>
  <si>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</si>
  <si>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</si>
  <si>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</si>
  <si>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</si>
  <si>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</si>
  <si>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</si>
  <si>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</si>
  <si>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</si>
  <si>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</si>
  <si>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</si>
  <si>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</si>
  <si>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</si>
  <si>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</si>
  <si>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</si>
  <si>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</si>
  <si>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</si>
  <si>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</si>
  <si>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</si>
  <si>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</si>
  <si>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</si>
  <si>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</si>
  <si>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</si>
  <si>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</si>
  <si>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</si>
  <si>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</si>
  <si>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</si>
  <si>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</si>
  <si>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</si>
  <si>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</si>
  <si>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</si>
  <si>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</si>
  <si>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</si>
  <si>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</si>
  <si>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</si>
  <si>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</si>
  <si>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</si>
  <si>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</si>
  <si>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</si>
  <si>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</si>
  <si>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</si>
  <si>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</si>
  <si>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</si>
  <si>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</si>
  <si>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</si>
  <si>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</si>
  <si>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</si>
  <si>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</si>
  <si>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</si>
  <si>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</si>
  <si>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</si>
  <si>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</si>
  <si>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</si>
  <si>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</si>
  <si>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</si>
  <si>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</si>
  <si>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</si>
  <si>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</si>
  <si>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</si>
  <si>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</si>
  <si>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</si>
  <si>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</si>
  <si>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</si>
  <si>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</si>
  <si>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</si>
  <si>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</si>
  <si>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</si>
  <si>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</si>
  <si>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</si>
  <si>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</si>
  <si>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</si>
  <si>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</si>
  <si>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</si>
  <si>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</si>
  <si>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</si>
  <si>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</si>
  <si>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</si>
  <si>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</si>
  <si>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</si>
  <si>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</si>
  <si>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</si>
  <si>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</si>
  <si>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</si>
  <si>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</si>
  <si>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</si>
  <si>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</si>
  <si>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</si>
  <si>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</si>
  <si>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</si>
  <si>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</si>
  <si>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</si>
  <si>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</si>
  <si>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</si>
  <si>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</si>
  <si>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</si>
  <si>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</si>
  <si>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</si>
  <si>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</si>
  <si>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</si>
  <si>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</si>
  <si>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</si>
  <si>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</si>
  <si>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</si>
  <si>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</si>
  <si>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</si>
  <si>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</si>
  <si>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</si>
  <si>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</si>
  <si>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</si>
  <si>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</si>
  <si>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</si>
  <si>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</si>
  <si>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</si>
  <si>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</si>
  <si>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</si>
  <si>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</si>
  <si>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</si>
  <si>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</si>
  <si>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</si>
  <si>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</si>
  <si>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</si>
  <si>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</si>
  <si>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</si>
  <si>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</si>
  <si>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</si>
  <si>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</si>
  <si>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</si>
  <si>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</si>
  <si>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</si>
  <si>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</si>
  <si>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</si>
  <si>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</si>
  <si>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</si>
  <si>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</si>
  <si>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</si>
  <si>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</si>
  <si>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</si>
  <si>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</si>
  <si>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</si>
  <si>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</si>
  <si>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</si>
  <si>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</si>
  <si>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</si>
  <si>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</si>
  <si>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</si>
  <si>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</si>
  <si>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</si>
  <si>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</si>
  <si>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</si>
  <si>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</si>
  <si>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</si>
  <si>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</si>
  <si>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</si>
  <si>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</si>
  <si>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</si>
  <si>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</si>
  <si>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</si>
  <si>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</si>
  <si>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</si>
  <si>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</si>
  <si>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</si>
  <si>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</si>
  <si>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</si>
  <si>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</si>
  <si>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</si>
  <si>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</si>
  <si>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</si>
  <si>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</si>
  <si>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</si>
  <si>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</si>
  <si>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</si>
  <si>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</si>
  <si>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</si>
  <si>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</si>
  <si>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</si>
  <si>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</si>
  <si>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</si>
  <si>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</si>
  <si>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</si>
  <si>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</si>
  <si>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</si>
  <si>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</si>
  <si>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</si>
  <si>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</si>
  <si>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</si>
  <si>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</si>
  <si>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</si>
  <si>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</si>
  <si>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</si>
  <si>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</si>
  <si>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</si>
  <si>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</si>
  <si>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</si>
  <si>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</si>
  <si>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</si>
  <si>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</si>
  <si>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</si>
  <si>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</si>
  <si>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</si>
  <si>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</si>
  <si>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</si>
  <si>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</si>
  <si>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</si>
  <si>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</si>
  <si>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</si>
  <si>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</si>
  <si>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</si>
  <si>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</si>
  <si>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</si>
  <si>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</si>
  <si>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</si>
  <si>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</si>
  <si>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</si>
  <si>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</si>
  <si>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</si>
  <si>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</si>
  <si>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</si>
  <si>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</si>
  <si>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</si>
  <si>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</si>
  <si>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</si>
  <si>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</si>
  <si>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</si>
  <si>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</si>
  <si>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</si>
  <si>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</si>
  <si>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</si>
  <si>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</si>
  <si>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</si>
  <si>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</si>
  <si>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</si>
  <si>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</si>
  <si>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</si>
  <si>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</si>
  <si>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</si>
  <si>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</si>
  <si>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</si>
  <si>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</si>
  <si>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</si>
  <si>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</si>
  <si>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</si>
  <si>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[0.377814]</t>
  </si>
  <si>
    <t>0 [0.778682]</t>
  </si>
  <si>
    <t>0 [1.193251]</t>
  </si>
  <si>
    <t>0 [1.598830]</t>
  </si>
  <si>
    <t>0 [2.005168]</t>
  </si>
  <si>
    <t>0 [2.416921]</t>
  </si>
  <si>
    <t>0 [2.818248]</t>
  </si>
  <si>
    <t>0 [3.215142]</t>
  </si>
  <si>
    <t>0 [3.632697]</t>
  </si>
  <si>
    <t>0 [4.028095]</t>
  </si>
  <si>
    <t>0 [4.436262]</t>
  </si>
  <si>
    <t>0 [4.841223]</t>
  </si>
  <si>
    <t>0 [5.248293]</t>
  </si>
  <si>
    <t>0 [5.656508]</t>
  </si>
  <si>
    <t>0 [6.062980]</t>
  </si>
  <si>
    <t>0 [6.468600]</t>
  </si>
  <si>
    <t>0 [6.871852]</t>
  </si>
  <si>
    <t>0 [7.278312]</t>
  </si>
  <si>
    <t>0 [7.689034]</t>
  </si>
  <si>
    <t>0 [8.110878]</t>
  </si>
  <si>
    <t>0 [8.496947]</t>
  </si>
  <si>
    <t>0 [8.919288]</t>
  </si>
  <si>
    <t>0 [9.315434]</t>
  </si>
  <si>
    <t>0 [9.727063]</t>
  </si>
  <si>
    <t>0 [10.140898]</t>
  </si>
  <si>
    <t>vision^msSm^1^1^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</si>
</sst>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32.322700000000005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6.1330099999999996</c:v>
                </c:pt>
                <c:pt idx="1">
                  <c:v>6.1559699999999999</c:v>
                </c:pt>
                <c:pt idx="2">
                  <c:v>6.1712100000000003</c:v>
                </c:pt>
                <c:pt idx="3">
                  <c:v>6.1809000000000003</c:v>
                </c:pt>
                <c:pt idx="4">
                  <c:v>6.1911000000000005</c:v>
                </c:pt>
                <c:pt idx="5">
                  <c:v>6.1974099999999996</c:v>
                </c:pt>
                <c:pt idx="6">
                  <c:v>6.1928000000000001</c:v>
                </c:pt>
                <c:pt idx="7">
                  <c:v>6.1865000000000006</c:v>
                </c:pt>
                <c:pt idx="8">
                  <c:v>6.1749799999999997</c:v>
                </c:pt>
                <c:pt idx="9">
                  <c:v>6.1690800000000001</c:v>
                </c:pt>
                <c:pt idx="10">
                  <c:v>6.1732399999999998</c:v>
                </c:pt>
                <c:pt idx="11">
                  <c:v>6.1775800000000007</c:v>
                </c:pt>
                <c:pt idx="12">
                  <c:v>6.1792899999999999</c:v>
                </c:pt>
                <c:pt idx="13">
                  <c:v>6.1898499999999999</c:v>
                </c:pt>
                <c:pt idx="14">
                  <c:v>6.2082700000000006</c:v>
                </c:pt>
                <c:pt idx="15">
                  <c:v>6.2215799999999994</c:v>
                </c:pt>
                <c:pt idx="16">
                  <c:v>6.2409800000000004</c:v>
                </c:pt>
                <c:pt idx="17">
                  <c:v>6.2684300000000004</c:v>
                </c:pt>
                <c:pt idx="18">
                  <c:v>6.27719</c:v>
                </c:pt>
                <c:pt idx="19">
                  <c:v>6.29392</c:v>
                </c:pt>
                <c:pt idx="20">
                  <c:v>6.311020000000001</c:v>
                </c:pt>
                <c:pt idx="21">
                  <c:v>6.3150700000000004</c:v>
                </c:pt>
                <c:pt idx="22">
                  <c:v>6.3187499999999996</c:v>
                </c:pt>
                <c:pt idx="23">
                  <c:v>6.3471299999999999</c:v>
                </c:pt>
                <c:pt idx="24">
                  <c:v>6.3224899999999993</c:v>
                </c:pt>
                <c:pt idx="25">
                  <c:v>6.1747300000000003</c:v>
                </c:pt>
              </c:numCache>
            </c:numRef>
          </c:xVal>
          <c:yVal>
            <c:numRef>
              <c:f>[0]!FT_PH</c:f>
              <c:numCache>
                <c:formatCode>0.00</c:formatCode>
                <c:ptCount val="26"/>
                <c:pt idx="0">
                  <c:v>31.960799999999999</c:v>
                </c:pt>
                <c:pt idx="1">
                  <c:v>31.4421</c:v>
                </c:pt>
                <c:pt idx="2">
                  <c:v>31.0288</c:v>
                </c:pt>
                <c:pt idx="3">
                  <c:v>30.7577</c:v>
                </c:pt>
                <c:pt idx="4">
                  <c:v>30.725300000000001</c:v>
                </c:pt>
                <c:pt idx="5">
                  <c:v>30.654999999999998</c:v>
                </c:pt>
                <c:pt idx="6">
                  <c:v>30.411899999999996</c:v>
                </c:pt>
                <c:pt idx="7">
                  <c:v>30.321300000000001</c:v>
                </c:pt>
                <c:pt idx="8">
                  <c:v>29.808800000000002</c:v>
                </c:pt>
                <c:pt idx="9">
                  <c:v>29.3553</c:v>
                </c:pt>
                <c:pt idx="10">
                  <c:v>28.807700000000004</c:v>
                </c:pt>
                <c:pt idx="11">
                  <c:v>27.957100000000001</c:v>
                </c:pt>
                <c:pt idx="12">
                  <c:v>26.8276</c:v>
                </c:pt>
                <c:pt idx="13">
                  <c:v>25.624000000000002</c:v>
                </c:pt>
                <c:pt idx="14">
                  <c:v>24.795200000000001</c:v>
                </c:pt>
                <c:pt idx="15">
                  <c:v>24.278500000000001</c:v>
                </c:pt>
                <c:pt idx="16">
                  <c:v>24.5642</c:v>
                </c:pt>
                <c:pt idx="17">
                  <c:v>25.629099999999998</c:v>
                </c:pt>
                <c:pt idx="18">
                  <c:v>26.052700000000002</c:v>
                </c:pt>
                <c:pt idx="19">
                  <c:v>26.446100000000001</c:v>
                </c:pt>
                <c:pt idx="20">
                  <c:v>27.870800000000003</c:v>
                </c:pt>
                <c:pt idx="21">
                  <c:v>29.0198</c:v>
                </c:pt>
                <c:pt idx="22">
                  <c:v>30.496400000000001</c:v>
                </c:pt>
                <c:pt idx="23">
                  <c:v>33.577200000000005</c:v>
                </c:pt>
                <c:pt idx="24">
                  <c:v>32.003799999999998</c:v>
                </c:pt>
                <c:pt idx="25">
                  <c:v>24.372399999999999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6.1559699999999999</c:v>
                </c:pt>
                <c:pt idx="1">
                  <c:v>6.3187499999999996</c:v>
                </c:pt>
              </c:numCache>
            </c:numRef>
          </c:xVal>
          <c:yVal>
            <c:numRef>
              <c:f>info!$W$2:$W$3</c:f>
              <c:numCache>
                <c:formatCode>0.00</c:formatCode>
                <c:ptCount val="2"/>
                <c:pt idx="0">
                  <c:v>31.4421</c:v>
                </c:pt>
                <c:pt idx="1">
                  <c:v>30.496400000000001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6.2215799999999994</c:v>
                </c:pt>
                <c:pt idx="1">
                  <c:v>6.3471299999999999</c:v>
                </c:pt>
              </c:numCache>
            </c:numRef>
          </c:xVal>
          <c:yVal>
            <c:numRef>
              <c:f>info!$W$15:$W$16</c:f>
              <c:numCache>
                <c:formatCode>0.00_ </c:formatCode>
                <c:ptCount val="2"/>
                <c:pt idx="0">
                  <c:v>24.278500000000001</c:v>
                </c:pt>
                <c:pt idx="1">
                  <c:v>33.577200000000005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6.2220184615384602</c:v>
                </c:pt>
              </c:numCache>
            </c:numRef>
          </c:xVal>
          <c:yVal>
            <c:numRef>
              <c:f>info!$N$9</c:f>
              <c:numCache>
                <c:formatCode>0.0</c:formatCode>
                <c:ptCount val="1"/>
                <c:pt idx="0">
                  <c:v>28.645753846153848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61.743899999999996</c:v>
                </c:pt>
                <c:pt idx="1">
                  <c:v>25.740600000000001</c:v>
                </c:pt>
                <c:pt idx="2">
                  <c:v>38.976599999999998</c:v>
                </c:pt>
                <c:pt idx="3">
                  <c:v>41.610700000000001</c:v>
                </c:pt>
                <c:pt idx="4">
                  <c:v>62.019599999999997</c:v>
                </c:pt>
                <c:pt idx="5">
                  <c:v>69.826300000000003</c:v>
                </c:pt>
                <c:pt idx="6">
                  <c:v>47.471400000000003</c:v>
                </c:pt>
                <c:pt idx="7">
                  <c:v>65.724900000000005</c:v>
                </c:pt>
                <c:pt idx="8">
                  <c:v>16.074200000000001</c:v>
                </c:pt>
                <c:pt idx="9">
                  <c:v>18.479800000000001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32.32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32.322700000000005</c:v>
                </c:pt>
                <c:pt idx="1">
                  <c:v>32.322700000000005</c:v>
                </c:pt>
                <c:pt idx="2">
                  <c:v>0</c:v>
                </c:pt>
              </c:numCache>
            </c:numRef>
          </c:xVal>
          <c:yVal>
            <c:numRef>
              <c:f>'R2'!$I$5:$I$7</c:f>
              <c:numCache>
                <c:formatCode>0.0_ </c:formatCode>
                <c:ptCount val="3"/>
                <c:pt idx="0">
                  <c:v>0</c:v>
                </c:pt>
                <c:pt idx="1">
                  <c:v>21.293617201531319</c:v>
                </c:pt>
                <c:pt idx="2">
                  <c:v>21.293617201531319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3.03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3.0251899999999998</c:v>
                </c:pt>
                <c:pt idx="1">
                  <c:v>3.0251899999999998</c:v>
                </c:pt>
                <c:pt idx="2">
                  <c:v>0</c:v>
                </c:pt>
              </c:numCache>
            </c:numRef>
          </c:xVal>
          <c:yVal>
            <c:numRef>
              <c:f>'R3'!$I$6:$I$8</c:f>
              <c:numCache>
                <c:formatCode>0.0_ </c:formatCode>
                <c:ptCount val="3"/>
                <c:pt idx="0">
                  <c:v>0</c:v>
                </c:pt>
                <c:pt idx="1">
                  <c:v>94.275237337667463</c:v>
                </c:pt>
                <c:pt idx="2">
                  <c:v>94.275237337667463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0.41555708013504011</c:v>
                </c:pt>
                <c:pt idx="1">
                  <c:v>0.41555708013504011</c:v>
                </c:pt>
                <c:pt idx="2">
                  <c:v>-7</c:v>
                </c:pt>
              </c:numCache>
            </c:numRef>
          </c:xVal>
          <c:yVal>
            <c:numRef>
              <c:f>'R'!$I$5:$I$7</c:f>
              <c:numCache>
                <c:formatCode>0.0_ </c:formatCode>
                <c:ptCount val="3"/>
                <c:pt idx="0">
                  <c:v>0</c:v>
                </c:pt>
                <c:pt idx="1">
                  <c:v>69.443931564603204</c:v>
                </c:pt>
                <c:pt idx="2">
                  <c:v>69.443931564603204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0.41555708013504011</c:v>
                </c:pt>
              </c:numCache>
            </c:numRef>
          </c:xVal>
          <c:yVal>
            <c:numRef>
              <c:f>'R'!$I$4</c:f>
              <c:numCache>
                <c:formatCode>0.00_ </c:formatCode>
                <c:ptCount val="1"/>
                <c:pt idx="0">
                  <c:v>69.443931564603204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32.322700000000005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6.1330099999999996</c:v>
                </c:pt>
                <c:pt idx="1">
                  <c:v>6.1559699999999999</c:v>
                </c:pt>
                <c:pt idx="2">
                  <c:v>6.1712100000000003</c:v>
                </c:pt>
                <c:pt idx="3">
                  <c:v>6.1809000000000003</c:v>
                </c:pt>
                <c:pt idx="4">
                  <c:v>6.1911000000000005</c:v>
                </c:pt>
                <c:pt idx="5">
                  <c:v>6.1974099999999996</c:v>
                </c:pt>
                <c:pt idx="6">
                  <c:v>6.1928000000000001</c:v>
                </c:pt>
                <c:pt idx="7">
                  <c:v>6.1865000000000006</c:v>
                </c:pt>
                <c:pt idx="8">
                  <c:v>6.1749799999999997</c:v>
                </c:pt>
                <c:pt idx="9">
                  <c:v>6.1690800000000001</c:v>
                </c:pt>
                <c:pt idx="10">
                  <c:v>6.1732399999999998</c:v>
                </c:pt>
                <c:pt idx="11">
                  <c:v>6.1775800000000007</c:v>
                </c:pt>
                <c:pt idx="12">
                  <c:v>6.1792899999999999</c:v>
                </c:pt>
                <c:pt idx="13">
                  <c:v>6.1898499999999999</c:v>
                </c:pt>
                <c:pt idx="14">
                  <c:v>6.2082700000000006</c:v>
                </c:pt>
                <c:pt idx="15">
                  <c:v>6.2215799999999994</c:v>
                </c:pt>
                <c:pt idx="16">
                  <c:v>6.2409800000000004</c:v>
                </c:pt>
                <c:pt idx="17">
                  <c:v>6.2684300000000004</c:v>
                </c:pt>
                <c:pt idx="18">
                  <c:v>6.27719</c:v>
                </c:pt>
                <c:pt idx="19">
                  <c:v>6.29392</c:v>
                </c:pt>
                <c:pt idx="20">
                  <c:v>6.311020000000001</c:v>
                </c:pt>
                <c:pt idx="21">
                  <c:v>6.3150700000000004</c:v>
                </c:pt>
                <c:pt idx="22">
                  <c:v>6.3187499999999996</c:v>
                </c:pt>
                <c:pt idx="23">
                  <c:v>6.3471299999999999</c:v>
                </c:pt>
                <c:pt idx="24">
                  <c:v>6.3224899999999993</c:v>
                </c:pt>
                <c:pt idx="25">
                  <c:v>6.1747300000000003</c:v>
                </c:pt>
              </c:numCache>
            </c:numRef>
          </c:xVal>
          <c:yVal>
            <c:numRef>
              <c:f>[0]!FT_PH</c:f>
              <c:numCache>
                <c:formatCode>0.00</c:formatCode>
                <c:ptCount val="26"/>
                <c:pt idx="0">
                  <c:v>31.960799999999999</c:v>
                </c:pt>
                <c:pt idx="1">
                  <c:v>31.4421</c:v>
                </c:pt>
                <c:pt idx="2">
                  <c:v>31.0288</c:v>
                </c:pt>
                <c:pt idx="3">
                  <c:v>30.7577</c:v>
                </c:pt>
                <c:pt idx="4">
                  <c:v>30.725300000000001</c:v>
                </c:pt>
                <c:pt idx="5">
                  <c:v>30.654999999999998</c:v>
                </c:pt>
                <c:pt idx="6">
                  <c:v>30.411899999999996</c:v>
                </c:pt>
                <c:pt idx="7">
                  <c:v>30.321300000000001</c:v>
                </c:pt>
                <c:pt idx="8">
                  <c:v>29.808800000000002</c:v>
                </c:pt>
                <c:pt idx="9">
                  <c:v>29.3553</c:v>
                </c:pt>
                <c:pt idx="10">
                  <c:v>28.807700000000004</c:v>
                </c:pt>
                <c:pt idx="11">
                  <c:v>27.957100000000001</c:v>
                </c:pt>
                <c:pt idx="12">
                  <c:v>26.8276</c:v>
                </c:pt>
                <c:pt idx="13">
                  <c:v>25.624000000000002</c:v>
                </c:pt>
                <c:pt idx="14">
                  <c:v>24.795200000000001</c:v>
                </c:pt>
                <c:pt idx="15">
                  <c:v>24.278500000000001</c:v>
                </c:pt>
                <c:pt idx="16">
                  <c:v>24.5642</c:v>
                </c:pt>
                <c:pt idx="17">
                  <c:v>25.629099999999998</c:v>
                </c:pt>
                <c:pt idx="18">
                  <c:v>26.052700000000002</c:v>
                </c:pt>
                <c:pt idx="19">
                  <c:v>26.446100000000001</c:v>
                </c:pt>
                <c:pt idx="20">
                  <c:v>27.870800000000003</c:v>
                </c:pt>
                <c:pt idx="21">
                  <c:v>29.0198</c:v>
                </c:pt>
                <c:pt idx="22">
                  <c:v>30.496400000000001</c:v>
                </c:pt>
                <c:pt idx="23">
                  <c:v>33.577200000000005</c:v>
                </c:pt>
                <c:pt idx="24">
                  <c:v>32.003799999999998</c:v>
                </c:pt>
                <c:pt idx="25">
                  <c:v>24.372399999999999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6.1559699999999999</c:v>
                </c:pt>
                <c:pt idx="1">
                  <c:v>6.3187499999999996</c:v>
                </c:pt>
              </c:numCache>
            </c:numRef>
          </c:xVal>
          <c:yVal>
            <c:numRef>
              <c:f>info!$W$2:$W$3</c:f>
              <c:numCache>
                <c:formatCode>0.00</c:formatCode>
                <c:ptCount val="2"/>
                <c:pt idx="0">
                  <c:v>31.4421</c:v>
                </c:pt>
                <c:pt idx="1">
                  <c:v>30.496400000000001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6.2215799999999994</c:v>
                </c:pt>
                <c:pt idx="1">
                  <c:v>6.3471299999999999</c:v>
                </c:pt>
              </c:numCache>
            </c:numRef>
          </c:xVal>
          <c:yVal>
            <c:numRef>
              <c:f>info!$W$15:$W$16</c:f>
              <c:numCache>
                <c:formatCode>0.00_ </c:formatCode>
                <c:ptCount val="2"/>
                <c:pt idx="0">
                  <c:v>24.278500000000001</c:v>
                </c:pt>
                <c:pt idx="1">
                  <c:v>33.577200000000005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6.2220184615384602</c:v>
                </c:pt>
              </c:numCache>
            </c:numRef>
          </c:xVal>
          <c:yVal>
            <c:numRef>
              <c:f>info!$N$9</c:f>
              <c:numCache>
                <c:formatCode>0.0</c:formatCode>
                <c:ptCount val="1"/>
                <c:pt idx="0">
                  <c:v>28.645753846153848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61.743899999999996</c:v>
                </c:pt>
                <c:pt idx="1">
                  <c:v>25.740600000000001</c:v>
                </c:pt>
                <c:pt idx="2">
                  <c:v>38.976599999999998</c:v>
                </c:pt>
                <c:pt idx="3">
                  <c:v>41.610700000000001</c:v>
                </c:pt>
                <c:pt idx="4">
                  <c:v>62.019599999999997</c:v>
                </c:pt>
                <c:pt idx="5">
                  <c:v>69.826300000000003</c:v>
                </c:pt>
                <c:pt idx="6">
                  <c:v>47.471400000000003</c:v>
                </c:pt>
                <c:pt idx="7">
                  <c:v>65.724900000000005</c:v>
                </c:pt>
                <c:pt idx="8">
                  <c:v>16.074200000000001</c:v>
                </c:pt>
                <c:pt idx="9">
                  <c:v>18.479800000000001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32.32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32.322700000000005</c:v>
                </c:pt>
                <c:pt idx="1">
                  <c:v>32.322700000000005</c:v>
                </c:pt>
                <c:pt idx="2">
                  <c:v>0</c:v>
                </c:pt>
              </c:numCache>
            </c:numRef>
          </c:xVal>
          <c:yVal>
            <c:numRef>
              <c:f>'R2'!$I$5:$I$7</c:f>
              <c:numCache>
                <c:formatCode>0.0_ </c:formatCode>
                <c:ptCount val="3"/>
                <c:pt idx="0">
                  <c:v>0</c:v>
                </c:pt>
                <c:pt idx="1">
                  <c:v>21.293617201531319</c:v>
                </c:pt>
                <c:pt idx="2">
                  <c:v>21.293617201531319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3.03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3.0251899999999998</c:v>
                </c:pt>
                <c:pt idx="1">
                  <c:v>3.0251899999999998</c:v>
                </c:pt>
                <c:pt idx="2">
                  <c:v>0</c:v>
                </c:pt>
              </c:numCache>
            </c:numRef>
          </c:xVal>
          <c:yVal>
            <c:numRef>
              <c:f>'R3'!$I$6:$I$8</c:f>
              <c:numCache>
                <c:formatCode>0.0_ </c:formatCode>
                <c:ptCount val="3"/>
                <c:pt idx="0">
                  <c:v>0</c:v>
                </c:pt>
                <c:pt idx="1">
                  <c:v>94.275237337667463</c:v>
                </c:pt>
                <c:pt idx="2">
                  <c:v>94.275237337667463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0.41555708013504011</c:v>
                </c:pt>
                <c:pt idx="1">
                  <c:v>0.41555708013504011</c:v>
                </c:pt>
                <c:pt idx="2">
                  <c:v>-7</c:v>
                </c:pt>
              </c:numCache>
            </c:numRef>
          </c:xVal>
          <c:yVal>
            <c:numRef>
              <c:f>'R'!$I$5:$I$7</c:f>
              <c:numCache>
                <c:formatCode>0.0_ </c:formatCode>
                <c:ptCount val="3"/>
                <c:pt idx="0">
                  <c:v>0</c:v>
                </c:pt>
                <c:pt idx="1">
                  <c:v>69.443931564603204</c:v>
                </c:pt>
                <c:pt idx="2">
                  <c:v>69.443931564603204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0.41555708013504011</c:v>
                </c:pt>
              </c:numCache>
            </c:numRef>
          </c:xVal>
          <c:yVal>
            <c:numRef>
              <c:f>'R'!$I$4</c:f>
              <c:numCache>
                <c:formatCode>0.00_ </c:formatCode>
                <c:ptCount val="1"/>
                <c:pt idx="0">
                  <c:v>69.443931564603204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0.37781399999999998</c:v>
                </c:pt>
                <c:pt idx="2">
                  <c:v>0.77868199999999999</c:v>
                </c:pt>
                <c:pt idx="3">
                  <c:v>1.1932499999999999</c:v>
                </c:pt>
                <c:pt idx="4">
                  <c:v>1.59883</c:v>
                </c:pt>
                <c:pt idx="5">
                  <c:v>2.0051700000000001</c:v>
                </c:pt>
                <c:pt idx="6">
                  <c:v>2.4169200000000002</c:v>
                </c:pt>
                <c:pt idx="7">
                  <c:v>2.8182499999999999</c:v>
                </c:pt>
                <c:pt idx="8">
                  <c:v>3.2151399999999999</c:v>
                </c:pt>
                <c:pt idx="9">
                  <c:v>3.6326999999999998</c:v>
                </c:pt>
                <c:pt idx="10">
                  <c:v>4.0281000000000002</c:v>
                </c:pt>
                <c:pt idx="11">
                  <c:v>4.4362599999999999</c:v>
                </c:pt>
                <c:pt idx="12">
                  <c:v>4.8412199999999999</c:v>
                </c:pt>
                <c:pt idx="13">
                  <c:v>5.2482899999999999</c:v>
                </c:pt>
                <c:pt idx="14">
                  <c:v>5.6565099999999999</c:v>
                </c:pt>
                <c:pt idx="15">
                  <c:v>6.0629799999999996</c:v>
                </c:pt>
                <c:pt idx="16">
                  <c:v>6.4686000000000003</c:v>
                </c:pt>
                <c:pt idx="17">
                  <c:v>6.8718500000000002</c:v>
                </c:pt>
                <c:pt idx="18">
                  <c:v>7.2783100000000003</c:v>
                </c:pt>
                <c:pt idx="19">
                  <c:v>7.6890299999999998</c:v>
                </c:pt>
                <c:pt idx="20">
                  <c:v>8.1108799999999999</c:v>
                </c:pt>
                <c:pt idx="21">
                  <c:v>8.49695</c:v>
                </c:pt>
                <c:pt idx="22">
                  <c:v>8.9192900000000002</c:v>
                </c:pt>
                <c:pt idx="23">
                  <c:v>9.3154299999999992</c:v>
                </c:pt>
                <c:pt idx="24">
                  <c:v>9.7270599999999998</c:v>
                </c:pt>
                <c:pt idx="25">
                  <c:v>10.1409</c:v>
                </c:pt>
              </c:numCache>
            </c:numRef>
          </c:xVal>
          <c:yVal>
            <c:numRef>
              <c:f>FT!$J$2:$J$2000</c:f>
              <c:numCache>
                <c:formatCode>General</c:formatCode>
                <c:ptCount val="1999"/>
                <c:pt idx="0">
                  <c:v>6.1330099999999996</c:v>
                </c:pt>
                <c:pt idx="1">
                  <c:v>6.1559699999999999</c:v>
                </c:pt>
                <c:pt idx="2">
                  <c:v>6.1712100000000003</c:v>
                </c:pt>
                <c:pt idx="3">
                  <c:v>6.1809000000000003</c:v>
                </c:pt>
                <c:pt idx="4">
                  <c:v>6.1911000000000005</c:v>
                </c:pt>
                <c:pt idx="5">
                  <c:v>6.1974099999999996</c:v>
                </c:pt>
                <c:pt idx="6">
                  <c:v>6.1928000000000001</c:v>
                </c:pt>
                <c:pt idx="7">
                  <c:v>6.1865000000000006</c:v>
                </c:pt>
                <c:pt idx="8">
                  <c:v>6.1749799999999997</c:v>
                </c:pt>
                <c:pt idx="9">
                  <c:v>6.1690800000000001</c:v>
                </c:pt>
                <c:pt idx="10">
                  <c:v>6.1732399999999998</c:v>
                </c:pt>
                <c:pt idx="11">
                  <c:v>6.1775800000000007</c:v>
                </c:pt>
                <c:pt idx="12">
                  <c:v>6.1792899999999999</c:v>
                </c:pt>
                <c:pt idx="13">
                  <c:v>6.1898499999999999</c:v>
                </c:pt>
                <c:pt idx="14">
                  <c:v>6.2082700000000006</c:v>
                </c:pt>
                <c:pt idx="15">
                  <c:v>6.2215799999999994</c:v>
                </c:pt>
                <c:pt idx="16">
                  <c:v>6.2409800000000004</c:v>
                </c:pt>
                <c:pt idx="17">
                  <c:v>6.2684300000000004</c:v>
                </c:pt>
                <c:pt idx="18">
                  <c:v>6.27719</c:v>
                </c:pt>
                <c:pt idx="19">
                  <c:v>6.29392</c:v>
                </c:pt>
                <c:pt idx="20">
                  <c:v>6.311020000000001</c:v>
                </c:pt>
                <c:pt idx="21">
                  <c:v>6.3150700000000004</c:v>
                </c:pt>
                <c:pt idx="22">
                  <c:v>6.3187499999999996</c:v>
                </c:pt>
                <c:pt idx="23">
                  <c:v>6.3471299999999999</c:v>
                </c:pt>
                <c:pt idx="24">
                  <c:v>6.3224899999999993</c:v>
                </c:pt>
                <c:pt idx="25">
                  <c:v>6.1747300000000003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6.1330099999999996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6.1330099999999996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6.1330099999999996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6.1330099999999996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6.1330099999999996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6.1330099999999996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6.1330099999999996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6.1330099999999996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6.1330099999999996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6.1330099999999996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6.1330099999999996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6.1330099999999996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6.1330099999999996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6.1330099999999996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6.1330099999999996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6.1330099999999996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6.1330099999999996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6.1330099999999996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6.1330099999999996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6.1330099999999996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6.1330099999999996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6.1330099999999996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6.1330099999999996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6.1330099999999996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0.37781399999999998</c:v>
                </c:pt>
                <c:pt idx="2">
                  <c:v>0.77868199999999999</c:v>
                </c:pt>
                <c:pt idx="3">
                  <c:v>1.1932499999999999</c:v>
                </c:pt>
                <c:pt idx="4">
                  <c:v>1.59883</c:v>
                </c:pt>
                <c:pt idx="5">
                  <c:v>2.0051700000000001</c:v>
                </c:pt>
                <c:pt idx="6">
                  <c:v>2.4169200000000002</c:v>
                </c:pt>
                <c:pt idx="7">
                  <c:v>2.8182499999999999</c:v>
                </c:pt>
                <c:pt idx="8">
                  <c:v>3.2151399999999999</c:v>
                </c:pt>
                <c:pt idx="9">
                  <c:v>3.6326999999999998</c:v>
                </c:pt>
                <c:pt idx="10">
                  <c:v>4.0281000000000002</c:v>
                </c:pt>
                <c:pt idx="11">
                  <c:v>4.4362599999999999</c:v>
                </c:pt>
                <c:pt idx="12">
                  <c:v>4.8412199999999999</c:v>
                </c:pt>
                <c:pt idx="13">
                  <c:v>5.2482899999999999</c:v>
                </c:pt>
                <c:pt idx="14">
                  <c:v>5.6565099999999999</c:v>
                </c:pt>
                <c:pt idx="15">
                  <c:v>6.0629799999999996</c:v>
                </c:pt>
                <c:pt idx="16">
                  <c:v>6.4686000000000003</c:v>
                </c:pt>
                <c:pt idx="17">
                  <c:v>6.8718500000000002</c:v>
                </c:pt>
                <c:pt idx="18">
                  <c:v>7.2783100000000003</c:v>
                </c:pt>
                <c:pt idx="19">
                  <c:v>7.6890299999999998</c:v>
                </c:pt>
                <c:pt idx="20">
                  <c:v>8.1108799999999999</c:v>
                </c:pt>
                <c:pt idx="21">
                  <c:v>8.49695</c:v>
                </c:pt>
                <c:pt idx="22">
                  <c:v>8.9192900000000002</c:v>
                </c:pt>
                <c:pt idx="23">
                  <c:v>9.3154299999999992</c:v>
                </c:pt>
                <c:pt idx="24">
                  <c:v>9.7270599999999998</c:v>
                </c:pt>
                <c:pt idx="25">
                  <c:v>10.1409</c:v>
                </c:pt>
              </c:numCache>
            </c:numRef>
          </c:xVal>
          <c:yVal>
            <c:numRef>
              <c:f>FT!$K$2:$K$2000</c:f>
              <c:numCache>
                <c:formatCode>General</c:formatCode>
                <c:ptCount val="1999"/>
                <c:pt idx="0">
                  <c:v>31.960799999999999</c:v>
                </c:pt>
                <c:pt idx="1">
                  <c:v>31.4421</c:v>
                </c:pt>
                <c:pt idx="2">
                  <c:v>31.0288</c:v>
                </c:pt>
                <c:pt idx="3">
                  <c:v>30.7577</c:v>
                </c:pt>
                <c:pt idx="4">
                  <c:v>30.725300000000001</c:v>
                </c:pt>
                <c:pt idx="5">
                  <c:v>30.654999999999998</c:v>
                </c:pt>
                <c:pt idx="6">
                  <c:v>30.411899999999996</c:v>
                </c:pt>
                <c:pt idx="7">
                  <c:v>30.321300000000001</c:v>
                </c:pt>
                <c:pt idx="8">
                  <c:v>29.808800000000002</c:v>
                </c:pt>
                <c:pt idx="9">
                  <c:v>29.3553</c:v>
                </c:pt>
                <c:pt idx="10">
                  <c:v>28.807700000000004</c:v>
                </c:pt>
                <c:pt idx="11">
                  <c:v>27.957100000000001</c:v>
                </c:pt>
                <c:pt idx="12">
                  <c:v>26.8276</c:v>
                </c:pt>
                <c:pt idx="13">
                  <c:v>25.624000000000002</c:v>
                </c:pt>
                <c:pt idx="14">
                  <c:v>24.795200000000001</c:v>
                </c:pt>
                <c:pt idx="15">
                  <c:v>24.278500000000001</c:v>
                </c:pt>
                <c:pt idx="16">
                  <c:v>24.5642</c:v>
                </c:pt>
                <c:pt idx="17">
                  <c:v>25.629099999999998</c:v>
                </c:pt>
                <c:pt idx="18">
                  <c:v>26.052700000000002</c:v>
                </c:pt>
                <c:pt idx="19">
                  <c:v>26.446100000000001</c:v>
                </c:pt>
                <c:pt idx="20">
                  <c:v>27.870800000000003</c:v>
                </c:pt>
                <c:pt idx="21">
                  <c:v>29.0198</c:v>
                </c:pt>
                <c:pt idx="22">
                  <c:v>30.496400000000001</c:v>
                </c:pt>
                <c:pt idx="23">
                  <c:v>33.577200000000005</c:v>
                </c:pt>
                <c:pt idx="24">
                  <c:v>32.003799999999998</c:v>
                </c:pt>
                <c:pt idx="25">
                  <c:v>24.372399999999999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31.960799999999999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31.960799999999999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31.960799999999999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31.960799999999999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31.960799999999999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31.960799999999999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31.960799999999999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31.960799999999999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31.960799999999999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31.960799999999999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31.960799999999999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31.960799999999999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31.960799999999999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31.960799999999999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31.960799999999999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31.960799999999999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31.960799999999999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31.960799999999999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31.960799999999999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31.960799999999999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31.960799999999999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31.960799999999999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31.960799999999999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31.960799999999999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0.37781399999999998</c:v>
                </c:pt>
                <c:pt idx="2">
                  <c:v>0.77868199999999999</c:v>
                </c:pt>
                <c:pt idx="3">
                  <c:v>1.1932499999999999</c:v>
                </c:pt>
                <c:pt idx="4">
                  <c:v>1.59883</c:v>
                </c:pt>
                <c:pt idx="5">
                  <c:v>2.0051700000000001</c:v>
                </c:pt>
                <c:pt idx="6">
                  <c:v>2.4169200000000002</c:v>
                </c:pt>
                <c:pt idx="7">
                  <c:v>2.8182499999999999</c:v>
                </c:pt>
                <c:pt idx="8">
                  <c:v>3.2151399999999999</c:v>
                </c:pt>
                <c:pt idx="9">
                  <c:v>3.6326999999999998</c:v>
                </c:pt>
                <c:pt idx="10">
                  <c:v>4.0281000000000002</c:v>
                </c:pt>
                <c:pt idx="11">
                  <c:v>4.4362599999999999</c:v>
                </c:pt>
                <c:pt idx="12">
                  <c:v>4.8412199999999999</c:v>
                </c:pt>
                <c:pt idx="13">
                  <c:v>5.2482899999999999</c:v>
                </c:pt>
                <c:pt idx="14">
                  <c:v>5.6565099999999999</c:v>
                </c:pt>
                <c:pt idx="15">
                  <c:v>6.0629799999999996</c:v>
                </c:pt>
                <c:pt idx="16">
                  <c:v>6.4686000000000003</c:v>
                </c:pt>
                <c:pt idx="17">
                  <c:v>6.8718500000000002</c:v>
                </c:pt>
                <c:pt idx="18">
                  <c:v>7.2783100000000003</c:v>
                </c:pt>
                <c:pt idx="19">
                  <c:v>7.6890299999999998</c:v>
                </c:pt>
                <c:pt idx="20">
                  <c:v>8.1108799999999999</c:v>
                </c:pt>
                <c:pt idx="21">
                  <c:v>8.49695</c:v>
                </c:pt>
                <c:pt idx="22">
                  <c:v>8.9192900000000002</c:v>
                </c:pt>
                <c:pt idx="23">
                  <c:v>9.3154299999999992</c:v>
                </c:pt>
                <c:pt idx="24">
                  <c:v>9.7270599999999998</c:v>
                </c:pt>
                <c:pt idx="25">
                  <c:v>10.1409</c:v>
                </c:pt>
              </c:numCache>
            </c:numRef>
          </c:xVal>
          <c:yVal>
            <c:numRef>
              <c:f>FT!$L$2:$L$2000</c:f>
              <c:numCache>
                <c:formatCode>General</c:formatCode>
                <c:ptCount val="1999"/>
                <c:pt idx="0">
                  <c:v>5.2112747248088622</c:v>
                </c:pt>
                <c:pt idx="1">
                  <c:v>5.1075784969712332</c:v>
                </c:pt>
                <c:pt idx="2">
                  <c:v>5.0279928895629871</c:v>
                </c:pt>
                <c:pt idx="3">
                  <c:v>4.9762494135158306</c:v>
                </c:pt>
                <c:pt idx="4">
                  <c:v>4.962817592996398</c:v>
                </c:pt>
                <c:pt idx="5">
                  <c:v>4.9464211662613895</c:v>
                </c:pt>
                <c:pt idx="6">
                  <c:v>4.9108480816431976</c:v>
                </c:pt>
                <c:pt idx="7">
                  <c:v>4.9012042350278833</c:v>
                </c:pt>
                <c:pt idx="8">
                  <c:v>4.8273516675357655</c:v>
                </c:pt>
                <c:pt idx="9">
                  <c:v>4.7584566904627597</c:v>
                </c:pt>
                <c:pt idx="10">
                  <c:v>4.6665446345841088</c:v>
                </c:pt>
                <c:pt idx="11">
                  <c:v>4.5255747396229591</c:v>
                </c:pt>
                <c:pt idx="12">
                  <c:v>4.3415343834000346</c:v>
                </c:pt>
                <c:pt idx="13">
                  <c:v>4.139680283044016</c:v>
                </c:pt>
                <c:pt idx="14">
                  <c:v>3.9938984612460473</c:v>
                </c:pt>
                <c:pt idx="15">
                  <c:v>3.9023045592920131</c:v>
                </c:pt>
                <c:pt idx="16">
                  <c:v>3.9359523664552678</c:v>
                </c:pt>
                <c:pt idx="17">
                  <c:v>4.0885995376832787</c:v>
                </c:pt>
                <c:pt idx="18">
                  <c:v>4.1503762033648819</c:v>
                </c:pt>
                <c:pt idx="19">
                  <c:v>4.2018487683351555</c:v>
                </c:pt>
                <c:pt idx="20">
                  <c:v>4.4162116424920219</c:v>
                </c:pt>
                <c:pt idx="21">
                  <c:v>4.5953251507900941</c:v>
                </c:pt>
                <c:pt idx="22">
                  <c:v>4.8263343224530173</c:v>
                </c:pt>
                <c:pt idx="23">
                  <c:v>5.2901390077089969</c:v>
                </c:pt>
                <c:pt idx="24">
                  <c:v>5.0618980812939212</c:v>
                </c:pt>
                <c:pt idx="25">
                  <c:v>3.9471199550425684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8.0723255071272169E-4</c:v>
                </c:pt>
                <c:pt idx="7">
                  <c:v>0</c:v>
                </c:pt>
                <c:pt idx="8">
                  <c:v>3.8977823494850653E-3</c:v>
                </c:pt>
                <c:pt idx="9">
                  <c:v>0</c:v>
                </c:pt>
                <c:pt idx="10">
                  <c:v>0</c:v>
                </c:pt>
                <c:pt idx="11">
                  <c:v>9.1332654634764289E-3</c:v>
                </c:pt>
                <c:pt idx="12">
                  <c:v>0</c:v>
                </c:pt>
                <c:pt idx="13">
                  <c:v>2.3986407208555129E-2</c:v>
                </c:pt>
                <c:pt idx="14">
                  <c:v>0</c:v>
                </c:pt>
                <c:pt idx="15">
                  <c:v>0</c:v>
                </c:pt>
                <c:pt idx="16">
                  <c:v>1.6006288253986176E-2</c:v>
                </c:pt>
                <c:pt idx="17">
                  <c:v>0</c:v>
                </c:pt>
                <c:pt idx="18">
                  <c:v>0</c:v>
                </c:pt>
                <c:pt idx="19">
                  <c:v>1.0678545656005688E-2</c:v>
                </c:pt>
                <c:pt idx="20">
                  <c:v>0</c:v>
                </c:pt>
                <c:pt idx="21">
                  <c:v>1.6352230442277391E-2</c:v>
                </c:pt>
                <c:pt idx="22">
                  <c:v>0</c:v>
                </c:pt>
                <c:pt idx="23">
                  <c:v>0</c:v>
                </c:pt>
                <c:pt idx="24">
                  <c:v>1.2454448092792326E-2</c:v>
                </c:pt>
                <c:pt idx="25">
                  <c:v>0</c:v>
                </c:pt>
                <c:pt idx="26">
                  <c:v>8.3029653951948845E-3</c:v>
                </c:pt>
                <c:pt idx="27">
                  <c:v>0</c:v>
                </c:pt>
                <c:pt idx="28">
                  <c:v>0</c:v>
                </c:pt>
                <c:pt idx="29">
                  <c:v>1.4714708409569297E-2</c:v>
                </c:pt>
                <c:pt idx="30">
                  <c:v>0</c:v>
                </c:pt>
                <c:pt idx="31">
                  <c:v>1.0517087148072148E-2</c:v>
                </c:pt>
                <c:pt idx="32">
                  <c:v>0</c:v>
                </c:pt>
                <c:pt idx="33">
                  <c:v>0</c:v>
                </c:pt>
                <c:pt idx="34">
                  <c:v>1.7390109938581894E-2</c:v>
                </c:pt>
                <c:pt idx="35">
                  <c:v>0</c:v>
                </c:pt>
                <c:pt idx="36">
                  <c:v>0</c:v>
                </c:pt>
                <c:pt idx="37">
                  <c:v>4.8526300745803858E-2</c:v>
                </c:pt>
                <c:pt idx="38">
                  <c:v>0</c:v>
                </c:pt>
                <c:pt idx="39">
                  <c:v>4.6127624737327774E-2</c:v>
                </c:pt>
                <c:pt idx="40">
                  <c:v>0</c:v>
                </c:pt>
                <c:pt idx="41">
                  <c:v>0</c:v>
                </c:pt>
                <c:pt idx="42">
                  <c:v>7.4565212405010128E-2</c:v>
                </c:pt>
                <c:pt idx="43">
                  <c:v>0</c:v>
                </c:pt>
                <c:pt idx="44">
                  <c:v>5.6667684126393197E-2</c:v>
                </c:pt>
                <c:pt idx="45">
                  <c:v>0</c:v>
                </c:pt>
                <c:pt idx="46">
                  <c:v>0</c:v>
                </c:pt>
                <c:pt idx="47">
                  <c:v>2.6154302178481255E-2</c:v>
                </c:pt>
                <c:pt idx="48">
                  <c:v>0</c:v>
                </c:pt>
                <c:pt idx="49">
                  <c:v>3.1228309140728792E-2</c:v>
                </c:pt>
                <c:pt idx="50">
                  <c:v>0</c:v>
                </c:pt>
                <c:pt idx="51">
                  <c:v>0</c:v>
                </c:pt>
                <c:pt idx="52">
                  <c:v>3.662537426932571E-2</c:v>
                </c:pt>
                <c:pt idx="53">
                  <c:v>0</c:v>
                </c:pt>
                <c:pt idx="54">
                  <c:v>0</c:v>
                </c:pt>
                <c:pt idx="55">
                  <c:v>3.8078342046434982E-2</c:v>
                </c:pt>
                <c:pt idx="56">
                  <c:v>0</c:v>
                </c:pt>
                <c:pt idx="57">
                  <c:v>3.6694538005649549E-2</c:v>
                </c:pt>
                <c:pt idx="58">
                  <c:v>0</c:v>
                </c:pt>
                <c:pt idx="59">
                  <c:v>0</c:v>
                </c:pt>
                <c:pt idx="60">
                  <c:v>3.5449061437511795E-2</c:v>
                </c:pt>
                <c:pt idx="61">
                  <c:v>0</c:v>
                </c:pt>
                <c:pt idx="62">
                  <c:v>2.8529864795481769E-2</c:v>
                </c:pt>
                <c:pt idx="63">
                  <c:v>0</c:v>
                </c:pt>
                <c:pt idx="64">
                  <c:v>0</c:v>
                </c:pt>
                <c:pt idx="65">
                  <c:v>3.4687907461743807E-2</c:v>
                </c:pt>
                <c:pt idx="66">
                  <c:v>0</c:v>
                </c:pt>
                <c:pt idx="67">
                  <c:v>2.9590787108020697E-2</c:v>
                </c:pt>
                <c:pt idx="68">
                  <c:v>0</c:v>
                </c:pt>
                <c:pt idx="69">
                  <c:v>0</c:v>
                </c:pt>
                <c:pt idx="70">
                  <c:v>3.0928540803957856E-2</c:v>
                </c:pt>
                <c:pt idx="71">
                  <c:v>0</c:v>
                </c:pt>
                <c:pt idx="72">
                  <c:v>0</c:v>
                </c:pt>
                <c:pt idx="73">
                  <c:v>5.5191602957808353E-2</c:v>
                </c:pt>
                <c:pt idx="74">
                  <c:v>0</c:v>
                </c:pt>
                <c:pt idx="75">
                  <c:v>4.949494593054337E-2</c:v>
                </c:pt>
                <c:pt idx="76">
                  <c:v>0</c:v>
                </c:pt>
                <c:pt idx="77">
                  <c:v>0</c:v>
                </c:pt>
                <c:pt idx="78">
                  <c:v>3.9577536606495392E-2</c:v>
                </c:pt>
                <c:pt idx="79">
                  <c:v>0</c:v>
                </c:pt>
                <c:pt idx="80">
                  <c:v>4.4836097824341753E-2</c:v>
                </c:pt>
                <c:pt idx="81">
                  <c:v>0</c:v>
                </c:pt>
                <c:pt idx="82">
                  <c:v>0</c:v>
                </c:pt>
                <c:pt idx="83">
                  <c:v>4.8733791954775382E-2</c:v>
                </c:pt>
                <c:pt idx="84">
                  <c:v>0</c:v>
                </c:pt>
                <c:pt idx="85">
                  <c:v>0</c:v>
                </c:pt>
                <c:pt idx="86">
                  <c:v>6.8937719114068999E-2</c:v>
                </c:pt>
                <c:pt idx="87">
                  <c:v>0</c:v>
                </c:pt>
                <c:pt idx="88">
                  <c:v>8.4528848512009258E-2</c:v>
                </c:pt>
                <c:pt idx="89">
                  <c:v>0</c:v>
                </c:pt>
                <c:pt idx="90">
                  <c:v>0</c:v>
                </c:pt>
                <c:pt idx="91">
                  <c:v>5.3185148852005482E-2</c:v>
                </c:pt>
                <c:pt idx="92">
                  <c:v>0</c:v>
                </c:pt>
                <c:pt idx="93">
                  <c:v>6.377143502402205E-2</c:v>
                </c:pt>
                <c:pt idx="94">
                  <c:v>0</c:v>
                </c:pt>
                <c:pt idx="95">
                  <c:v>0</c:v>
                </c:pt>
                <c:pt idx="96">
                  <c:v>7.0229246027055006E-2</c:v>
                </c:pt>
                <c:pt idx="97">
                  <c:v>0</c:v>
                </c:pt>
                <c:pt idx="98">
                  <c:v>0.11815583366121413</c:v>
                </c:pt>
                <c:pt idx="99">
                  <c:v>0</c:v>
                </c:pt>
                <c:pt idx="100">
                  <c:v>0</c:v>
                </c:pt>
                <c:pt idx="101">
                  <c:v>0.11808666992489029</c:v>
                </c:pt>
                <c:pt idx="102">
                  <c:v>0</c:v>
                </c:pt>
                <c:pt idx="103">
                  <c:v>0</c:v>
                </c:pt>
                <c:pt idx="104">
                  <c:v>0.1340469078340282</c:v>
                </c:pt>
                <c:pt idx="105">
                  <c:v>0</c:v>
                </c:pt>
                <c:pt idx="106">
                  <c:v>0.1299184326650446</c:v>
                </c:pt>
                <c:pt idx="107">
                  <c:v>0</c:v>
                </c:pt>
                <c:pt idx="108">
                  <c:v>0</c:v>
                </c:pt>
                <c:pt idx="109">
                  <c:v>0.12087739139793673</c:v>
                </c:pt>
                <c:pt idx="110">
                  <c:v>0</c:v>
                </c:pt>
                <c:pt idx="111">
                  <c:v>9.9566491581255911E-2</c:v>
                </c:pt>
                <c:pt idx="112">
                  <c:v>0</c:v>
                </c:pt>
                <c:pt idx="113">
                  <c:v>0</c:v>
                </c:pt>
                <c:pt idx="114">
                  <c:v>9.4838303300627591E-2</c:v>
                </c:pt>
                <c:pt idx="115">
                  <c:v>0</c:v>
                </c:pt>
                <c:pt idx="116">
                  <c:v>0.10489421653542612</c:v>
                </c:pt>
                <c:pt idx="117">
                  <c:v>0</c:v>
                </c:pt>
                <c:pt idx="118">
                  <c:v>0</c:v>
                </c:pt>
                <c:pt idx="119">
                  <c:v>0.14352604491055468</c:v>
                </c:pt>
                <c:pt idx="120">
                  <c:v>0</c:v>
                </c:pt>
                <c:pt idx="121">
                  <c:v>0</c:v>
                </c:pt>
                <c:pt idx="122">
                  <c:v>0.18697851513221389</c:v>
                </c:pt>
                <c:pt idx="123">
                  <c:v>0</c:v>
                </c:pt>
                <c:pt idx="124">
                  <c:v>0.23282948492424627</c:v>
                </c:pt>
                <c:pt idx="125">
                  <c:v>0</c:v>
                </c:pt>
                <c:pt idx="126">
                  <c:v>0</c:v>
                </c:pt>
                <c:pt idx="127">
                  <c:v>0.29800748450432363</c:v>
                </c:pt>
                <c:pt idx="128">
                  <c:v>0</c:v>
                </c:pt>
                <c:pt idx="129">
                  <c:v>0.37236555857656795</c:v>
                </c:pt>
                <c:pt idx="130">
                  <c:v>0</c:v>
                </c:pt>
                <c:pt idx="131">
                  <c:v>0</c:v>
                </c:pt>
                <c:pt idx="132">
                  <c:v>0.58916564185535258</c:v>
                </c:pt>
                <c:pt idx="133">
                  <c:v>0</c:v>
                </c:pt>
                <c:pt idx="134">
                  <c:v>0.66204692900660056</c:v>
                </c:pt>
                <c:pt idx="135">
                  <c:v>0</c:v>
                </c:pt>
                <c:pt idx="136">
                  <c:v>0</c:v>
                </c:pt>
                <c:pt idx="137">
                  <c:v>0.78495371146371284</c:v>
                </c:pt>
                <c:pt idx="138">
                  <c:v>0</c:v>
                </c:pt>
                <c:pt idx="139">
                  <c:v>0</c:v>
                </c:pt>
                <c:pt idx="140">
                  <c:v>0.77392985879658627</c:v>
                </c:pt>
                <c:pt idx="141">
                  <c:v>0</c:v>
                </c:pt>
                <c:pt idx="142">
                  <c:v>0.89162289531398031</c:v>
                </c:pt>
                <c:pt idx="143">
                  <c:v>0</c:v>
                </c:pt>
                <c:pt idx="144">
                  <c:v>0</c:v>
                </c:pt>
                <c:pt idx="145">
                  <c:v>1</c:v>
                </c:pt>
                <c:pt idx="146">
                  <c:v>0</c:v>
                </c:pt>
                <c:pt idx="147">
                  <c:v>0.92700402808188842</c:v>
                </c:pt>
                <c:pt idx="148">
                  <c:v>0</c:v>
                </c:pt>
                <c:pt idx="149">
                  <c:v>0</c:v>
                </c:pt>
                <c:pt idx="150">
                  <c:v>0.75485513549564109</c:v>
                </c:pt>
                <c:pt idx="151">
                  <c:v>0</c:v>
                </c:pt>
                <c:pt idx="152">
                  <c:v>0.7647497843044192</c:v>
                </c:pt>
                <c:pt idx="153">
                  <c:v>0</c:v>
                </c:pt>
                <c:pt idx="154">
                  <c:v>0</c:v>
                </c:pt>
                <c:pt idx="155">
                  <c:v>0.70356105023016347</c:v>
                </c:pt>
                <c:pt idx="156">
                  <c:v>0</c:v>
                </c:pt>
                <c:pt idx="157">
                  <c:v>0</c:v>
                </c:pt>
                <c:pt idx="158">
                  <c:v>0.50103833823537192</c:v>
                </c:pt>
                <c:pt idx="159">
                  <c:v>0</c:v>
                </c:pt>
                <c:pt idx="160">
                  <c:v>0.53404284975766225</c:v>
                </c:pt>
                <c:pt idx="161">
                  <c:v>0</c:v>
                </c:pt>
                <c:pt idx="162">
                  <c:v>0</c:v>
                </c:pt>
                <c:pt idx="163">
                  <c:v>0.69802618694322749</c:v>
                </c:pt>
                <c:pt idx="164">
                  <c:v>0</c:v>
                </c:pt>
                <c:pt idx="165">
                  <c:v>0.86482371186952045</c:v>
                </c:pt>
                <c:pt idx="166">
                  <c:v>0</c:v>
                </c:pt>
                <c:pt idx="167">
                  <c:v>0</c:v>
                </c:pt>
                <c:pt idx="168">
                  <c:v>0.79051151170402145</c:v>
                </c:pt>
                <c:pt idx="169">
                  <c:v>0</c:v>
                </c:pt>
                <c:pt idx="170">
                  <c:v>0</c:v>
                </c:pt>
                <c:pt idx="171">
                  <c:v>0.76707876726226287</c:v>
                </c:pt>
                <c:pt idx="172">
                  <c:v>0</c:v>
                </c:pt>
                <c:pt idx="173">
                  <c:v>0.85921827334143763</c:v>
                </c:pt>
                <c:pt idx="174">
                  <c:v>0</c:v>
                </c:pt>
                <c:pt idx="175">
                  <c:v>0</c:v>
                </c:pt>
                <c:pt idx="176">
                  <c:v>0.75526976503737842</c:v>
                </c:pt>
                <c:pt idx="177">
                  <c:v>0</c:v>
                </c:pt>
                <c:pt idx="178">
                  <c:v>0.68624012167171577</c:v>
                </c:pt>
                <c:pt idx="179">
                  <c:v>0</c:v>
                </c:pt>
                <c:pt idx="180">
                  <c:v>0</c:v>
                </c:pt>
                <c:pt idx="181">
                  <c:v>0.58351432942052428</c:v>
                </c:pt>
                <c:pt idx="182">
                  <c:v>0</c:v>
                </c:pt>
                <c:pt idx="183">
                  <c:v>0.48994391032709855</c:v>
                </c:pt>
                <c:pt idx="184">
                  <c:v>0</c:v>
                </c:pt>
                <c:pt idx="185">
                  <c:v>0</c:v>
                </c:pt>
                <c:pt idx="186">
                  <c:v>0.38885546367051244</c:v>
                </c:pt>
                <c:pt idx="187">
                  <c:v>0</c:v>
                </c:pt>
                <c:pt idx="188">
                  <c:v>0</c:v>
                </c:pt>
                <c:pt idx="189">
                  <c:v>0.35903389552394177</c:v>
                </c:pt>
                <c:pt idx="190">
                  <c:v>0</c:v>
                </c:pt>
                <c:pt idx="191">
                  <c:v>0.34079019568749991</c:v>
                </c:pt>
                <c:pt idx="192">
                  <c:v>0</c:v>
                </c:pt>
                <c:pt idx="193">
                  <c:v>0</c:v>
                </c:pt>
                <c:pt idx="194">
                  <c:v>0.35587388910159479</c:v>
                </c:pt>
                <c:pt idx="195">
                  <c:v>0</c:v>
                </c:pt>
                <c:pt idx="196">
                  <c:v>0.39014699058349844</c:v>
                </c:pt>
                <c:pt idx="197">
                  <c:v>0</c:v>
                </c:pt>
                <c:pt idx="198">
                  <c:v>0</c:v>
                </c:pt>
                <c:pt idx="199">
                  <c:v>0.47954288416309226</c:v>
                </c:pt>
                <c:pt idx="200">
                  <c:v>0</c:v>
                </c:pt>
                <c:pt idx="201">
                  <c:v>0.50977908185140031</c:v>
                </c:pt>
                <c:pt idx="202">
                  <c:v>0</c:v>
                </c:pt>
                <c:pt idx="203">
                  <c:v>0</c:v>
                </c:pt>
                <c:pt idx="204">
                  <c:v>0.45073583510800652</c:v>
                </c:pt>
                <c:pt idx="205">
                  <c:v>0</c:v>
                </c:pt>
                <c:pt idx="206">
                  <c:v>0</c:v>
                </c:pt>
                <c:pt idx="207">
                  <c:v>0.35940265115893366</c:v>
                </c:pt>
                <c:pt idx="208">
                  <c:v>0</c:v>
                </c:pt>
                <c:pt idx="209">
                  <c:v>0.35642790474459701</c:v>
                </c:pt>
                <c:pt idx="210">
                  <c:v>0</c:v>
                </c:pt>
                <c:pt idx="211">
                  <c:v>0</c:v>
                </c:pt>
                <c:pt idx="212">
                  <c:v>0.35031608886128612</c:v>
                </c:pt>
                <c:pt idx="213">
                  <c:v>0</c:v>
                </c:pt>
                <c:pt idx="214">
                  <c:v>0.38048347568947594</c:v>
                </c:pt>
                <c:pt idx="215">
                  <c:v>0</c:v>
                </c:pt>
                <c:pt idx="216">
                  <c:v>0</c:v>
                </c:pt>
                <c:pt idx="217">
                  <c:v>0.2056827184171385</c:v>
                </c:pt>
                <c:pt idx="218">
                  <c:v>0</c:v>
                </c:pt>
                <c:pt idx="219">
                  <c:v>0.16283049062143262</c:v>
                </c:pt>
                <c:pt idx="220">
                  <c:v>0</c:v>
                </c:pt>
                <c:pt idx="221">
                  <c:v>0</c:v>
                </c:pt>
                <c:pt idx="222">
                  <c:v>4.4074943848573758E-2</c:v>
                </c:pt>
                <c:pt idx="223">
                  <c:v>0</c:v>
                </c:pt>
                <c:pt idx="224">
                  <c:v>0</c:v>
                </c:pt>
                <c:pt idx="225">
                  <c:v>2.1610844591554611E-2</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0.17801822353964081</c:v>
                </c:pt>
                <c:pt idx="4">
                  <c:v>0</c:v>
                </c:pt>
                <c:pt idx="5">
                  <c:v>0</c:v>
                </c:pt>
                <c:pt idx="6">
                  <c:v>0.18829366866364908</c:v>
                </c:pt>
                <c:pt idx="7">
                  <c:v>0</c:v>
                </c:pt>
                <c:pt idx="8">
                  <c:v>0.19969087282431855</c:v>
                </c:pt>
                <c:pt idx="9">
                  <c:v>0</c:v>
                </c:pt>
                <c:pt idx="10">
                  <c:v>0</c:v>
                </c:pt>
                <c:pt idx="11">
                  <c:v>0.27800791970587474</c:v>
                </c:pt>
                <c:pt idx="12">
                  <c:v>0</c:v>
                </c:pt>
                <c:pt idx="13">
                  <c:v>0.34931472207835895</c:v>
                </c:pt>
                <c:pt idx="14">
                  <c:v>0</c:v>
                </c:pt>
                <c:pt idx="15">
                  <c:v>0</c:v>
                </c:pt>
                <c:pt idx="16">
                  <c:v>0.53240298951320542</c:v>
                </c:pt>
                <c:pt idx="17">
                  <c:v>0</c:v>
                </c:pt>
                <c:pt idx="18">
                  <c:v>0</c:v>
                </c:pt>
                <c:pt idx="19">
                  <c:v>0.61761839758066606</c:v>
                </c:pt>
                <c:pt idx="20">
                  <c:v>0</c:v>
                </c:pt>
                <c:pt idx="21">
                  <c:v>0.83023159602389374</c:v>
                </c:pt>
                <c:pt idx="22">
                  <c:v>0</c:v>
                </c:pt>
                <c:pt idx="23">
                  <c:v>0</c:v>
                </c:pt>
                <c:pt idx="24">
                  <c:v>0.95154054973019675</c:v>
                </c:pt>
                <c:pt idx="25">
                  <c:v>0</c:v>
                </c:pt>
                <c:pt idx="26">
                  <c:v>1</c:v>
                </c:pt>
                <c:pt idx="27">
                  <c:v>0</c:v>
                </c:pt>
                <c:pt idx="28">
                  <c:v>0</c:v>
                </c:pt>
                <c:pt idx="29">
                  <c:v>0.90061099029158231</c:v>
                </c:pt>
                <c:pt idx="30">
                  <c:v>0</c:v>
                </c:pt>
                <c:pt idx="31">
                  <c:v>0.71485527388522396</c:v>
                </c:pt>
                <c:pt idx="32">
                  <c:v>0</c:v>
                </c:pt>
                <c:pt idx="33">
                  <c:v>0</c:v>
                </c:pt>
                <c:pt idx="34">
                  <c:v>0.51393367774900556</c:v>
                </c:pt>
                <c:pt idx="35">
                  <c:v>0</c:v>
                </c:pt>
                <c:pt idx="36">
                  <c:v>0</c:v>
                </c:pt>
                <c:pt idx="37">
                  <c:v>0.41030195350277837</c:v>
                </c:pt>
                <c:pt idx="38">
                  <c:v>0</c:v>
                </c:pt>
                <c:pt idx="39">
                  <c:v>0.38432189087492041</c:v>
                </c:pt>
                <c:pt idx="40">
                  <c:v>0</c:v>
                </c:pt>
                <c:pt idx="41">
                  <c:v>0</c:v>
                </c:pt>
                <c:pt idx="42">
                  <c:v>0.3972559715178583</c:v>
                </c:pt>
                <c:pt idx="43">
                  <c:v>0</c:v>
                </c:pt>
                <c:pt idx="44">
                  <c:v>0.40150452865622932</c:v>
                </c:pt>
                <c:pt idx="45">
                  <c:v>0</c:v>
                </c:pt>
                <c:pt idx="46">
                  <c:v>0</c:v>
                </c:pt>
                <c:pt idx="47">
                  <c:v>0.4104638953446359</c:v>
                </c:pt>
                <c:pt idx="48">
                  <c:v>0</c:v>
                </c:pt>
                <c:pt idx="49">
                  <c:v>0.39507723558692326</c:v>
                </c:pt>
                <c:pt idx="50">
                  <c:v>0</c:v>
                </c:pt>
                <c:pt idx="51">
                  <c:v>0</c:v>
                </c:pt>
                <c:pt idx="52">
                  <c:v>0.37992022336608811</c:v>
                </c:pt>
                <c:pt idx="53">
                  <c:v>0</c:v>
                </c:pt>
                <c:pt idx="54">
                  <c:v>0</c:v>
                </c:pt>
                <c:pt idx="55">
                  <c:v>0.36906772120696679</c:v>
                </c:pt>
                <c:pt idx="56">
                  <c:v>0</c:v>
                </c:pt>
                <c:pt idx="57">
                  <c:v>0.37026895672913945</c:v>
                </c:pt>
                <c:pt idx="58">
                  <c:v>0</c:v>
                </c:pt>
                <c:pt idx="59">
                  <c:v>0</c:v>
                </c:pt>
                <c:pt idx="60">
                  <c:v>0.37333981992632076</c:v>
                </c:pt>
                <c:pt idx="61">
                  <c:v>0</c:v>
                </c:pt>
                <c:pt idx="62">
                  <c:v>0.37993788856123256</c:v>
                </c:pt>
                <c:pt idx="63">
                  <c:v>0</c:v>
                </c:pt>
                <c:pt idx="64">
                  <c:v>0</c:v>
                </c:pt>
                <c:pt idx="65">
                  <c:v>0.38169269359397839</c:v>
                </c:pt>
                <c:pt idx="66">
                  <c:v>0</c:v>
                </c:pt>
                <c:pt idx="67">
                  <c:v>0.38155721238103285</c:v>
                </c:pt>
                <c:pt idx="68">
                  <c:v>0</c:v>
                </c:pt>
                <c:pt idx="69">
                  <c:v>0</c:v>
                </c:pt>
                <c:pt idx="70">
                  <c:v>0.38035006668774463</c:v>
                </c:pt>
                <c:pt idx="71">
                  <c:v>0</c:v>
                </c:pt>
                <c:pt idx="72">
                  <c:v>0</c:v>
                </c:pt>
                <c:pt idx="73">
                  <c:v>0.38188405340265752</c:v>
                </c:pt>
                <c:pt idx="74">
                  <c:v>0</c:v>
                </c:pt>
                <c:pt idx="75">
                  <c:v>0.37790930791520094</c:v>
                </c:pt>
                <c:pt idx="76">
                  <c:v>0</c:v>
                </c:pt>
                <c:pt idx="77">
                  <c:v>0</c:v>
                </c:pt>
                <c:pt idx="78">
                  <c:v>0.37404642998444954</c:v>
                </c:pt>
                <c:pt idx="79">
                  <c:v>0</c:v>
                </c:pt>
                <c:pt idx="80">
                  <c:v>0.37469420185658342</c:v>
                </c:pt>
                <c:pt idx="81">
                  <c:v>0</c:v>
                </c:pt>
                <c:pt idx="82">
                  <c:v>0</c:v>
                </c:pt>
                <c:pt idx="83">
                  <c:v>0.37278632023865332</c:v>
                </c:pt>
                <c:pt idx="84">
                  <c:v>0</c:v>
                </c:pt>
                <c:pt idx="85">
                  <c:v>0</c:v>
                </c:pt>
                <c:pt idx="86">
                  <c:v>0.36432453635220013</c:v>
                </c:pt>
                <c:pt idx="87">
                  <c:v>0</c:v>
                </c:pt>
                <c:pt idx="88">
                  <c:v>0.34983880379920484</c:v>
                </c:pt>
                <c:pt idx="89">
                  <c:v>0</c:v>
                </c:pt>
                <c:pt idx="90">
                  <c:v>0</c:v>
                </c:pt>
                <c:pt idx="91">
                  <c:v>0.33921299183905151</c:v>
                </c:pt>
                <c:pt idx="92">
                  <c:v>0</c:v>
                </c:pt>
                <c:pt idx="93">
                  <c:v>0.32576662053692523</c:v>
                </c:pt>
                <c:pt idx="94">
                  <c:v>0</c:v>
                </c:pt>
                <c:pt idx="95">
                  <c:v>0</c:v>
                </c:pt>
                <c:pt idx="96">
                  <c:v>0.31431645682845127</c:v>
                </c:pt>
                <c:pt idx="97">
                  <c:v>0</c:v>
                </c:pt>
                <c:pt idx="98">
                  <c:v>0.30290746385847589</c:v>
                </c:pt>
                <c:pt idx="99">
                  <c:v>0</c:v>
                </c:pt>
                <c:pt idx="100">
                  <c:v>0</c:v>
                </c:pt>
                <c:pt idx="101">
                  <c:v>0.28414667524821713</c:v>
                </c:pt>
                <c:pt idx="102">
                  <c:v>0</c:v>
                </c:pt>
                <c:pt idx="103">
                  <c:v>0</c:v>
                </c:pt>
                <c:pt idx="104">
                  <c:v>0.26421706020579377</c:v>
                </c:pt>
                <c:pt idx="105">
                  <c:v>0</c:v>
                </c:pt>
                <c:pt idx="106">
                  <c:v>0.24383990286129245</c:v>
                </c:pt>
                <c:pt idx="107">
                  <c:v>0</c:v>
                </c:pt>
                <c:pt idx="108">
                  <c:v>0</c:v>
                </c:pt>
                <c:pt idx="109">
                  <c:v>0.22796744911093225</c:v>
                </c:pt>
                <c:pt idx="110">
                  <c:v>0</c:v>
                </c:pt>
                <c:pt idx="111">
                  <c:v>0.21079067194899923</c:v>
                </c:pt>
                <c:pt idx="112">
                  <c:v>0</c:v>
                </c:pt>
                <c:pt idx="113">
                  <c:v>0</c:v>
                </c:pt>
                <c:pt idx="114">
                  <c:v>0.19795964541018443</c:v>
                </c:pt>
                <c:pt idx="115">
                  <c:v>0</c:v>
                </c:pt>
                <c:pt idx="116">
                  <c:v>0.18248465967674965</c:v>
                </c:pt>
                <c:pt idx="117">
                  <c:v>0</c:v>
                </c:pt>
                <c:pt idx="118">
                  <c:v>0</c:v>
                </c:pt>
                <c:pt idx="119">
                  <c:v>0.17185297133075772</c:v>
                </c:pt>
                <c:pt idx="120">
                  <c:v>0</c:v>
                </c:pt>
                <c:pt idx="121">
                  <c:v>0</c:v>
                </c:pt>
                <c:pt idx="122">
                  <c:v>0.15860383847550091</c:v>
                </c:pt>
                <c:pt idx="123">
                  <c:v>0</c:v>
                </c:pt>
                <c:pt idx="124">
                  <c:v>0.14731853790916533</c:v>
                </c:pt>
                <c:pt idx="125">
                  <c:v>0</c:v>
                </c:pt>
                <c:pt idx="126">
                  <c:v>0</c:v>
                </c:pt>
                <c:pt idx="127">
                  <c:v>0.13586832915365538</c:v>
                </c:pt>
                <c:pt idx="128">
                  <c:v>0</c:v>
                </c:pt>
                <c:pt idx="129">
                  <c:v>0.12618175014523222</c:v>
                </c:pt>
                <c:pt idx="130">
                  <c:v>0</c:v>
                </c:pt>
                <c:pt idx="131">
                  <c:v>0</c:v>
                </c:pt>
                <c:pt idx="132">
                  <c:v>0.11584154765470638</c:v>
                </c:pt>
                <c:pt idx="133">
                  <c:v>0</c:v>
                </c:pt>
                <c:pt idx="134">
                  <c:v>0.1071088981934893</c:v>
                </c:pt>
                <c:pt idx="135">
                  <c:v>0</c:v>
                </c:pt>
                <c:pt idx="136">
                  <c:v>0</c:v>
                </c:pt>
                <c:pt idx="137">
                  <c:v>9.8002331305736962E-2</c:v>
                </c:pt>
                <c:pt idx="138">
                  <c:v>0</c:v>
                </c:pt>
                <c:pt idx="139">
                  <c:v>0</c:v>
                </c:pt>
                <c:pt idx="140">
                  <c:v>9.0959684463712234E-2</c:v>
                </c:pt>
                <c:pt idx="141">
                  <c:v>0</c:v>
                </c:pt>
                <c:pt idx="142">
                  <c:v>8.42085167200982E-2</c:v>
                </c:pt>
                <c:pt idx="143">
                  <c:v>0</c:v>
                </c:pt>
                <c:pt idx="144">
                  <c:v>0</c:v>
                </c:pt>
                <c:pt idx="145">
                  <c:v>7.876459819304131E-2</c:v>
                </c:pt>
                <c:pt idx="146">
                  <c:v>0</c:v>
                </c:pt>
                <c:pt idx="147">
                  <c:v>7.3058643310265042E-2</c:v>
                </c:pt>
                <c:pt idx="148">
                  <c:v>0</c:v>
                </c:pt>
                <c:pt idx="149">
                  <c:v>0</c:v>
                </c:pt>
                <c:pt idx="150">
                  <c:v>6.8707032067770873E-2</c:v>
                </c:pt>
                <c:pt idx="151">
                  <c:v>0</c:v>
                </c:pt>
                <c:pt idx="152">
                  <c:v>6.3398551958975438E-2</c:v>
                </c:pt>
                <c:pt idx="153">
                  <c:v>0</c:v>
                </c:pt>
                <c:pt idx="154">
                  <c:v>0</c:v>
                </c:pt>
                <c:pt idx="155">
                  <c:v>5.9827171145449075E-2</c:v>
                </c:pt>
                <c:pt idx="156">
                  <c:v>0</c:v>
                </c:pt>
                <c:pt idx="157">
                  <c:v>0</c:v>
                </c:pt>
                <c:pt idx="158">
                  <c:v>5.690647899963381E-2</c:v>
                </c:pt>
                <c:pt idx="159">
                  <c:v>0</c:v>
                </c:pt>
                <c:pt idx="160">
                  <c:v>5.123584775009099E-2</c:v>
                </c:pt>
                <c:pt idx="161">
                  <c:v>0</c:v>
                </c:pt>
                <c:pt idx="162">
                  <c:v>0</c:v>
                </c:pt>
                <c:pt idx="163">
                  <c:v>4.6651656408679527E-2</c:v>
                </c:pt>
                <c:pt idx="164">
                  <c:v>0</c:v>
                </c:pt>
                <c:pt idx="165">
                  <c:v>4.2847679729773283E-2</c:v>
                </c:pt>
                <c:pt idx="166">
                  <c:v>0</c:v>
                </c:pt>
                <c:pt idx="167">
                  <c:v>0</c:v>
                </c:pt>
                <c:pt idx="168">
                  <c:v>3.9117316664650702E-2</c:v>
                </c:pt>
                <c:pt idx="169">
                  <c:v>0</c:v>
                </c:pt>
                <c:pt idx="170">
                  <c:v>3.4756880707815609E-2</c:v>
                </c:pt>
                <c:pt idx="171">
                  <c:v>0</c:v>
                </c:pt>
                <c:pt idx="172">
                  <c:v>0</c:v>
                </c:pt>
                <c:pt idx="173">
                  <c:v>3.2045222575231069E-2</c:v>
                </c:pt>
                <c:pt idx="174">
                  <c:v>0</c:v>
                </c:pt>
                <c:pt idx="175">
                  <c:v>0</c:v>
                </c:pt>
                <c:pt idx="176">
                  <c:v>3.0873414029287158E-2</c:v>
                </c:pt>
                <c:pt idx="177">
                  <c:v>0</c:v>
                </c:pt>
                <c:pt idx="178">
                  <c:v>2.8102872663671803E-2</c:v>
                </c:pt>
                <c:pt idx="179">
                  <c:v>0</c:v>
                </c:pt>
                <c:pt idx="180">
                  <c:v>0</c:v>
                </c:pt>
                <c:pt idx="181">
                  <c:v>2.573863979578539E-2</c:v>
                </c:pt>
                <c:pt idx="182">
                  <c:v>0</c:v>
                </c:pt>
                <c:pt idx="183">
                  <c:v>2.3006374896609449E-2</c:v>
                </c:pt>
                <c:pt idx="184">
                  <c:v>0</c:v>
                </c:pt>
                <c:pt idx="185">
                  <c:v>0</c:v>
                </c:pt>
                <c:pt idx="186">
                  <c:v>2.0960120046026272E-2</c:v>
                </c:pt>
                <c:pt idx="187">
                  <c:v>0</c:v>
                </c:pt>
                <c:pt idx="188">
                  <c:v>0</c:v>
                </c:pt>
                <c:pt idx="189">
                  <c:v>1.859883100193863E-2</c:v>
                </c:pt>
                <c:pt idx="190">
                  <c:v>0</c:v>
                </c:pt>
                <c:pt idx="191">
                  <c:v>1.5589806123345852E-2</c:v>
                </c:pt>
                <c:pt idx="192">
                  <c:v>0</c:v>
                </c:pt>
                <c:pt idx="193">
                  <c:v>0</c:v>
                </c:pt>
                <c:pt idx="194">
                  <c:v>1.2860487300320484E-2</c:v>
                </c:pt>
                <c:pt idx="195">
                  <c:v>0</c:v>
                </c:pt>
                <c:pt idx="196">
                  <c:v>1.0932003420502524E-2</c:v>
                </c:pt>
                <c:pt idx="197">
                  <c:v>0</c:v>
                </c:pt>
                <c:pt idx="198">
                  <c:v>0</c:v>
                </c:pt>
                <c:pt idx="199">
                  <c:v>8.5766020240124266E-3</c:v>
                </c:pt>
                <c:pt idx="200">
                  <c:v>0</c:v>
                </c:pt>
                <c:pt idx="201">
                  <c:v>6.3213064031431279E-3</c:v>
                </c:pt>
                <c:pt idx="202">
                  <c:v>0</c:v>
                </c:pt>
                <c:pt idx="203">
                  <c:v>0</c:v>
                </c:pt>
                <c:pt idx="204">
                  <c:v>5.4498084270062242E-3</c:v>
                </c:pt>
                <c:pt idx="205">
                  <c:v>0</c:v>
                </c:pt>
                <c:pt idx="206">
                  <c:v>0</c:v>
                </c:pt>
                <c:pt idx="207">
                  <c:v>3.2062881013320103E-3</c:v>
                </c:pt>
                <c:pt idx="208">
                  <c:v>0</c:v>
                </c:pt>
                <c:pt idx="209">
                  <c:v>2.4201745294702521E-3</c:v>
                </c:pt>
                <c:pt idx="210">
                  <c:v>0</c:v>
                </c:pt>
                <c:pt idx="211">
                  <c:v>0</c:v>
                </c:pt>
                <c:pt idx="212">
                  <c:v>1.3249121593497813E-3</c:v>
                </c:pt>
                <c:pt idx="213">
                  <c:v>0</c:v>
                </c:pt>
                <c:pt idx="214">
                  <c:v>9.8043522315401804E-4</c:v>
                </c:pt>
                <c:pt idx="215">
                  <c:v>0</c:v>
                </c:pt>
                <c:pt idx="216">
                  <c:v>0</c:v>
                </c:pt>
                <c:pt idx="217">
                  <c:v>3.5919830754141646E-4</c:v>
                </c:pt>
                <c:pt idx="218">
                  <c:v>0</c:v>
                </c:pt>
                <c:pt idx="219">
                  <c:v>2.1198684643668385E-4</c:v>
                </c:pt>
                <c:pt idx="220">
                  <c:v>0</c:v>
                </c:pt>
                <c:pt idx="221">
                  <c:v>0</c:v>
                </c:pt>
                <c:pt idx="222">
                  <c:v>1.0893724701711311E-4</c:v>
                </c:pt>
                <c:pt idx="223">
                  <c:v>0</c:v>
                </c:pt>
                <c:pt idx="224">
                  <c:v>0</c:v>
                </c:pt>
                <c:pt idx="225">
                  <c:v>5.8876475975423577E-6</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(49.8 , 94.3)
충격받은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49.765214335820026</c:v>
                </c:pt>
              </c:numCache>
            </c:numRef>
          </c:xVal>
          <c:yVal>
            <c:numRef>
              <c:f>info!$W$20:$W$21</c:f>
              <c:numCache>
                <c:formatCode>General</c:formatCode>
                <c:ptCount val="2"/>
                <c:pt idx="0">
                  <c:v>50</c:v>
                </c:pt>
                <c:pt idx="1">
                  <c:v>94.275237337667463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35.807200000000002</c:v>
                      </c:pt>
                    </c:numCache>
                  </c:numRef>
                </c:xVal>
                <c:yVal>
                  <c:numRef>
                    <c:extLst>
                      <c:ext uri="{02D57815-91ED-43cb-92C2-25804820EDAC}">
                        <c15:formulaRef>
                          <c15:sqref>info!$W$18</c15:sqref>
                        </c15:formulaRef>
                      </c:ext>
                    </c:extLst>
                    <c:numCache>
                      <c:formatCode>General</c:formatCode>
                      <c:ptCount val="1"/>
                      <c:pt idx="0">
                        <c:v>77.775199999999998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(49.8 , 94.3)
충격받은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49.765214335820026</c:v>
                </c:pt>
              </c:numCache>
            </c:numRef>
          </c:xVal>
          <c:yVal>
            <c:numRef>
              <c:f>info!$W$20:$W$21</c:f>
              <c:numCache>
                <c:formatCode>General</c:formatCode>
                <c:ptCount val="2"/>
                <c:pt idx="0">
                  <c:v>50</c:v>
                </c:pt>
                <c:pt idx="1">
                  <c:v>94.275237337667463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61.743899999999996</c:v>
                </c:pt>
                <c:pt idx="1">
                  <c:v>25.740600000000001</c:v>
                </c:pt>
                <c:pt idx="2">
                  <c:v>38.976599999999998</c:v>
                </c:pt>
                <c:pt idx="3">
                  <c:v>41.610700000000001</c:v>
                </c:pt>
                <c:pt idx="4">
                  <c:v>62.019599999999997</c:v>
                </c:pt>
                <c:pt idx="5">
                  <c:v>69.826300000000003</c:v>
                </c:pt>
                <c:pt idx="6">
                  <c:v>47.471400000000003</c:v>
                </c:pt>
                <c:pt idx="7">
                  <c:v>65.724900000000005</c:v>
                </c:pt>
                <c:pt idx="8">
                  <c:v>16.074200000000001</c:v>
                </c:pt>
                <c:pt idx="9">
                  <c:v>18.479800000000001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0.50815226182131878</c:v>
                </c:pt>
                <c:pt idx="1">
                  <c:v>0.34853615139914812</c:v>
                </c:pt>
                <c:pt idx="2">
                  <c:v>0.1433115867795331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8.0723255071272169E-4</c:v>
                </c:pt>
                <c:pt idx="7">
                  <c:v>0</c:v>
                </c:pt>
                <c:pt idx="8">
                  <c:v>3.8977823494850653E-3</c:v>
                </c:pt>
                <c:pt idx="9">
                  <c:v>0</c:v>
                </c:pt>
                <c:pt idx="10">
                  <c:v>0</c:v>
                </c:pt>
                <c:pt idx="11">
                  <c:v>9.1332654634764289E-3</c:v>
                </c:pt>
                <c:pt idx="12">
                  <c:v>0</c:v>
                </c:pt>
                <c:pt idx="13">
                  <c:v>2.3986407208555129E-2</c:v>
                </c:pt>
                <c:pt idx="14">
                  <c:v>0</c:v>
                </c:pt>
                <c:pt idx="15">
                  <c:v>0</c:v>
                </c:pt>
                <c:pt idx="16">
                  <c:v>1.6006288253986176E-2</c:v>
                </c:pt>
                <c:pt idx="17">
                  <c:v>0</c:v>
                </c:pt>
                <c:pt idx="18">
                  <c:v>0</c:v>
                </c:pt>
                <c:pt idx="19">
                  <c:v>1.0678545656005688E-2</c:v>
                </c:pt>
                <c:pt idx="20">
                  <c:v>0</c:v>
                </c:pt>
                <c:pt idx="21">
                  <c:v>1.6352230442277391E-2</c:v>
                </c:pt>
                <c:pt idx="22">
                  <c:v>0</c:v>
                </c:pt>
                <c:pt idx="23">
                  <c:v>0</c:v>
                </c:pt>
                <c:pt idx="24">
                  <c:v>1.2454448092792326E-2</c:v>
                </c:pt>
                <c:pt idx="25">
                  <c:v>0</c:v>
                </c:pt>
                <c:pt idx="26">
                  <c:v>8.3029653951948845E-3</c:v>
                </c:pt>
                <c:pt idx="27">
                  <c:v>0</c:v>
                </c:pt>
                <c:pt idx="28">
                  <c:v>0</c:v>
                </c:pt>
                <c:pt idx="29">
                  <c:v>1.4714708409569297E-2</c:v>
                </c:pt>
                <c:pt idx="30">
                  <c:v>0</c:v>
                </c:pt>
                <c:pt idx="31">
                  <c:v>1.0517087148072148E-2</c:v>
                </c:pt>
                <c:pt idx="32">
                  <c:v>0</c:v>
                </c:pt>
                <c:pt idx="33">
                  <c:v>0</c:v>
                </c:pt>
                <c:pt idx="34">
                  <c:v>1.7390109938581894E-2</c:v>
                </c:pt>
                <c:pt idx="35">
                  <c:v>0</c:v>
                </c:pt>
                <c:pt idx="36">
                  <c:v>0</c:v>
                </c:pt>
                <c:pt idx="37">
                  <c:v>4.8526300745803858E-2</c:v>
                </c:pt>
                <c:pt idx="38">
                  <c:v>0</c:v>
                </c:pt>
                <c:pt idx="39">
                  <c:v>4.6127624737327774E-2</c:v>
                </c:pt>
                <c:pt idx="40">
                  <c:v>0</c:v>
                </c:pt>
                <c:pt idx="41">
                  <c:v>0</c:v>
                </c:pt>
                <c:pt idx="42">
                  <c:v>7.4565212405010128E-2</c:v>
                </c:pt>
                <c:pt idx="43">
                  <c:v>0</c:v>
                </c:pt>
                <c:pt idx="44">
                  <c:v>5.6667684126393197E-2</c:v>
                </c:pt>
                <c:pt idx="45">
                  <c:v>0</c:v>
                </c:pt>
                <c:pt idx="46">
                  <c:v>0</c:v>
                </c:pt>
                <c:pt idx="47">
                  <c:v>2.6154302178481255E-2</c:v>
                </c:pt>
                <c:pt idx="48">
                  <c:v>0</c:v>
                </c:pt>
                <c:pt idx="49">
                  <c:v>3.1228309140728792E-2</c:v>
                </c:pt>
                <c:pt idx="50">
                  <c:v>0</c:v>
                </c:pt>
                <c:pt idx="51">
                  <c:v>0</c:v>
                </c:pt>
                <c:pt idx="52">
                  <c:v>3.662537426932571E-2</c:v>
                </c:pt>
                <c:pt idx="53">
                  <c:v>0</c:v>
                </c:pt>
                <c:pt idx="54">
                  <c:v>0</c:v>
                </c:pt>
                <c:pt idx="55">
                  <c:v>3.8078342046434982E-2</c:v>
                </c:pt>
                <c:pt idx="56">
                  <c:v>0</c:v>
                </c:pt>
                <c:pt idx="57">
                  <c:v>3.6694538005649549E-2</c:v>
                </c:pt>
                <c:pt idx="58">
                  <c:v>0</c:v>
                </c:pt>
                <c:pt idx="59">
                  <c:v>0</c:v>
                </c:pt>
                <c:pt idx="60">
                  <c:v>3.5449061437511795E-2</c:v>
                </c:pt>
                <c:pt idx="61">
                  <c:v>0</c:v>
                </c:pt>
                <c:pt idx="62">
                  <c:v>2.8529864795481769E-2</c:v>
                </c:pt>
                <c:pt idx="63">
                  <c:v>0</c:v>
                </c:pt>
                <c:pt idx="64">
                  <c:v>0</c:v>
                </c:pt>
                <c:pt idx="65">
                  <c:v>3.4687907461743807E-2</c:v>
                </c:pt>
                <c:pt idx="66">
                  <c:v>0</c:v>
                </c:pt>
                <c:pt idx="67">
                  <c:v>2.9590787108020697E-2</c:v>
                </c:pt>
                <c:pt idx="68">
                  <c:v>0</c:v>
                </c:pt>
                <c:pt idx="69">
                  <c:v>0</c:v>
                </c:pt>
                <c:pt idx="70">
                  <c:v>3.0928540803957856E-2</c:v>
                </c:pt>
                <c:pt idx="71">
                  <c:v>0</c:v>
                </c:pt>
                <c:pt idx="72">
                  <c:v>0</c:v>
                </c:pt>
                <c:pt idx="73">
                  <c:v>5.5191602957808353E-2</c:v>
                </c:pt>
                <c:pt idx="74">
                  <c:v>0</c:v>
                </c:pt>
                <c:pt idx="75">
                  <c:v>4.949494593054337E-2</c:v>
                </c:pt>
                <c:pt idx="76">
                  <c:v>0</c:v>
                </c:pt>
                <c:pt idx="77">
                  <c:v>0</c:v>
                </c:pt>
                <c:pt idx="78">
                  <c:v>3.9577536606495392E-2</c:v>
                </c:pt>
                <c:pt idx="79">
                  <c:v>0</c:v>
                </c:pt>
                <c:pt idx="80">
                  <c:v>4.4836097824341753E-2</c:v>
                </c:pt>
                <c:pt idx="81">
                  <c:v>0</c:v>
                </c:pt>
                <c:pt idx="82">
                  <c:v>0</c:v>
                </c:pt>
                <c:pt idx="83">
                  <c:v>4.8733791954775382E-2</c:v>
                </c:pt>
                <c:pt idx="84">
                  <c:v>0</c:v>
                </c:pt>
                <c:pt idx="85">
                  <c:v>0</c:v>
                </c:pt>
                <c:pt idx="86">
                  <c:v>6.8937719114068999E-2</c:v>
                </c:pt>
                <c:pt idx="87">
                  <c:v>0</c:v>
                </c:pt>
                <c:pt idx="88">
                  <c:v>8.4528848512009258E-2</c:v>
                </c:pt>
                <c:pt idx="89">
                  <c:v>0</c:v>
                </c:pt>
                <c:pt idx="90">
                  <c:v>0</c:v>
                </c:pt>
                <c:pt idx="91">
                  <c:v>5.3185148852005482E-2</c:v>
                </c:pt>
                <c:pt idx="92">
                  <c:v>0</c:v>
                </c:pt>
                <c:pt idx="93">
                  <c:v>6.377143502402205E-2</c:v>
                </c:pt>
                <c:pt idx="94">
                  <c:v>0</c:v>
                </c:pt>
                <c:pt idx="95">
                  <c:v>0</c:v>
                </c:pt>
                <c:pt idx="96">
                  <c:v>7.0229246027055006E-2</c:v>
                </c:pt>
                <c:pt idx="97">
                  <c:v>0</c:v>
                </c:pt>
                <c:pt idx="98">
                  <c:v>0.11815583366121413</c:v>
                </c:pt>
                <c:pt idx="99">
                  <c:v>0</c:v>
                </c:pt>
                <c:pt idx="100">
                  <c:v>0</c:v>
                </c:pt>
                <c:pt idx="101">
                  <c:v>0.11808666992489029</c:v>
                </c:pt>
                <c:pt idx="102">
                  <c:v>0</c:v>
                </c:pt>
                <c:pt idx="103">
                  <c:v>0</c:v>
                </c:pt>
                <c:pt idx="104">
                  <c:v>0.1340469078340282</c:v>
                </c:pt>
                <c:pt idx="105">
                  <c:v>0</c:v>
                </c:pt>
                <c:pt idx="106">
                  <c:v>0.1299184326650446</c:v>
                </c:pt>
                <c:pt idx="107">
                  <c:v>0</c:v>
                </c:pt>
                <c:pt idx="108">
                  <c:v>0</c:v>
                </c:pt>
                <c:pt idx="109">
                  <c:v>0.12087739139793673</c:v>
                </c:pt>
                <c:pt idx="110">
                  <c:v>0</c:v>
                </c:pt>
                <c:pt idx="111">
                  <c:v>9.9566491581255911E-2</c:v>
                </c:pt>
                <c:pt idx="112">
                  <c:v>0</c:v>
                </c:pt>
                <c:pt idx="113">
                  <c:v>0</c:v>
                </c:pt>
                <c:pt idx="114">
                  <c:v>9.4838303300627591E-2</c:v>
                </c:pt>
                <c:pt idx="115">
                  <c:v>0</c:v>
                </c:pt>
                <c:pt idx="116">
                  <c:v>0.10489421653542612</c:v>
                </c:pt>
                <c:pt idx="117">
                  <c:v>0</c:v>
                </c:pt>
                <c:pt idx="118">
                  <c:v>0</c:v>
                </c:pt>
                <c:pt idx="119">
                  <c:v>0.14352604491055468</c:v>
                </c:pt>
                <c:pt idx="120">
                  <c:v>0</c:v>
                </c:pt>
                <c:pt idx="121">
                  <c:v>0</c:v>
                </c:pt>
                <c:pt idx="122">
                  <c:v>0.18697851513221389</c:v>
                </c:pt>
                <c:pt idx="123">
                  <c:v>0</c:v>
                </c:pt>
                <c:pt idx="124">
                  <c:v>0.23282948492424627</c:v>
                </c:pt>
                <c:pt idx="125">
                  <c:v>0</c:v>
                </c:pt>
                <c:pt idx="126">
                  <c:v>0</c:v>
                </c:pt>
                <c:pt idx="127">
                  <c:v>0.29800748450432363</c:v>
                </c:pt>
                <c:pt idx="128">
                  <c:v>0</c:v>
                </c:pt>
                <c:pt idx="129">
                  <c:v>0.37236555857656795</c:v>
                </c:pt>
                <c:pt idx="130">
                  <c:v>0</c:v>
                </c:pt>
                <c:pt idx="131">
                  <c:v>0</c:v>
                </c:pt>
                <c:pt idx="132">
                  <c:v>0.58916564185535258</c:v>
                </c:pt>
                <c:pt idx="133">
                  <c:v>0</c:v>
                </c:pt>
                <c:pt idx="134">
                  <c:v>0.66204692900660056</c:v>
                </c:pt>
                <c:pt idx="135">
                  <c:v>0</c:v>
                </c:pt>
                <c:pt idx="136">
                  <c:v>0</c:v>
                </c:pt>
                <c:pt idx="137">
                  <c:v>0.78495371146371284</c:v>
                </c:pt>
                <c:pt idx="138">
                  <c:v>0</c:v>
                </c:pt>
                <c:pt idx="139">
                  <c:v>0</c:v>
                </c:pt>
                <c:pt idx="140">
                  <c:v>0.77392985879658627</c:v>
                </c:pt>
                <c:pt idx="141">
                  <c:v>0</c:v>
                </c:pt>
                <c:pt idx="142">
                  <c:v>0.89162289531398031</c:v>
                </c:pt>
                <c:pt idx="143">
                  <c:v>0</c:v>
                </c:pt>
                <c:pt idx="144">
                  <c:v>0</c:v>
                </c:pt>
                <c:pt idx="145">
                  <c:v>1</c:v>
                </c:pt>
                <c:pt idx="146">
                  <c:v>0</c:v>
                </c:pt>
                <c:pt idx="147">
                  <c:v>0.92700402808188842</c:v>
                </c:pt>
                <c:pt idx="148">
                  <c:v>0</c:v>
                </c:pt>
                <c:pt idx="149">
                  <c:v>0</c:v>
                </c:pt>
                <c:pt idx="150">
                  <c:v>0.75485513549564109</c:v>
                </c:pt>
                <c:pt idx="151">
                  <c:v>0</c:v>
                </c:pt>
                <c:pt idx="152">
                  <c:v>0.7647497843044192</c:v>
                </c:pt>
                <c:pt idx="153">
                  <c:v>0</c:v>
                </c:pt>
                <c:pt idx="154">
                  <c:v>0</c:v>
                </c:pt>
                <c:pt idx="155">
                  <c:v>0.70356105023016347</c:v>
                </c:pt>
                <c:pt idx="156">
                  <c:v>0</c:v>
                </c:pt>
                <c:pt idx="157">
                  <c:v>0</c:v>
                </c:pt>
                <c:pt idx="158">
                  <c:v>0.50103833823537192</c:v>
                </c:pt>
                <c:pt idx="159">
                  <c:v>0</c:v>
                </c:pt>
                <c:pt idx="160">
                  <c:v>0.53404284975766225</c:v>
                </c:pt>
                <c:pt idx="161">
                  <c:v>0</c:v>
                </c:pt>
                <c:pt idx="162">
                  <c:v>0</c:v>
                </c:pt>
                <c:pt idx="163">
                  <c:v>0.69802618694322749</c:v>
                </c:pt>
                <c:pt idx="164">
                  <c:v>0</c:v>
                </c:pt>
                <c:pt idx="165">
                  <c:v>0.86482371186952045</c:v>
                </c:pt>
                <c:pt idx="166">
                  <c:v>0</c:v>
                </c:pt>
                <c:pt idx="167">
                  <c:v>0</c:v>
                </c:pt>
                <c:pt idx="168">
                  <c:v>0.79051151170402145</c:v>
                </c:pt>
                <c:pt idx="169">
                  <c:v>0</c:v>
                </c:pt>
                <c:pt idx="170">
                  <c:v>0</c:v>
                </c:pt>
                <c:pt idx="171">
                  <c:v>0.76707876726226287</c:v>
                </c:pt>
                <c:pt idx="172">
                  <c:v>0</c:v>
                </c:pt>
                <c:pt idx="173">
                  <c:v>0.85921827334143763</c:v>
                </c:pt>
                <c:pt idx="174">
                  <c:v>0</c:v>
                </c:pt>
                <c:pt idx="175">
                  <c:v>0</c:v>
                </c:pt>
                <c:pt idx="176">
                  <c:v>0.75526976503737842</c:v>
                </c:pt>
                <c:pt idx="177">
                  <c:v>0</c:v>
                </c:pt>
                <c:pt idx="178">
                  <c:v>0.68624012167171577</c:v>
                </c:pt>
                <c:pt idx="179">
                  <c:v>0</c:v>
                </c:pt>
                <c:pt idx="180">
                  <c:v>0</c:v>
                </c:pt>
                <c:pt idx="181">
                  <c:v>0.58351432942052428</c:v>
                </c:pt>
                <c:pt idx="182">
                  <c:v>0</c:v>
                </c:pt>
                <c:pt idx="183">
                  <c:v>0.48994391032709855</c:v>
                </c:pt>
                <c:pt idx="184">
                  <c:v>0</c:v>
                </c:pt>
                <c:pt idx="185">
                  <c:v>0</c:v>
                </c:pt>
                <c:pt idx="186">
                  <c:v>0.38885546367051244</c:v>
                </c:pt>
                <c:pt idx="187">
                  <c:v>0</c:v>
                </c:pt>
                <c:pt idx="188">
                  <c:v>0</c:v>
                </c:pt>
                <c:pt idx="189">
                  <c:v>0.35903389552394177</c:v>
                </c:pt>
                <c:pt idx="190">
                  <c:v>0</c:v>
                </c:pt>
                <c:pt idx="191">
                  <c:v>0.34079019568749991</c:v>
                </c:pt>
                <c:pt idx="192">
                  <c:v>0</c:v>
                </c:pt>
                <c:pt idx="193">
                  <c:v>0</c:v>
                </c:pt>
                <c:pt idx="194">
                  <c:v>0.35587388910159479</c:v>
                </c:pt>
                <c:pt idx="195">
                  <c:v>0</c:v>
                </c:pt>
                <c:pt idx="196">
                  <c:v>0.39014699058349844</c:v>
                </c:pt>
                <c:pt idx="197">
                  <c:v>0</c:v>
                </c:pt>
                <c:pt idx="198">
                  <c:v>0</c:v>
                </c:pt>
                <c:pt idx="199">
                  <c:v>0.47954288416309226</c:v>
                </c:pt>
                <c:pt idx="200">
                  <c:v>0</c:v>
                </c:pt>
                <c:pt idx="201">
                  <c:v>0.50977908185140031</c:v>
                </c:pt>
                <c:pt idx="202">
                  <c:v>0</c:v>
                </c:pt>
                <c:pt idx="203">
                  <c:v>0</c:v>
                </c:pt>
                <c:pt idx="204">
                  <c:v>0.45073583510800652</c:v>
                </c:pt>
                <c:pt idx="205">
                  <c:v>0</c:v>
                </c:pt>
                <c:pt idx="206">
                  <c:v>0</c:v>
                </c:pt>
                <c:pt idx="207">
                  <c:v>0.35940265115893366</c:v>
                </c:pt>
                <c:pt idx="208">
                  <c:v>0</c:v>
                </c:pt>
                <c:pt idx="209">
                  <c:v>0.35642790474459701</c:v>
                </c:pt>
                <c:pt idx="210">
                  <c:v>0</c:v>
                </c:pt>
                <c:pt idx="211">
                  <c:v>0</c:v>
                </c:pt>
                <c:pt idx="212">
                  <c:v>0.35031608886128612</c:v>
                </c:pt>
                <c:pt idx="213">
                  <c:v>0</c:v>
                </c:pt>
                <c:pt idx="214">
                  <c:v>0.38048347568947594</c:v>
                </c:pt>
                <c:pt idx="215">
                  <c:v>0</c:v>
                </c:pt>
                <c:pt idx="216">
                  <c:v>0</c:v>
                </c:pt>
                <c:pt idx="217">
                  <c:v>0.2056827184171385</c:v>
                </c:pt>
                <c:pt idx="218">
                  <c:v>0</c:v>
                </c:pt>
                <c:pt idx="219">
                  <c:v>0.16283049062143262</c:v>
                </c:pt>
                <c:pt idx="220">
                  <c:v>0</c:v>
                </c:pt>
                <c:pt idx="221">
                  <c:v>0</c:v>
                </c:pt>
                <c:pt idx="222">
                  <c:v>4.4074943848573758E-2</c:v>
                </c:pt>
                <c:pt idx="223">
                  <c:v>0</c:v>
                </c:pt>
                <c:pt idx="224">
                  <c:v>0</c:v>
                </c:pt>
                <c:pt idx="225">
                  <c:v>2.1610844591554611E-2</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6.1330099999999996</c:v>
                </c:pt>
                <c:pt idx="1">
                  <c:v>6.1559699999999999</c:v>
                </c:pt>
                <c:pt idx="2">
                  <c:v>6.1712100000000003</c:v>
                </c:pt>
                <c:pt idx="3">
                  <c:v>6.1809000000000003</c:v>
                </c:pt>
                <c:pt idx="4">
                  <c:v>6.1911000000000005</c:v>
                </c:pt>
                <c:pt idx="5">
                  <c:v>6.1974099999999996</c:v>
                </c:pt>
                <c:pt idx="6">
                  <c:v>6.1928000000000001</c:v>
                </c:pt>
                <c:pt idx="7">
                  <c:v>6.1865000000000006</c:v>
                </c:pt>
                <c:pt idx="8">
                  <c:v>6.1749799999999997</c:v>
                </c:pt>
                <c:pt idx="9">
                  <c:v>6.1690800000000001</c:v>
                </c:pt>
                <c:pt idx="10">
                  <c:v>6.1732399999999998</c:v>
                </c:pt>
                <c:pt idx="11">
                  <c:v>6.1775800000000007</c:v>
                </c:pt>
                <c:pt idx="12">
                  <c:v>6.1792899999999999</c:v>
                </c:pt>
                <c:pt idx="13">
                  <c:v>6.1898499999999999</c:v>
                </c:pt>
                <c:pt idx="14">
                  <c:v>6.2082700000000006</c:v>
                </c:pt>
                <c:pt idx="15">
                  <c:v>6.2215799999999994</c:v>
                </c:pt>
                <c:pt idx="16">
                  <c:v>6.2409800000000004</c:v>
                </c:pt>
                <c:pt idx="17">
                  <c:v>6.2684300000000004</c:v>
                </c:pt>
                <c:pt idx="18">
                  <c:v>6.27719</c:v>
                </c:pt>
                <c:pt idx="19">
                  <c:v>6.29392</c:v>
                </c:pt>
                <c:pt idx="20">
                  <c:v>6.311020000000001</c:v>
                </c:pt>
                <c:pt idx="21">
                  <c:v>6.3150700000000004</c:v>
                </c:pt>
                <c:pt idx="22">
                  <c:v>6.3187499999999996</c:v>
                </c:pt>
                <c:pt idx="23">
                  <c:v>6.3471299999999999</c:v>
                </c:pt>
                <c:pt idx="24">
                  <c:v>6.3224899999999993</c:v>
                </c:pt>
                <c:pt idx="25">
                  <c:v>6.1747300000000003</c:v>
                </c:pt>
              </c:numCache>
              <c:extLst xmlns:c15="http://schemas.microsoft.com/office/drawing/2012/chart"/>
            </c:numRef>
          </c:xVal>
          <c:yVal>
            <c:numRef>
              <c:f>[0]!FT_PH</c:f>
              <c:numCache>
                <c:formatCode>0.00</c:formatCode>
                <c:ptCount val="26"/>
                <c:pt idx="0">
                  <c:v>31.960799999999999</c:v>
                </c:pt>
                <c:pt idx="1">
                  <c:v>31.4421</c:v>
                </c:pt>
                <c:pt idx="2">
                  <c:v>31.0288</c:v>
                </c:pt>
                <c:pt idx="3">
                  <c:v>30.7577</c:v>
                </c:pt>
                <c:pt idx="4">
                  <c:v>30.725300000000001</c:v>
                </c:pt>
                <c:pt idx="5">
                  <c:v>30.654999999999998</c:v>
                </c:pt>
                <c:pt idx="6">
                  <c:v>30.411899999999996</c:v>
                </c:pt>
                <c:pt idx="7">
                  <c:v>30.321300000000001</c:v>
                </c:pt>
                <c:pt idx="8">
                  <c:v>29.808800000000002</c:v>
                </c:pt>
                <c:pt idx="9">
                  <c:v>29.3553</c:v>
                </c:pt>
                <c:pt idx="10">
                  <c:v>28.807700000000004</c:v>
                </c:pt>
                <c:pt idx="11">
                  <c:v>27.957100000000001</c:v>
                </c:pt>
                <c:pt idx="12">
                  <c:v>26.8276</c:v>
                </c:pt>
                <c:pt idx="13">
                  <c:v>25.624000000000002</c:v>
                </c:pt>
                <c:pt idx="14">
                  <c:v>24.795200000000001</c:v>
                </c:pt>
                <c:pt idx="15">
                  <c:v>24.278500000000001</c:v>
                </c:pt>
                <c:pt idx="16">
                  <c:v>24.5642</c:v>
                </c:pt>
                <c:pt idx="17">
                  <c:v>25.629099999999998</c:v>
                </c:pt>
                <c:pt idx="18">
                  <c:v>26.052700000000002</c:v>
                </c:pt>
                <c:pt idx="19">
                  <c:v>26.446100000000001</c:v>
                </c:pt>
                <c:pt idx="20">
                  <c:v>27.870800000000003</c:v>
                </c:pt>
                <c:pt idx="21">
                  <c:v>29.0198</c:v>
                </c:pt>
                <c:pt idx="22">
                  <c:v>30.496400000000001</c:v>
                </c:pt>
                <c:pt idx="23">
                  <c:v>33.577200000000005</c:v>
                </c:pt>
                <c:pt idx="24">
                  <c:v>32.003799999999998</c:v>
                </c:pt>
                <c:pt idx="25">
                  <c:v>24.372399999999999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6.1330099999999996</c:v>
                </c:pt>
              </c:numCache>
            </c:numRef>
          </c:xVal>
          <c:yVal>
            <c:numRef>
              <c:f>[0]!FT_PH01</c:f>
              <c:numCache>
                <c:formatCode>0.00</c:formatCode>
                <c:ptCount val="1"/>
                <c:pt idx="0">
                  <c:v>31.960799999999999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6.1330099999999996</c:v>
                </c:pt>
              </c:numCache>
            </c:numRef>
          </c:xVal>
          <c:yVal>
            <c:numRef>
              <c:f>[0]!FT_PH02</c:f>
              <c:numCache>
                <c:formatCode>0.00</c:formatCode>
                <c:ptCount val="1"/>
                <c:pt idx="0">
                  <c:v>31.960799999999999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6.1330099999999996</c:v>
                </c:pt>
              </c:numCache>
            </c:numRef>
          </c:xVal>
          <c:yVal>
            <c:numRef>
              <c:f>[0]!FT_PH03</c:f>
              <c:numCache>
                <c:formatCode>0.00</c:formatCode>
                <c:ptCount val="1"/>
                <c:pt idx="0">
                  <c:v>31.960799999999999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6.1330099999999996</c:v>
                </c:pt>
              </c:numCache>
            </c:numRef>
          </c:xVal>
          <c:yVal>
            <c:numRef>
              <c:f>[0]!FT_PH04</c:f>
              <c:numCache>
                <c:formatCode>0.00</c:formatCode>
                <c:ptCount val="1"/>
                <c:pt idx="0">
                  <c:v>31.960799999999999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6.1330099999999996</c:v>
                </c:pt>
              </c:numCache>
            </c:numRef>
          </c:xVal>
          <c:yVal>
            <c:numRef>
              <c:f>[0]!FT_PH05</c:f>
              <c:numCache>
                <c:formatCode>0.00</c:formatCode>
                <c:ptCount val="1"/>
                <c:pt idx="0">
                  <c:v>31.960799999999999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6.1330099999999996</c:v>
                </c:pt>
              </c:numCache>
            </c:numRef>
          </c:xVal>
          <c:yVal>
            <c:numRef>
              <c:f>[0]!FT_PH06</c:f>
              <c:numCache>
                <c:formatCode>0.00</c:formatCode>
                <c:ptCount val="1"/>
                <c:pt idx="0">
                  <c:v>31.960799999999999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6.1330099999999996</c:v>
                </c:pt>
              </c:numCache>
            </c:numRef>
          </c:xVal>
          <c:yVal>
            <c:numRef>
              <c:f>[0]!FT_PH07</c:f>
              <c:numCache>
                <c:formatCode>0.00</c:formatCode>
                <c:ptCount val="1"/>
                <c:pt idx="0">
                  <c:v>31.960799999999999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6.1330099999999996</c:v>
                </c:pt>
              </c:numCache>
            </c:numRef>
          </c:xVal>
          <c:yVal>
            <c:numRef>
              <c:f>[0]!FT_PH08</c:f>
              <c:numCache>
                <c:formatCode>0.00</c:formatCode>
                <c:ptCount val="1"/>
                <c:pt idx="0">
                  <c:v>31.960799999999999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6.1330099999999996</c:v>
                </c:pt>
              </c:numCache>
            </c:numRef>
          </c:xVal>
          <c:yVal>
            <c:numRef>
              <c:f>[0]!FT_PH09</c:f>
              <c:numCache>
                <c:formatCode>0.00</c:formatCode>
                <c:ptCount val="1"/>
                <c:pt idx="0">
                  <c:v>31.960799999999999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6.1330099999999996</c:v>
                </c:pt>
              </c:numCache>
            </c:numRef>
          </c:xVal>
          <c:yVal>
            <c:numRef>
              <c:f>[0]!FT_PH10</c:f>
              <c:numCache>
                <c:formatCode>0.00</c:formatCode>
                <c:ptCount val="1"/>
                <c:pt idx="0">
                  <c:v>31.960799999999999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6.1330099999999996</c:v>
                </c:pt>
              </c:numCache>
            </c:numRef>
          </c:xVal>
          <c:yVal>
            <c:numRef>
              <c:f>[0]!FT_PH11</c:f>
              <c:numCache>
                <c:formatCode>0.00</c:formatCode>
                <c:ptCount val="1"/>
                <c:pt idx="0">
                  <c:v>31.960799999999999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6.1330099999999996</c:v>
                </c:pt>
              </c:numCache>
            </c:numRef>
          </c:xVal>
          <c:yVal>
            <c:numRef>
              <c:f>[0]!FT_PH12</c:f>
              <c:numCache>
                <c:formatCode>0.00</c:formatCode>
                <c:ptCount val="1"/>
                <c:pt idx="0">
                  <c:v>31.960799999999999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6.1330099999999996</c:v>
                </c:pt>
              </c:numCache>
            </c:numRef>
          </c:xVal>
          <c:yVal>
            <c:numRef>
              <c:f>[0]!FT_PH13</c:f>
              <c:numCache>
                <c:formatCode>0.00</c:formatCode>
                <c:ptCount val="1"/>
                <c:pt idx="0">
                  <c:v>31.960799999999999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6.1330099999999996</c:v>
                </c:pt>
              </c:numCache>
            </c:numRef>
          </c:xVal>
          <c:yVal>
            <c:numRef>
              <c:f>[0]!FT_PH14</c:f>
              <c:numCache>
                <c:formatCode>0.00</c:formatCode>
                <c:ptCount val="1"/>
                <c:pt idx="0">
                  <c:v>31.960799999999999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6.1330099999999996</c:v>
                </c:pt>
              </c:numCache>
            </c:numRef>
          </c:xVal>
          <c:yVal>
            <c:numRef>
              <c:f>[0]!FT_PH15</c:f>
              <c:numCache>
                <c:formatCode>0.00</c:formatCode>
                <c:ptCount val="1"/>
                <c:pt idx="0">
                  <c:v>31.960799999999999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6.1330099999999996</c:v>
                </c:pt>
              </c:numCache>
            </c:numRef>
          </c:xVal>
          <c:yVal>
            <c:numRef>
              <c:f>[0]!FT_PH16</c:f>
              <c:numCache>
                <c:formatCode>0.00</c:formatCode>
                <c:ptCount val="1"/>
                <c:pt idx="0">
                  <c:v>31.960799999999999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6.1330099999999996</c:v>
                </c:pt>
              </c:numCache>
            </c:numRef>
          </c:xVal>
          <c:yVal>
            <c:numRef>
              <c:f>[0]!FT_PH17</c:f>
              <c:numCache>
                <c:formatCode>0.00</c:formatCode>
                <c:ptCount val="1"/>
                <c:pt idx="0">
                  <c:v>31.960799999999999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6.1330099999999996</c:v>
                </c:pt>
              </c:numCache>
            </c:numRef>
          </c:xVal>
          <c:yVal>
            <c:numRef>
              <c:f>[0]!FT_PH18</c:f>
              <c:numCache>
                <c:formatCode>0.00</c:formatCode>
                <c:ptCount val="1"/>
                <c:pt idx="0">
                  <c:v>31.960799999999999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6.1330099999999996</c:v>
                </c:pt>
              </c:numCache>
            </c:numRef>
          </c:xVal>
          <c:yVal>
            <c:numRef>
              <c:f>[0]!FT_PH19</c:f>
              <c:numCache>
                <c:formatCode>0.00</c:formatCode>
                <c:ptCount val="1"/>
                <c:pt idx="0">
                  <c:v>31.960799999999999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6.1330099999999996</c:v>
                </c:pt>
              </c:numCache>
            </c:numRef>
          </c:xVal>
          <c:yVal>
            <c:numRef>
              <c:f>[0]!FT_PH20</c:f>
              <c:numCache>
                <c:formatCode>0.00</c:formatCode>
                <c:ptCount val="1"/>
                <c:pt idx="0">
                  <c:v>31.960799999999999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6.1330099999999996</c:v>
                </c:pt>
              </c:numCache>
            </c:numRef>
          </c:xVal>
          <c:yVal>
            <c:numRef>
              <c:f>[0]!FT_PH21</c:f>
              <c:numCache>
                <c:formatCode>0.00</c:formatCode>
                <c:ptCount val="1"/>
                <c:pt idx="0">
                  <c:v>31.960799999999999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6.1330099999999996</c:v>
                </c:pt>
              </c:numCache>
            </c:numRef>
          </c:xVal>
          <c:yVal>
            <c:numRef>
              <c:f>[0]!FT_PH22</c:f>
              <c:numCache>
                <c:formatCode>0.00</c:formatCode>
                <c:ptCount val="1"/>
                <c:pt idx="0">
                  <c:v>31.960799999999999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6.1330099999999996</c:v>
                </c:pt>
              </c:numCache>
            </c:numRef>
          </c:xVal>
          <c:yVal>
            <c:numRef>
              <c:f>[0]!FT_PH23</c:f>
              <c:numCache>
                <c:formatCode>0.00</c:formatCode>
                <c:ptCount val="1"/>
                <c:pt idx="0">
                  <c:v>31.960799999999999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6.1330099999999996</c:v>
                </c:pt>
              </c:numCache>
            </c:numRef>
          </c:xVal>
          <c:yVal>
            <c:numRef>
              <c:f>[0]!FT_PH24</c:f>
              <c:numCache>
                <c:formatCode>0.00</c:formatCode>
                <c:ptCount val="1"/>
                <c:pt idx="0">
                  <c:v>31.960799999999999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6.1330099999999996</c:v>
                </c:pt>
              </c:numCache>
            </c:numRef>
          </c:xVal>
          <c:yVal>
            <c:numRef>
              <c:f>info!$H$2</c:f>
              <c:numCache>
                <c:formatCode>0.00</c:formatCode>
                <c:ptCount val="1"/>
                <c:pt idx="0">
                  <c:v>31.960799999999999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0.14766360500246881</c:v>
                </c:pt>
                <c:pt idx="1">
                  <c:v>0.20454325213210095</c:v>
                </c:pt>
                <c:pt idx="2">
                  <c:v>0.64779314286543033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0.37781399999999998</c:v>
                </c:pt>
                <c:pt idx="2">
                  <c:v>0.77868199999999999</c:v>
                </c:pt>
                <c:pt idx="3">
                  <c:v>1.1932499999999999</c:v>
                </c:pt>
                <c:pt idx="4">
                  <c:v>1.59883</c:v>
                </c:pt>
                <c:pt idx="5">
                  <c:v>2.0051700000000001</c:v>
                </c:pt>
                <c:pt idx="6">
                  <c:v>2.4169200000000002</c:v>
                </c:pt>
                <c:pt idx="7">
                  <c:v>2.8182499999999999</c:v>
                </c:pt>
                <c:pt idx="8">
                  <c:v>3.2151399999999999</c:v>
                </c:pt>
                <c:pt idx="9">
                  <c:v>3.6326999999999998</c:v>
                </c:pt>
                <c:pt idx="10">
                  <c:v>4.0281000000000002</c:v>
                </c:pt>
                <c:pt idx="11">
                  <c:v>4.4362599999999999</c:v>
                </c:pt>
                <c:pt idx="12">
                  <c:v>4.8412199999999999</c:v>
                </c:pt>
                <c:pt idx="13">
                  <c:v>5.2482899999999999</c:v>
                </c:pt>
                <c:pt idx="14">
                  <c:v>5.6565099999999999</c:v>
                </c:pt>
                <c:pt idx="15">
                  <c:v>6.0629799999999996</c:v>
                </c:pt>
                <c:pt idx="16">
                  <c:v>6.4686000000000003</c:v>
                </c:pt>
                <c:pt idx="17">
                  <c:v>6.8718500000000002</c:v>
                </c:pt>
                <c:pt idx="18">
                  <c:v>7.2783100000000003</c:v>
                </c:pt>
                <c:pt idx="19">
                  <c:v>7.6890299999999998</c:v>
                </c:pt>
                <c:pt idx="20">
                  <c:v>8.1108799999999999</c:v>
                </c:pt>
                <c:pt idx="21">
                  <c:v>8.49695</c:v>
                </c:pt>
                <c:pt idx="22">
                  <c:v>8.9192900000000002</c:v>
                </c:pt>
                <c:pt idx="23">
                  <c:v>9.3154299999999992</c:v>
                </c:pt>
                <c:pt idx="24">
                  <c:v>9.7270599999999998</c:v>
                </c:pt>
                <c:pt idx="25">
                  <c:v>10.1409</c:v>
                </c:pt>
              </c:numCache>
            </c:numRef>
          </c:xVal>
          <c:yVal>
            <c:numRef>
              <c:f>[0]!FT_E</c:f>
              <c:numCache>
                <c:formatCode>0.00</c:formatCode>
                <c:ptCount val="26"/>
                <c:pt idx="0">
                  <c:v>6.1330099999999996</c:v>
                </c:pt>
                <c:pt idx="1">
                  <c:v>6.1559699999999999</c:v>
                </c:pt>
                <c:pt idx="2">
                  <c:v>6.1712100000000003</c:v>
                </c:pt>
                <c:pt idx="3">
                  <c:v>6.1809000000000003</c:v>
                </c:pt>
                <c:pt idx="4">
                  <c:v>6.1911000000000005</c:v>
                </c:pt>
                <c:pt idx="5">
                  <c:v>6.1974099999999996</c:v>
                </c:pt>
                <c:pt idx="6">
                  <c:v>6.1928000000000001</c:v>
                </c:pt>
                <c:pt idx="7">
                  <c:v>6.1865000000000006</c:v>
                </c:pt>
                <c:pt idx="8">
                  <c:v>6.1749799999999997</c:v>
                </c:pt>
                <c:pt idx="9">
                  <c:v>6.1690800000000001</c:v>
                </c:pt>
                <c:pt idx="10">
                  <c:v>6.1732399999999998</c:v>
                </c:pt>
                <c:pt idx="11">
                  <c:v>6.1775800000000007</c:v>
                </c:pt>
                <c:pt idx="12">
                  <c:v>6.1792899999999999</c:v>
                </c:pt>
                <c:pt idx="13">
                  <c:v>6.1898499999999999</c:v>
                </c:pt>
                <c:pt idx="14">
                  <c:v>6.2082700000000006</c:v>
                </c:pt>
                <c:pt idx="15">
                  <c:v>6.2215799999999994</c:v>
                </c:pt>
                <c:pt idx="16">
                  <c:v>6.2409800000000004</c:v>
                </c:pt>
                <c:pt idx="17">
                  <c:v>6.2684300000000004</c:v>
                </c:pt>
                <c:pt idx="18">
                  <c:v>6.27719</c:v>
                </c:pt>
                <c:pt idx="19">
                  <c:v>6.29392</c:v>
                </c:pt>
                <c:pt idx="20">
                  <c:v>6.311020000000001</c:v>
                </c:pt>
                <c:pt idx="21">
                  <c:v>6.3150700000000004</c:v>
                </c:pt>
                <c:pt idx="22">
                  <c:v>6.3187499999999996</c:v>
                </c:pt>
                <c:pt idx="23">
                  <c:v>6.3471299999999999</c:v>
                </c:pt>
                <c:pt idx="24">
                  <c:v>6.3224899999999993</c:v>
                </c:pt>
                <c:pt idx="25">
                  <c:v>6.1747300000000003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6.1330099999999996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6.1330099999999996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6.1330099999999996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6.1330099999999996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6.1330099999999996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6.1330099999999996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6.1330099999999996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6.1330099999999996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6.1330099999999996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6.1330099999999996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6.1330099999999996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6.1330099999999996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6.1330099999999996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6.1330099999999996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6.1330099999999996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6.1330099999999996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6.1330099999999996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6.1330099999999996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6.1330099999999996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6.1330099999999996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6.1330099999999996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6.1330099999999996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6.1330099999999996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6.1330099999999996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0.37781399999999998</c:v>
                </c:pt>
                <c:pt idx="2">
                  <c:v>0.77868199999999999</c:v>
                </c:pt>
                <c:pt idx="3">
                  <c:v>1.1932499999999999</c:v>
                </c:pt>
                <c:pt idx="4">
                  <c:v>1.59883</c:v>
                </c:pt>
                <c:pt idx="5">
                  <c:v>2.0051700000000001</c:v>
                </c:pt>
                <c:pt idx="6">
                  <c:v>2.4169200000000002</c:v>
                </c:pt>
                <c:pt idx="7">
                  <c:v>2.8182499999999999</c:v>
                </c:pt>
                <c:pt idx="8">
                  <c:v>3.2151399999999999</c:v>
                </c:pt>
                <c:pt idx="9">
                  <c:v>3.6326999999999998</c:v>
                </c:pt>
                <c:pt idx="10">
                  <c:v>4.0281000000000002</c:v>
                </c:pt>
                <c:pt idx="11">
                  <c:v>4.4362599999999999</c:v>
                </c:pt>
                <c:pt idx="12">
                  <c:v>4.8412199999999999</c:v>
                </c:pt>
                <c:pt idx="13">
                  <c:v>5.2482899999999999</c:v>
                </c:pt>
                <c:pt idx="14">
                  <c:v>5.6565099999999999</c:v>
                </c:pt>
                <c:pt idx="15">
                  <c:v>6.0629799999999996</c:v>
                </c:pt>
                <c:pt idx="16">
                  <c:v>6.4686000000000003</c:v>
                </c:pt>
                <c:pt idx="17">
                  <c:v>6.8718500000000002</c:v>
                </c:pt>
                <c:pt idx="18">
                  <c:v>7.2783100000000003</c:v>
                </c:pt>
                <c:pt idx="19">
                  <c:v>7.6890299999999998</c:v>
                </c:pt>
                <c:pt idx="20">
                  <c:v>8.1108799999999999</c:v>
                </c:pt>
                <c:pt idx="21">
                  <c:v>8.49695</c:v>
                </c:pt>
                <c:pt idx="22">
                  <c:v>8.9192900000000002</c:v>
                </c:pt>
                <c:pt idx="23">
                  <c:v>9.3154299999999992</c:v>
                </c:pt>
                <c:pt idx="24">
                  <c:v>9.7270599999999998</c:v>
                </c:pt>
                <c:pt idx="25">
                  <c:v>10.1409</c:v>
                </c:pt>
              </c:numCache>
            </c:numRef>
          </c:xVal>
          <c:yVal>
            <c:numRef>
              <c:f>[0]!FT_PH</c:f>
              <c:numCache>
                <c:formatCode>0.00</c:formatCode>
                <c:ptCount val="26"/>
                <c:pt idx="0">
                  <c:v>31.960799999999999</c:v>
                </c:pt>
                <c:pt idx="1">
                  <c:v>31.4421</c:v>
                </c:pt>
                <c:pt idx="2">
                  <c:v>31.0288</c:v>
                </c:pt>
                <c:pt idx="3">
                  <c:v>30.7577</c:v>
                </c:pt>
                <c:pt idx="4">
                  <c:v>30.725300000000001</c:v>
                </c:pt>
                <c:pt idx="5">
                  <c:v>30.654999999999998</c:v>
                </c:pt>
                <c:pt idx="6">
                  <c:v>30.411899999999996</c:v>
                </c:pt>
                <c:pt idx="7">
                  <c:v>30.321300000000001</c:v>
                </c:pt>
                <c:pt idx="8">
                  <c:v>29.808800000000002</c:v>
                </c:pt>
                <c:pt idx="9">
                  <c:v>29.3553</c:v>
                </c:pt>
                <c:pt idx="10">
                  <c:v>28.807700000000004</c:v>
                </c:pt>
                <c:pt idx="11">
                  <c:v>27.957100000000001</c:v>
                </c:pt>
                <c:pt idx="12">
                  <c:v>26.8276</c:v>
                </c:pt>
                <c:pt idx="13">
                  <c:v>25.624000000000002</c:v>
                </c:pt>
                <c:pt idx="14">
                  <c:v>24.795200000000001</c:v>
                </c:pt>
                <c:pt idx="15">
                  <c:v>24.278500000000001</c:v>
                </c:pt>
                <c:pt idx="16">
                  <c:v>24.5642</c:v>
                </c:pt>
                <c:pt idx="17">
                  <c:v>25.629099999999998</c:v>
                </c:pt>
                <c:pt idx="18">
                  <c:v>26.052700000000002</c:v>
                </c:pt>
                <c:pt idx="19">
                  <c:v>26.446100000000001</c:v>
                </c:pt>
                <c:pt idx="20">
                  <c:v>27.870800000000003</c:v>
                </c:pt>
                <c:pt idx="21">
                  <c:v>29.0198</c:v>
                </c:pt>
                <c:pt idx="22">
                  <c:v>30.496400000000001</c:v>
                </c:pt>
                <c:pt idx="23">
                  <c:v>33.577200000000005</c:v>
                </c:pt>
                <c:pt idx="24">
                  <c:v>32.003799999999998</c:v>
                </c:pt>
                <c:pt idx="25">
                  <c:v>24.372399999999999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31.960799999999999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31.960799999999999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31.960799999999999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31.960799999999999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31.960799999999999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31.960799999999999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31.960799999999999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31.960799999999999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31.960799999999999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31.960799999999999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31.960799999999999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31.960799999999999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31.960799999999999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31.960799999999999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31.960799999999999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31.960799999999999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31.960799999999999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31.960799999999999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31.960799999999999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31.960799999999999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31.960799999999999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31.960799999999999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31.960799999999999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31.960799999999999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69.44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0.41555708013504011</c:v>
                </c:pt>
                <c:pt idx="1">
                  <c:v>0.41555708013504011</c:v>
                </c:pt>
                <c:pt idx="2">
                  <c:v>-7</c:v>
                </c:pt>
              </c:numCache>
            </c:numRef>
          </c:xVal>
          <c:yVal>
            <c:numRef>
              <c:f>'R'!$I$5:$I$7</c:f>
              <c:numCache>
                <c:formatCode>0.0_ </c:formatCode>
                <c:ptCount val="3"/>
                <c:pt idx="0">
                  <c:v>0</c:v>
                </c:pt>
                <c:pt idx="1">
                  <c:v>69.443931564603204</c:v>
                </c:pt>
                <c:pt idx="2">
                  <c:v>69.443931564603204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0.41555708013504011</c:v>
                </c:pt>
                <c:pt idx="1">
                  <c:v>0.41555708013504011</c:v>
                </c:pt>
                <c:pt idx="2">
                  <c:v>-7</c:v>
                </c:pt>
              </c:numCache>
            </c:numRef>
          </c:xVal>
          <c:yVal>
            <c:numRef>
              <c:f>'R'!$I$5:$I$7</c:f>
              <c:numCache>
                <c:formatCode>0.0_ </c:formatCode>
                <c:ptCount val="3"/>
                <c:pt idx="0">
                  <c:v>0</c:v>
                </c:pt>
                <c:pt idx="1">
                  <c:v>69.443931564603204</c:v>
                </c:pt>
                <c:pt idx="2">
                  <c:v>69.443931564603204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0.41555708013504011</c:v>
                </c:pt>
              </c:numCache>
            </c:numRef>
          </c:xVal>
          <c:yVal>
            <c:numRef>
              <c:f>'R'!$I$4</c:f>
              <c:numCache>
                <c:formatCode>0.00_ </c:formatCode>
                <c:ptCount val="1"/>
                <c:pt idx="0">
                  <c:v>69.443931564603204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32.32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32.322700000000005</c:v>
                </c:pt>
                <c:pt idx="1">
                  <c:v>32.322700000000005</c:v>
                </c:pt>
                <c:pt idx="2">
                  <c:v>0</c:v>
                </c:pt>
              </c:numCache>
            </c:numRef>
          </c:xVal>
          <c:yVal>
            <c:numRef>
              <c:f>'R2'!$I$5:$I$7</c:f>
              <c:numCache>
                <c:formatCode>0.0_ </c:formatCode>
                <c:ptCount val="3"/>
                <c:pt idx="0">
                  <c:v>0</c:v>
                </c:pt>
                <c:pt idx="1">
                  <c:v>21.293617201531319</c:v>
                </c:pt>
                <c:pt idx="2">
                  <c:v>21.293617201531319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3.03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3.0251899999999998</c:v>
                </c:pt>
                <c:pt idx="1">
                  <c:v>3.0251899999999998</c:v>
                </c:pt>
                <c:pt idx="2">
                  <c:v>0</c:v>
                </c:pt>
              </c:numCache>
            </c:numRef>
          </c:xVal>
          <c:yVal>
            <c:numRef>
              <c:f>'R3'!$I$6:$I$8</c:f>
              <c:numCache>
                <c:formatCode>0.0_ </c:formatCode>
                <c:ptCount val="3"/>
                <c:pt idx="0">
                  <c:v>0</c:v>
                </c:pt>
                <c:pt idx="1">
                  <c:v>94.275237337667463</c:v>
                </c:pt>
                <c:pt idx="2">
                  <c:v>94.275237337667463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감정변이도3.03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3</c:v>
                </c:pt>
                <c:pt idx="1">
                  <c:v>3</c:v>
                </c:pt>
                <c:pt idx="2">
                  <c:v>0</c:v>
                </c:pt>
              </c:numCache>
            </c:numRef>
          </c:xVal>
          <c:yVal>
            <c:numRef>
              <c:f>'R4'!$I$5:$I$7</c:f>
              <c:numCache>
                <c:formatCode>0.0_ </c:formatCode>
                <c:ptCount val="3"/>
                <c:pt idx="0">
                  <c:v>0</c:v>
                </c:pt>
                <c:pt idx="1">
                  <c:v>0.13498980316300932</c:v>
                </c:pt>
                <c:pt idx="2">
                  <c:v>0.13498980316300932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0.54737484028342431</c:v>
                </c:pt>
                <c:pt idx="1">
                  <c:v>0.37543849459867579</c:v>
                </c:pt>
                <c:pt idx="2">
                  <c:v>7.7186665117899872E-2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0.21840386953129248</c:v>
                </c:pt>
                <c:pt idx="1">
                  <c:v>0.30253248761886004</c:v>
                </c:pt>
                <c:pt idx="2">
                  <c:v>0.47906364284984748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(49.8 , 94.3)
충격받은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49.765214335820026</c:v>
                      </c:pt>
                    </c:numCache>
                  </c:numRef>
                </c:xVal>
                <c:yVal>
                  <c:numRef>
                    <c:extLst>
                      <c:ext uri="{02D57815-91ED-43cb-92C2-25804820EDAC}">
                        <c15:formulaRef>
                          <c15:sqref>info!$W$20:$W$21</c15:sqref>
                        </c15:formulaRef>
                      </c:ext>
                    </c:extLst>
                    <c:numCache>
                      <c:formatCode>General</c:formatCode>
                      <c:ptCount val="2"/>
                      <c:pt idx="0">
                        <c:v>50</c:v>
                      </c:pt>
                      <c:pt idx="1">
                        <c:v>94.275237337667463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(35.8 , 22.2)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35.807200000000002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77.775199999999998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msSm%5e1%5e1%5e\2025-05-07%2015_54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msSm%5e1%5e1%5e\2025-05-07%2015_54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CF103CB-881E-6B0C-5004-4F9E0FDDC9A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9892800-97A0-47D9-D485-10A67A5C5AB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45784.662800925929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msSm</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45784.662800925929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msSm</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0.41555708013504011</v>
      </c>
      <c r="I20" s="862"/>
      <c r="J20" s="311" t="str">
        <f>lang!B174</f>
        <v>정보량</v>
      </c>
      <c r="K20" s="236">
        <f ca="1">info!N9</f>
        <v>28.645753846153848</v>
      </c>
      <c r="L20" s="312" t="str">
        <f>lang!B175</f>
        <v>에너지</v>
      </c>
      <c r="M20" s="863">
        <f ca="1">info!M9</f>
        <v>6.2220184615384602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54.673900000000003</v>
      </c>
      <c r="N32" s="816"/>
      <c r="O32" s="817">
        <f>Measurement!N7</f>
        <v>61.743899999999996</v>
      </c>
      <c r="P32" s="818"/>
      <c r="Q32" s="819">
        <f>Measurement!T7</f>
        <v>70.115399999999994</v>
      </c>
      <c r="R32" s="820"/>
    </row>
    <row r="33" spans="3:18" ht="12.75" customHeight="1">
      <c r="C33" s="77"/>
      <c r="I33" s="502">
        <f>Measurement!L8</f>
        <v>3</v>
      </c>
      <c r="J33" s="139" t="str">
        <f>lang!B15</f>
        <v>스트레스</v>
      </c>
      <c r="K33" s="90" t="s">
        <v>226</v>
      </c>
      <c r="L33" s="504" t="str">
        <f>Measurement!Y8</f>
        <v>보통</v>
      </c>
      <c r="M33" s="792">
        <f>Measurement!R8</f>
        <v>18.366299999999999</v>
      </c>
      <c r="N33" s="793"/>
      <c r="O33" s="806">
        <f>Measurement!N8</f>
        <v>25.740600000000001</v>
      </c>
      <c r="P33" s="807"/>
      <c r="Q33" s="792">
        <f>Measurement!T8</f>
        <v>27.6663</v>
      </c>
      <c r="R33" s="808"/>
    </row>
    <row r="34" spans="3:18" ht="12.75" customHeight="1">
      <c r="C34" s="77"/>
      <c r="I34" s="502">
        <f>Measurement!L9</f>
        <v>4</v>
      </c>
      <c r="J34" s="139" t="str">
        <f>lang!B16</f>
        <v>불안</v>
      </c>
      <c r="K34" s="90" t="s">
        <v>227</v>
      </c>
      <c r="L34" s="504" t="str">
        <f>Measurement!Y9</f>
        <v>높음</v>
      </c>
      <c r="M34" s="792">
        <f>Measurement!R9</f>
        <v>35.314599999999999</v>
      </c>
      <c r="N34" s="793"/>
      <c r="O34" s="806">
        <f>Measurement!N9</f>
        <v>38.976599999999998</v>
      </c>
      <c r="P34" s="807"/>
      <c r="Q34" s="792">
        <f>Measurement!T9</f>
        <v>43.248899999999999</v>
      </c>
      <c r="R34" s="808"/>
    </row>
    <row r="35" spans="3:18" ht="12.75" customHeight="1">
      <c r="C35" s="77"/>
      <c r="I35" s="502">
        <f>Measurement!L10</f>
        <v>3</v>
      </c>
      <c r="J35" s="139" t="str">
        <f>lang!B17</f>
        <v>의심</v>
      </c>
      <c r="K35" s="90" t="s">
        <v>225</v>
      </c>
      <c r="L35" s="504" t="str">
        <f>Measurement!Y10</f>
        <v>보통</v>
      </c>
      <c r="M35" s="792">
        <f>Measurement!R10</f>
        <v>39.768599999999999</v>
      </c>
      <c r="N35" s="793"/>
      <c r="O35" s="806">
        <f>Measurement!N10</f>
        <v>41.610700000000001</v>
      </c>
      <c r="P35" s="807"/>
      <c r="Q35" s="792">
        <f>Measurement!T10</f>
        <v>42.245600000000003</v>
      </c>
      <c r="R35" s="808"/>
    </row>
    <row r="36" spans="3:18" ht="12.75" customHeight="1">
      <c r="C36" s="77"/>
      <c r="I36" s="502">
        <f>Measurement!L11</f>
        <v>3</v>
      </c>
      <c r="J36" s="139" t="str">
        <f>lang!B18</f>
        <v>밸런스</v>
      </c>
      <c r="K36" s="90" t="s">
        <v>2171</v>
      </c>
      <c r="L36" s="504" t="str">
        <f>Measurement!Y11</f>
        <v>보통</v>
      </c>
      <c r="M36" s="792">
        <f>Measurement!R11</f>
        <v>51.004899999999999</v>
      </c>
      <c r="N36" s="793"/>
      <c r="O36" s="806">
        <f>Measurement!N11</f>
        <v>62.019599999999997</v>
      </c>
      <c r="P36" s="807"/>
      <c r="Q36" s="792">
        <f>Measurement!T11</f>
        <v>72.749200000000002</v>
      </c>
      <c r="R36" s="808"/>
    </row>
    <row r="37" spans="3:18" ht="12.75" customHeight="1">
      <c r="C37" s="77"/>
      <c r="I37" s="502">
        <f>Measurement!L12</f>
        <v>3</v>
      </c>
      <c r="J37" s="139" t="str">
        <f>lang!B19</f>
        <v>카리스마</v>
      </c>
      <c r="K37" s="90" t="s">
        <v>229</v>
      </c>
      <c r="L37" s="504" t="str">
        <f>Measurement!Y12</f>
        <v>보통</v>
      </c>
      <c r="M37" s="792">
        <f>Measurement!R12</f>
        <v>67.921999999999997</v>
      </c>
      <c r="N37" s="793"/>
      <c r="O37" s="806">
        <f>Measurement!N12</f>
        <v>69.826300000000003</v>
      </c>
      <c r="P37" s="807"/>
      <c r="Q37" s="792">
        <f>Measurement!T12</f>
        <v>76.044200000000004</v>
      </c>
      <c r="R37" s="808"/>
    </row>
    <row r="38" spans="3:18" ht="12.75" customHeight="1">
      <c r="C38" s="77"/>
      <c r="I38" s="502">
        <f>Measurement!L13</f>
        <v>5</v>
      </c>
      <c r="J38" s="139" t="str">
        <f>lang!B20</f>
        <v>에너지</v>
      </c>
      <c r="K38" s="90" t="s">
        <v>2170</v>
      </c>
      <c r="L38" s="504" t="str">
        <f>Measurement!Y13</f>
        <v>매우 높음</v>
      </c>
      <c r="M38" s="792">
        <f>Measurement!R13</f>
        <v>45.606099999999998</v>
      </c>
      <c r="N38" s="793"/>
      <c r="O38" s="806">
        <f>Measurement!N13</f>
        <v>47.471400000000003</v>
      </c>
      <c r="P38" s="807"/>
      <c r="Q38" s="792">
        <f>Measurement!T13</f>
        <v>51.183500000000002</v>
      </c>
      <c r="R38" s="808"/>
    </row>
    <row r="39" spans="3:18" ht="12.75" customHeight="1">
      <c r="C39" s="77"/>
      <c r="I39" s="502">
        <f>Measurement!L14</f>
        <v>3</v>
      </c>
      <c r="J39" s="139" t="str">
        <f>lang!B21</f>
        <v>자기조절</v>
      </c>
      <c r="K39" s="90" t="s">
        <v>230</v>
      </c>
      <c r="L39" s="504" t="str">
        <f>Measurement!Y14</f>
        <v>보통</v>
      </c>
      <c r="M39" s="792">
        <f>Measurement!R14</f>
        <v>61.870100000000001</v>
      </c>
      <c r="N39" s="793"/>
      <c r="O39" s="806">
        <f>Measurement!N14</f>
        <v>65.724900000000005</v>
      </c>
      <c r="P39" s="807"/>
      <c r="Q39" s="792">
        <f>Measurement!T14</f>
        <v>71.798100000000005</v>
      </c>
      <c r="R39" s="808"/>
    </row>
    <row r="40" spans="3:18" ht="12.75" customHeight="1">
      <c r="C40" s="77"/>
      <c r="I40" s="502">
        <f>Measurement!L15</f>
        <v>3</v>
      </c>
      <c r="J40" s="139" t="str">
        <f>lang!B22</f>
        <v>억제</v>
      </c>
      <c r="K40" s="91" t="s">
        <v>248</v>
      </c>
      <c r="L40" s="504" t="str">
        <f>Measurement!Y15</f>
        <v>보통</v>
      </c>
      <c r="M40" s="792">
        <f>Measurement!R15</f>
        <v>13.668200000000001</v>
      </c>
      <c r="N40" s="793"/>
      <c r="O40" s="806">
        <f>Measurement!N15</f>
        <v>16.074200000000001</v>
      </c>
      <c r="P40" s="807"/>
      <c r="Q40" s="792">
        <f>Measurement!T15</f>
        <v>19.538599999999999</v>
      </c>
      <c r="R40" s="808"/>
    </row>
    <row r="41" spans="3:18" ht="12.75" customHeight="1" thickBot="1">
      <c r="C41" s="77"/>
      <c r="I41" s="502">
        <f>Measurement!L16</f>
        <v>2</v>
      </c>
      <c r="J41" s="140" t="str">
        <f>lang!B23</f>
        <v>신경성</v>
      </c>
      <c r="K41" s="92" t="s">
        <v>231</v>
      </c>
      <c r="L41" s="504" t="str">
        <f>Measurement!Y16</f>
        <v>낮음</v>
      </c>
      <c r="M41" s="794">
        <f>Measurement!R16</f>
        <v>4.48227E-2</v>
      </c>
      <c r="N41" s="795"/>
      <c r="O41" s="796">
        <f>Measurement!N16</f>
        <v>18.479800000000001</v>
      </c>
      <c r="P41" s="797"/>
      <c r="Q41" s="794">
        <f>Measurement!T16</f>
        <v>18.761500000000002</v>
      </c>
      <c r="R41" s="798"/>
    </row>
    <row r="42" spans="3:18" ht="29.25" customHeight="1" thickBot="1">
      <c r="C42" s="77"/>
      <c r="I42" s="84"/>
      <c r="J42" s="780" t="str">
        <f>lang!B215</f>
        <v>감정변이도</v>
      </c>
      <c r="K42" s="781"/>
      <c r="L42" s="319" t="str">
        <f>info!V43</f>
        <v>낮음</v>
      </c>
      <c r="M42" s="782">
        <f>info!W43</f>
        <v>8.2048199999999998</v>
      </c>
      <c r="N42" s="783"/>
      <c r="O42" s="784" t="str">
        <f>info!V44</f>
        <v>감정변화가 낮은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낮 음</v>
      </c>
      <c r="N43" s="789"/>
      <c r="O43" s="789"/>
      <c r="P43" s="789"/>
      <c r="Q43" s="789"/>
      <c r="R43" s="791"/>
    </row>
    <row r="44" spans="3:18" ht="16.5" customHeight="1">
      <c r="C44" s="799">
        <f>info!$V$36</f>
        <v>3.0251899999999998</v>
      </c>
      <c r="E44" s="249" t="s">
        <v>1072</v>
      </c>
      <c r="G44" s="289"/>
      <c r="H44" s="289"/>
      <c r="I44" s="290"/>
      <c r="J44" s="802">
        <f>info!$W$36</f>
        <v>32.322700000000005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45784.662800925929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msSm</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0.41555708013504011</v>
      </c>
      <c r="I20" s="862"/>
      <c r="J20" s="311" t="str">
        <f>lang!B174</f>
        <v>정보량</v>
      </c>
      <c r="K20" s="236">
        <f ca="1">info!N9</f>
        <v>28.645753846153848</v>
      </c>
      <c r="L20" s="312" t="str">
        <f>lang!B175</f>
        <v>에너지</v>
      </c>
      <c r="M20" s="863">
        <f ca="1">info!M9</f>
        <v>6.2220184615384602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54.673900000000003</v>
      </c>
      <c r="N32" s="816"/>
      <c r="O32" s="817">
        <f>Measurement!N7</f>
        <v>61.743899999999996</v>
      </c>
      <c r="P32" s="818"/>
      <c r="Q32" s="819">
        <f>Measurement!T7</f>
        <v>70.115399999999994</v>
      </c>
      <c r="R32" s="820"/>
    </row>
    <row r="33" spans="3:18" ht="12.75" customHeight="1">
      <c r="C33" s="77"/>
      <c r="I33" s="502">
        <f>Measurement!L8</f>
        <v>3</v>
      </c>
      <c r="J33" s="139" t="str">
        <f>lang!B15</f>
        <v>스트레스</v>
      </c>
      <c r="K33" s="90" t="s">
        <v>226</v>
      </c>
      <c r="L33" s="504" t="str">
        <f>Measurement!Y8</f>
        <v>보통</v>
      </c>
      <c r="M33" s="792">
        <f>Measurement!R8</f>
        <v>18.366299999999999</v>
      </c>
      <c r="N33" s="793"/>
      <c r="O33" s="806">
        <f>Measurement!N8</f>
        <v>25.740600000000001</v>
      </c>
      <c r="P33" s="807"/>
      <c r="Q33" s="792">
        <f>Measurement!T8</f>
        <v>27.6663</v>
      </c>
      <c r="R33" s="808"/>
    </row>
    <row r="34" spans="3:18" ht="12.75" customHeight="1">
      <c r="C34" s="77"/>
      <c r="I34" s="502">
        <f>Measurement!L9</f>
        <v>4</v>
      </c>
      <c r="J34" s="139" t="str">
        <f>lang!B16</f>
        <v>불안</v>
      </c>
      <c r="K34" s="90" t="s">
        <v>227</v>
      </c>
      <c r="L34" s="504" t="str">
        <f>Measurement!Y9</f>
        <v>높음</v>
      </c>
      <c r="M34" s="792">
        <f>Measurement!R9</f>
        <v>35.314599999999999</v>
      </c>
      <c r="N34" s="793"/>
      <c r="O34" s="806">
        <f>Measurement!N9</f>
        <v>38.976599999999998</v>
      </c>
      <c r="P34" s="807"/>
      <c r="Q34" s="792">
        <f>Measurement!T9</f>
        <v>43.248899999999999</v>
      </c>
      <c r="R34" s="808"/>
    </row>
    <row r="35" spans="3:18" ht="12.75" customHeight="1">
      <c r="C35" s="77"/>
      <c r="I35" s="502">
        <f>Measurement!L10</f>
        <v>3</v>
      </c>
      <c r="J35" s="139" t="str">
        <f>lang!B17</f>
        <v>의심</v>
      </c>
      <c r="K35" s="90" t="s">
        <v>225</v>
      </c>
      <c r="L35" s="504" t="str">
        <f>Measurement!Y10</f>
        <v>보통</v>
      </c>
      <c r="M35" s="792">
        <f>Measurement!R10</f>
        <v>39.768599999999999</v>
      </c>
      <c r="N35" s="793"/>
      <c r="O35" s="806">
        <f>Measurement!N10</f>
        <v>41.610700000000001</v>
      </c>
      <c r="P35" s="807"/>
      <c r="Q35" s="792">
        <f>Measurement!T10</f>
        <v>42.245600000000003</v>
      </c>
      <c r="R35" s="808"/>
    </row>
    <row r="36" spans="3:18" ht="12.75" customHeight="1">
      <c r="C36" s="77"/>
      <c r="I36" s="502">
        <f>Measurement!L11</f>
        <v>3</v>
      </c>
      <c r="J36" s="139" t="str">
        <f>lang!B18</f>
        <v>밸런스</v>
      </c>
      <c r="K36" s="90" t="s">
        <v>2171</v>
      </c>
      <c r="L36" s="504" t="str">
        <f>Measurement!Y11</f>
        <v>보통</v>
      </c>
      <c r="M36" s="792">
        <f>Measurement!R11</f>
        <v>51.004899999999999</v>
      </c>
      <c r="N36" s="793"/>
      <c r="O36" s="806">
        <f>Measurement!N11</f>
        <v>62.019599999999997</v>
      </c>
      <c r="P36" s="807"/>
      <c r="Q36" s="792">
        <f>Measurement!T11</f>
        <v>72.749200000000002</v>
      </c>
      <c r="R36" s="808"/>
    </row>
    <row r="37" spans="3:18" ht="12.75" customHeight="1">
      <c r="C37" s="77"/>
      <c r="I37" s="502">
        <f>Measurement!L12</f>
        <v>3</v>
      </c>
      <c r="J37" s="139" t="str">
        <f>lang!B19</f>
        <v>카리스마</v>
      </c>
      <c r="K37" s="90" t="s">
        <v>229</v>
      </c>
      <c r="L37" s="504" t="str">
        <f>Measurement!Y12</f>
        <v>보통</v>
      </c>
      <c r="M37" s="792">
        <f>Measurement!R12</f>
        <v>67.921999999999997</v>
      </c>
      <c r="N37" s="793"/>
      <c r="O37" s="806">
        <f>Measurement!N12</f>
        <v>69.826300000000003</v>
      </c>
      <c r="P37" s="807"/>
      <c r="Q37" s="792">
        <f>Measurement!T12</f>
        <v>76.044200000000004</v>
      </c>
      <c r="R37" s="808"/>
    </row>
    <row r="38" spans="3:18" ht="12.75" customHeight="1">
      <c r="C38" s="77"/>
      <c r="I38" s="502">
        <f>Measurement!L13</f>
        <v>5</v>
      </c>
      <c r="J38" s="139" t="str">
        <f>lang!B20</f>
        <v>에너지</v>
      </c>
      <c r="K38" s="90" t="s">
        <v>2170</v>
      </c>
      <c r="L38" s="504" t="str">
        <f>Measurement!Y13</f>
        <v>매우 높음</v>
      </c>
      <c r="M38" s="792">
        <f>Measurement!R13</f>
        <v>45.606099999999998</v>
      </c>
      <c r="N38" s="793"/>
      <c r="O38" s="806">
        <f>Measurement!N13</f>
        <v>47.471400000000003</v>
      </c>
      <c r="P38" s="807"/>
      <c r="Q38" s="792">
        <f>Measurement!T13</f>
        <v>51.183500000000002</v>
      </c>
      <c r="R38" s="808"/>
    </row>
    <row r="39" spans="3:18" ht="12.75" customHeight="1">
      <c r="C39" s="77"/>
      <c r="I39" s="502">
        <f>Measurement!L14</f>
        <v>3</v>
      </c>
      <c r="J39" s="139" t="str">
        <f>lang!B21</f>
        <v>자기조절</v>
      </c>
      <c r="K39" s="90" t="s">
        <v>230</v>
      </c>
      <c r="L39" s="504" t="str">
        <f>Measurement!Y14</f>
        <v>보통</v>
      </c>
      <c r="M39" s="792">
        <f>Measurement!R14</f>
        <v>61.870100000000001</v>
      </c>
      <c r="N39" s="793"/>
      <c r="O39" s="806">
        <f>Measurement!N14</f>
        <v>65.724900000000005</v>
      </c>
      <c r="P39" s="807"/>
      <c r="Q39" s="792">
        <f>Measurement!T14</f>
        <v>71.798100000000005</v>
      </c>
      <c r="R39" s="808"/>
    </row>
    <row r="40" spans="3:18" ht="12.75" customHeight="1">
      <c r="C40" s="77"/>
      <c r="I40" s="502">
        <f>Measurement!L15</f>
        <v>3</v>
      </c>
      <c r="J40" s="139" t="str">
        <f>lang!B22</f>
        <v>억제</v>
      </c>
      <c r="K40" s="91" t="s">
        <v>248</v>
      </c>
      <c r="L40" s="504" t="str">
        <f>Measurement!Y15</f>
        <v>보통</v>
      </c>
      <c r="M40" s="792">
        <f>Measurement!R15</f>
        <v>13.668200000000001</v>
      </c>
      <c r="N40" s="793"/>
      <c r="O40" s="806">
        <f>Measurement!N15</f>
        <v>16.074200000000001</v>
      </c>
      <c r="P40" s="807"/>
      <c r="Q40" s="792">
        <f>Measurement!T15</f>
        <v>19.538599999999999</v>
      </c>
      <c r="R40" s="808"/>
    </row>
    <row r="41" spans="3:18" ht="12.75" customHeight="1" thickBot="1">
      <c r="C41" s="77"/>
      <c r="I41" s="502">
        <f>Measurement!L16</f>
        <v>2</v>
      </c>
      <c r="J41" s="140" t="str">
        <f>lang!B23</f>
        <v>신경성</v>
      </c>
      <c r="K41" s="92" t="s">
        <v>231</v>
      </c>
      <c r="L41" s="504" t="str">
        <f>Measurement!Y16</f>
        <v>낮음</v>
      </c>
      <c r="M41" s="794">
        <f>Measurement!R16</f>
        <v>4.48227E-2</v>
      </c>
      <c r="N41" s="795"/>
      <c r="O41" s="796">
        <f>Measurement!N16</f>
        <v>18.479800000000001</v>
      </c>
      <c r="P41" s="797"/>
      <c r="Q41" s="794">
        <f>Measurement!T16</f>
        <v>18.761500000000002</v>
      </c>
      <c r="R41" s="798"/>
    </row>
    <row r="42" spans="3:18" ht="29.25" customHeight="1" thickBot="1">
      <c r="C42" s="77"/>
      <c r="I42" s="84"/>
      <c r="J42" s="780" t="str">
        <f>lang!B215</f>
        <v>감정변이도</v>
      </c>
      <c r="K42" s="781"/>
      <c r="L42" s="319" t="str">
        <f>info!V43</f>
        <v>낮음</v>
      </c>
      <c r="M42" s="782">
        <f>info!W43</f>
        <v>8.2048199999999998</v>
      </c>
      <c r="N42" s="783"/>
      <c r="O42" s="784" t="str">
        <f>info!V44</f>
        <v>감정변화가 낮은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낮 음</v>
      </c>
      <c r="N43" s="789"/>
      <c r="O43" s="789"/>
      <c r="P43" s="789"/>
      <c r="Q43" s="789"/>
      <c r="R43" s="791"/>
    </row>
    <row r="44" spans="3:18" ht="16.5" customHeight="1">
      <c r="C44" s="799">
        <f>info!$V$36</f>
        <v>3.0251899999999998</v>
      </c>
      <c r="E44" s="249" t="s">
        <v>1195</v>
      </c>
      <c r="G44" s="289"/>
      <c r="H44" s="289"/>
      <c r="I44" s="290"/>
      <c r="J44" s="802">
        <f>info!$W$36</f>
        <v>32.322700000000005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45784.662800925929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msSm</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(-0.11,-0.19)</v>
      </c>
      <c r="S18" s="966"/>
      <c r="T18" s="967"/>
    </row>
    <row r="19" spans="2:22" ht="16.5" customHeight="1">
      <c r="C19" s="136" t="str">
        <f>lang!B328</f>
        <v>최소값</v>
      </c>
      <c r="D19" s="105">
        <f ca="1">info!M7</f>
        <v>24.278500000000001</v>
      </c>
      <c r="E19" s="94" t="str">
        <f>lang!B330</f>
        <v>평균값</v>
      </c>
      <c r="F19" s="971">
        <f ca="1">info!N9</f>
        <v>28.645753846153848</v>
      </c>
      <c r="G19" s="972"/>
      <c r="H19" s="912" t="str">
        <f>lang!B329</f>
        <v>최대값</v>
      </c>
      <c r="I19" s="913"/>
      <c r="J19" s="105">
        <f ca="1">info!M8</f>
        <v>33.577200000000005</v>
      </c>
      <c r="K19" s="137" t="str">
        <f>lang!B328</f>
        <v>최소값</v>
      </c>
      <c r="L19" s="105">
        <f ca="1">info!M5</f>
        <v>6.1330099999999996</v>
      </c>
      <c r="M19" s="94" t="str">
        <f>lang!B330</f>
        <v>평균값</v>
      </c>
      <c r="N19" s="971">
        <f ca="1">info!M9</f>
        <v>6.2220184615384602</v>
      </c>
      <c r="O19" s="972">
        <f>info!T9</f>
        <v>1</v>
      </c>
      <c r="P19" s="94" t="str">
        <f>lang!B329</f>
        <v>최대값</v>
      </c>
      <c r="Q19" s="105">
        <f ca="1">info!M6</f>
        <v>6.3471299999999999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4.604366809830565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3.0251860000000002</v>
      </c>
      <c r="N47" s="986"/>
      <c r="O47" s="451"/>
      <c r="P47" s="491" t="s">
        <v>1101</v>
      </c>
      <c r="Q47" s="987">
        <f>hist!M3</f>
        <v>1.186164</v>
      </c>
      <c r="R47" s="986"/>
      <c r="S47" s="451"/>
      <c r="T47" s="452"/>
    </row>
    <row r="48" spans="3:20" ht="18" customHeight="1">
      <c r="C48" s="931"/>
      <c r="D48" s="910"/>
      <c r="E48" s="910"/>
      <c r="F48" s="355"/>
      <c r="G48" s="355"/>
      <c r="H48" s="356"/>
      <c r="I48" s="356"/>
      <c r="J48" s="951"/>
      <c r="K48" s="951"/>
      <c r="L48" s="936"/>
      <c r="M48" s="988">
        <f>hist!N2</f>
        <v>0.67677299999999996</v>
      </c>
      <c r="N48" s="989"/>
      <c r="O48" s="451"/>
      <c r="P48" s="491" t="s">
        <v>1102</v>
      </c>
      <c r="Q48" s="986">
        <f>hist!N3</f>
        <v>0.77641499999999997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0.45802199999999998</v>
      </c>
      <c r="N49" s="991"/>
      <c r="O49" s="453"/>
      <c r="P49" s="454" t="s">
        <v>1588</v>
      </c>
      <c r="Q49" s="992">
        <f>hist!O3</f>
        <v>0.60282100000000005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vision^msSm^1^1^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49.765214335820026</v>
      </c>
      <c r="CK4" s="422">
        <f>info!W21</f>
        <v>94.275237337667463</v>
      </c>
      <c r="CL4">
        <f>100-M!B19*100</f>
        <v>77.775199999999998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45784.662800925929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8.2048199999999998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6</v>
      </c>
      <c r="BX6" s="220">
        <f t="shared" si="0"/>
        <v>9</v>
      </c>
      <c r="BY6" s="220">
        <f t="shared" si="0"/>
        <v>2</v>
      </c>
      <c r="BZ6" s="220">
        <f t="shared" si="0"/>
        <v>1</v>
      </c>
      <c r="CA6" s="220">
        <f t="shared" si="0"/>
        <v>5</v>
      </c>
      <c r="CB6" s="220">
        <f t="shared" si="0"/>
        <v>8</v>
      </c>
      <c r="CC6" s="220">
        <f t="shared" si="0"/>
        <v>7</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61.743899999999996</v>
      </c>
      <c r="O7" s="48">
        <f>M!C5*1</f>
        <v>4.5770299999999997</v>
      </c>
      <c r="P7" s="48">
        <f>M!D5*1</f>
        <v>7.4129300000000002</v>
      </c>
      <c r="Q7" s="48">
        <f>M!E5*1</f>
        <v>20</v>
      </c>
      <c r="R7" s="48">
        <f>IF(M!B5="","",M!F5*1)</f>
        <v>54.673900000000003</v>
      </c>
      <c r="S7" s="48">
        <f>M!G5*1</f>
        <v>50</v>
      </c>
      <c r="T7" s="48">
        <f>IF(M!B5="","",M!H5*1)</f>
        <v>70.115399999999994</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4.3436188147302763</v>
      </c>
      <c r="AI7" s="98">
        <v>2.5024862326905418E-2</v>
      </c>
      <c r="AJ7" s="98">
        <v>-7.7313821231156016E-2</v>
      </c>
      <c r="AK7" s="98">
        <v>0.50012525104428274</v>
      </c>
      <c r="AL7" s="98">
        <v>-8.545985269705475E-2</v>
      </c>
      <c r="AM7" s="98">
        <f>$AH7*AI7+$AH8*AI8+$AH9*AI9+$AH10*AI10+$AH11*AI11+$AH12*AI12+$AH13*AI13+$AH14*AI14+$AH15*AI15+$AH16*AI16</f>
        <v>0.60390139962975653</v>
      </c>
      <c r="AN7" s="98">
        <f t="shared" ref="AN7:AP7" si="2">$AH7*AJ7+$AH8*AJ8+$AH9*AJ9+$AH10*AJ10+$AH11*AJ11+$AH12*AJ12+$AH13*AJ13+$AH14*AJ14+$AH15*AJ15+$AH16*AJ16</f>
        <v>2.7055156354436374</v>
      </c>
      <c r="AO7" s="98">
        <f t="shared" si="2"/>
        <v>6.1059358983719525</v>
      </c>
      <c r="AP7" s="98">
        <f t="shared" si="2"/>
        <v>-1.4528213327720712</v>
      </c>
      <c r="AQ7" s="335">
        <f>IF(SUM(N7:N16)&gt;0, 0.8608*AM7+0.333*AN7+0.104*AO7+1.129*AP7,"")</f>
        <v>0.41555708013504011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61.743899999999996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360.34999989099992</v>
      </c>
      <c r="BL7" s="56">
        <f t="shared" ref="BL7:BT7" si="3">BB7*$AY7+BB8*$AY8+BB9*$AY9+BB10*$AY10+BB11*$AY11+BB12*$AY12+BB13*$AY13+BB14</f>
        <v>354.26964890200003</v>
      </c>
      <c r="BM7" s="56">
        <f t="shared" si="3"/>
        <v>334.83588976999988</v>
      </c>
      <c r="BN7" s="56">
        <f t="shared" si="3"/>
        <v>370.52315839500005</v>
      </c>
      <c r="BO7" s="56">
        <f t="shared" si="3"/>
        <v>378.8069136360001</v>
      </c>
      <c r="BP7" s="56">
        <f t="shared" si="3"/>
        <v>355.08818380100001</v>
      </c>
      <c r="BQ7" s="56">
        <f t="shared" si="3"/>
        <v>338.94788370599997</v>
      </c>
      <c r="BR7" s="56">
        <f t="shared" si="3"/>
        <v>348.45371368899987</v>
      </c>
      <c r="BS7" s="56">
        <f t="shared" si="3"/>
        <v>368.89550223599991</v>
      </c>
      <c r="BT7" s="56">
        <f t="shared" si="3"/>
        <v>320.44339537899992</v>
      </c>
      <c r="BU7" s="56">
        <f>EXP(BK7)+EXP(BL7)+EXP(BM7)+EXP(BN7)+EXP(BO7)+EXP(BP7)+EXP(BQ7)+EXP(BR7)+EXP(BS7)+EXP(BT7)</f>
        <v>3.2650025420517728E+164</v>
      </c>
      <c r="BV7" s="56">
        <f>IF(SUM($AY$7:$AY$13)&gt;0,EXP(BK7)/$BU$7,"")</f>
        <v>9.6412419722390307E-9</v>
      </c>
      <c r="BW7" s="56">
        <f t="shared" ref="BW7:CE7" si="4">IF(SUM($AY$7:$AY$13)&gt;0,EXP(BL7)/$BU$7,"")</f>
        <v>2.2053123023898693E-11</v>
      </c>
      <c r="BX7" s="56">
        <f t="shared" si="4"/>
        <v>8.0074778597069981E-20</v>
      </c>
      <c r="BY7" s="56">
        <f t="shared" si="4"/>
        <v>2.5251058298182292E-4</v>
      </c>
      <c r="BZ7" s="56">
        <f t="shared" si="4"/>
        <v>0.99969788931679937</v>
      </c>
      <c r="CA7" s="56">
        <f t="shared" si="4"/>
        <v>4.9998305987321718E-11</v>
      </c>
      <c r="CB7" s="56">
        <f t="shared" si="4"/>
        <v>4.890035619271547E-18</v>
      </c>
      <c r="CC7" s="56">
        <f t="shared" si="4"/>
        <v>6.5711522562552144E-14</v>
      </c>
      <c r="CD7" s="56">
        <f t="shared" si="4"/>
        <v>4.9590386859804267E-5</v>
      </c>
      <c r="CE7" s="56">
        <f t="shared" si="4"/>
        <v>4.4969167915583789E-26</v>
      </c>
      <c r="CF7" s="418" t="s">
        <v>1870</v>
      </c>
      <c r="CG7" s="221">
        <f>IF(SUM($AY$7:$AY$13)&gt;0,HLOOKUP(1,$BV$6:$CE$7,2,FALSE),"")</f>
        <v>0.99969788931679937</v>
      </c>
      <c r="CH7" s="221">
        <f>IF(SUM($AY$7:$AY$13)&gt;0,HLOOKUP(2,$BV$6:$CE$7,2,FALSE),"")</f>
        <v>2.5251058298182292E-4</v>
      </c>
      <c r="CI7" s="425" t="str">
        <f>"( "&amp;IF(CG7&lt;&gt;"",ROUND(CG7*100,0),"")&amp;" , "&amp;IF(CH7&lt;&gt;"",ROUND(CH7*100,0),"")&amp;" )"</f>
        <v>( 100 , 0 )</v>
      </c>
      <c r="CJ7" s="420">
        <f>CG7</f>
        <v>0.99969788931679937</v>
      </c>
      <c r="CK7" s="420">
        <f>CH7</f>
        <v>2.5251058298182292E-4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61.743899999999996</v>
      </c>
      <c r="DJ7" s="265">
        <f>(DI7-$DB7)/$DC7</f>
        <v>3.717461003991168</v>
      </c>
      <c r="DK7" s="266">
        <f>IF(DH7=1,(DJ7-DF7)^2,0)</f>
        <v>6.6104894546177446</v>
      </c>
      <c r="DL7" s="267">
        <f>IF(DH7=1,(DJ7-DG7)^2,0)</f>
        <v>2.839655725458917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25.740600000000001</v>
      </c>
      <c r="O8" s="48">
        <f>M!C6*1</f>
        <v>2.8433000000000002</v>
      </c>
      <c r="P8" s="48">
        <f>M!D6*1</f>
        <v>11.045999999999999</v>
      </c>
      <c r="Q8" s="48">
        <f>M!E6*1</f>
        <v>20</v>
      </c>
      <c r="R8" s="48">
        <f>IF(M!B6="","",M!F6*1)</f>
        <v>18.366299999999999</v>
      </c>
      <c r="S8" s="48">
        <f>M!G6*1</f>
        <v>40</v>
      </c>
      <c r="T8" s="48">
        <f>IF(M!B6="","",M!H6*1)</f>
        <v>27.6663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-0.82255312185885576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25.740600000000001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25.740600000000001</v>
      </c>
      <c r="DJ8" s="265">
        <f t="shared" ref="DJ8:DJ14" si="8">(DI8-$DB8)/$DC8</f>
        <v>-0.87614471983922027</v>
      </c>
      <c r="DK8" s="273">
        <f t="shared" ref="DK8:DK14" si="9">IF(DH8=1,(DJ8-DF8)^2,0)</f>
        <v>0.36783602989212189</v>
      </c>
      <c r="DL8" s="274">
        <f t="shared" ref="DL8:DL14" si="10">IF(DH8=1,(DJ8-DG8)^2,0)</f>
        <v>1.3170911307922433</v>
      </c>
    </row>
    <row r="9" spans="2:119" s="5" customFormat="1" ht="24.75" customHeight="1" thickBot="1">
      <c r="B9" s="62" t="str">
        <f>CONCATENATE(M7,"
(20 ~ 50)")</f>
        <v>적극/공격성
(20 ~ 50)</v>
      </c>
      <c r="C9" s="63">
        <f>R7</f>
        <v>54.673900000000003</v>
      </c>
      <c r="D9" s="64">
        <f>N7</f>
        <v>61.743899999999996</v>
      </c>
      <c r="E9" s="65">
        <f>T7</f>
        <v>70.115399999999994</v>
      </c>
      <c r="F9" s="65">
        <f>P7</f>
        <v>7.4129300000000002</v>
      </c>
      <c r="G9" s="66" t="str">
        <f>CONCATENATE(M8,"
(20 ~ 40)")</f>
        <v>스트레스
(20 ~ 40)</v>
      </c>
      <c r="H9" s="63">
        <f>R8</f>
        <v>18.366299999999999</v>
      </c>
      <c r="I9" s="67">
        <f>N8</f>
        <v>25.740600000000001</v>
      </c>
      <c r="J9" s="63">
        <f>T8</f>
        <v>27.6663</v>
      </c>
      <c r="K9" s="68">
        <f>P8</f>
        <v>11.045999999999999</v>
      </c>
      <c r="L9" s="1">
        <f>IF(M!B7="","",IF(N9&lt;U9,1,IF(N9&lt;V9,2,IF(N9&lt;W9,3,IF(N9&lt;X9,4,5)))))</f>
        <v>4</v>
      </c>
      <c r="M9" s="162" t="str">
        <f>lang!B16</f>
        <v>불안</v>
      </c>
      <c r="N9" s="48">
        <f>IF(M!B7="","",M!B7*1)</f>
        <v>38.976599999999998</v>
      </c>
      <c r="O9" s="48">
        <f>M!C7*1</f>
        <v>1.82803</v>
      </c>
      <c r="P9" s="48">
        <f>M!D7*1</f>
        <v>4.6900899999999996</v>
      </c>
      <c r="Q9" s="48">
        <f>M!E7*1</f>
        <v>15</v>
      </c>
      <c r="R9" s="48">
        <f>IF(M!B7="","",M!F7*1)</f>
        <v>35.314599999999999</v>
      </c>
      <c r="S9" s="48">
        <f>M!G7*1</f>
        <v>40</v>
      </c>
      <c r="T9" s="48">
        <f>IF(M!B7="","",M!H7*1)</f>
        <v>43.248899999999999</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2.444784469311621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38.976599999999998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38.976599999999998</v>
      </c>
      <c r="DJ9" s="265">
        <f t="shared" si="8"/>
        <v>1.3965174415539541</v>
      </c>
      <c r="DK9" s="273">
        <f t="shared" si="9"/>
        <v>6.8366716911493111</v>
      </c>
      <c r="DL9" s="274">
        <f t="shared" si="10"/>
        <v>1.5332204477675133</v>
      </c>
      <c r="DM9"/>
      <c r="DN9"/>
    </row>
    <row r="10" spans="2:119" s="4" customFormat="1" ht="30.3" thickBot="1">
      <c r="B10" s="57" t="str">
        <f>CONCATENATE(M9,"
(15 ~ 40)")</f>
        <v>불안
(15 ~ 40)</v>
      </c>
      <c r="C10" s="17">
        <f>R9</f>
        <v>35.314599999999999</v>
      </c>
      <c r="D10" s="41">
        <f>N9</f>
        <v>38.976599999999998</v>
      </c>
      <c r="E10" s="43">
        <f>T9</f>
        <v>43.248899999999999</v>
      </c>
      <c r="F10" s="43">
        <f>P9</f>
        <v>4.6900899999999996</v>
      </c>
      <c r="G10" s="59" t="str">
        <f>CONCATENATE(M10,"
(20 ~ 50)")</f>
        <v>의심
(20 ~ 50)</v>
      </c>
      <c r="H10" s="17">
        <f>R10</f>
        <v>39.768599999999999</v>
      </c>
      <c r="I10" s="42">
        <f>N10</f>
        <v>41.610700000000001</v>
      </c>
      <c r="J10" s="17">
        <f>T10</f>
        <v>42.245600000000003</v>
      </c>
      <c r="K10" s="18">
        <f>P10</f>
        <v>1.6732199999999999</v>
      </c>
      <c r="L10" s="1">
        <f>IF(M!B8="","",IF(N10&lt;U10,1,IF(N10&lt;V10,2,IF(N10&lt;W10,3,IF(N10&lt;X10,4,5)))))</f>
        <v>3</v>
      </c>
      <c r="M10" s="162" t="str">
        <f>lang!B17</f>
        <v>의심</v>
      </c>
      <c r="N10" s="48">
        <f>IF(M!B8="","",M!B8*1)</f>
        <v>41.610700000000001</v>
      </c>
      <c r="O10" s="48">
        <f>M!C8*1</f>
        <v>0.69623999999999997</v>
      </c>
      <c r="P10" s="48">
        <f>M!D8*1</f>
        <v>1.6732199999999999</v>
      </c>
      <c r="Q10" s="48">
        <f>M!E8*1</f>
        <v>20</v>
      </c>
      <c r="R10" s="48">
        <f>IF(M!B8="","",M!F8*1)</f>
        <v>39.768599999999999</v>
      </c>
      <c r="S10" s="48">
        <f>M!G8*1</f>
        <v>50</v>
      </c>
      <c r="T10" s="48">
        <f>IF(M!B8="","",M!H8*1)</f>
        <v>42.245600000000003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3.7134907981358185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62.019599999999997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62.019599999999997</v>
      </c>
      <c r="DJ10" s="265">
        <f t="shared" si="8"/>
        <v>-0.47356524927136467</v>
      </c>
      <c r="DK10" s="273">
        <f t="shared" si="9"/>
        <v>4.6695571813892257E-2</v>
      </c>
      <c r="DL10" s="274">
        <f t="shared" si="10"/>
        <v>1.1895554647628674</v>
      </c>
      <c r="DM10"/>
      <c r="DN10"/>
    </row>
    <row r="11" spans="2:119" s="4" customFormat="1" ht="24.75" customHeight="1" thickBot="1">
      <c r="B11" s="57" t="str">
        <f>CONCATENATE(M11,"
(50 ~ 100)")</f>
        <v>밸런스
(50 ~ 100)</v>
      </c>
      <c r="C11" s="17">
        <f>R11</f>
        <v>51.004899999999999</v>
      </c>
      <c r="D11" s="42">
        <f>N11</f>
        <v>62.019599999999997</v>
      </c>
      <c r="E11" s="17">
        <f>T11</f>
        <v>72.749200000000002</v>
      </c>
      <c r="F11" s="17">
        <f>P11</f>
        <v>8.4743300000000001</v>
      </c>
      <c r="G11" s="59" t="str">
        <f>CONCATENATE(M12,"
(40 ~ 100)")</f>
        <v>카리스마
(40 ~ 100)</v>
      </c>
      <c r="H11" s="17">
        <f>R12</f>
        <v>67.921999999999997</v>
      </c>
      <c r="I11" s="42">
        <f>N12</f>
        <v>69.826300000000003</v>
      </c>
      <c r="J11" s="17">
        <f>T12</f>
        <v>76.044200000000004</v>
      </c>
      <c r="K11" s="18">
        <f>P12</f>
        <v>3.5113400000000001</v>
      </c>
      <c r="L11" s="1">
        <f>IF(M!B9="","",IF(N11&lt;U11,1,IF(N11&lt;V11,2,IF(N11&lt;W11,3,IF(N11&lt;X11,4,5)))))</f>
        <v>3</v>
      </c>
      <c r="M11" s="162" t="str">
        <f>lang!B18</f>
        <v>밸런스</v>
      </c>
      <c r="N11" s="48">
        <f>IF(M!B9="","",M!B9*1)</f>
        <v>62.019599999999997</v>
      </c>
      <c r="O11" s="48">
        <f>M!C9*1</f>
        <v>5.2557400000000003</v>
      </c>
      <c r="P11" s="48">
        <f>M!D9*1</f>
        <v>8.4743300000000001</v>
      </c>
      <c r="Q11" s="48">
        <f>M!E9*1</f>
        <v>50</v>
      </c>
      <c r="R11" s="48">
        <f>IF(M!B9="","",M!F9*1)</f>
        <v>51.004899999999999</v>
      </c>
      <c r="S11" s="48">
        <f>M!G9*1</f>
        <v>100</v>
      </c>
      <c r="T11" s="48">
        <f>IF(M!B9="","",M!H9*1)</f>
        <v>72.749200000000002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-1.8216310821417041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69.826300000000003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69.826300000000003</v>
      </c>
      <c r="DJ11" s="265">
        <f t="shared" si="8"/>
        <v>0.25597051408901794</v>
      </c>
      <c r="DK11" s="273">
        <f t="shared" si="9"/>
        <v>0.56919574891335589</v>
      </c>
      <c r="DL11" s="274">
        <f t="shared" si="10"/>
        <v>0.39985649887526209</v>
      </c>
      <c r="DM11"/>
      <c r="DN11"/>
    </row>
    <row r="12" spans="2:119" s="4" customFormat="1" ht="24.75" customHeight="1" thickBot="1">
      <c r="B12" s="57" t="str">
        <f>CONCATENATE(M13,"
(10 ~ 50)")</f>
        <v>에너지
(10 ~ 50)</v>
      </c>
      <c r="C12" s="17">
        <f>R13</f>
        <v>45.606099999999998</v>
      </c>
      <c r="D12" s="41">
        <f>N13</f>
        <v>47.471400000000003</v>
      </c>
      <c r="E12" s="43">
        <f>T13</f>
        <v>51.183500000000002</v>
      </c>
      <c r="F12" s="43">
        <f>P13</f>
        <v>2.4698899999999999</v>
      </c>
      <c r="G12" s="59" t="str">
        <f>CONCATENATE(M14,"
(50 ~ 100)")</f>
        <v>자기조절
(50 ~ 100)</v>
      </c>
      <c r="H12" s="17">
        <f>R14</f>
        <v>61.870100000000001</v>
      </c>
      <c r="I12" s="42">
        <f>N14</f>
        <v>65.724900000000005</v>
      </c>
      <c r="J12" s="17">
        <f>T14</f>
        <v>71.798100000000005</v>
      </c>
      <c r="K12" s="18">
        <f>P14</f>
        <v>3.46408</v>
      </c>
      <c r="L12" s="1">
        <f>IF(M!B10="","",IF(N12&lt;U12,1,IF(N12&lt;V12,2,IF(N12&lt;W12,3,IF(N12&lt;X12,4,5)))))</f>
        <v>3</v>
      </c>
      <c r="M12" s="162" t="str">
        <f>lang!B19</f>
        <v>카리스마</v>
      </c>
      <c r="N12" s="48">
        <f>IF(M!B10="","",M!B10*1)</f>
        <v>69.826300000000003</v>
      </c>
      <c r="O12" s="48">
        <f>M!C10*1</f>
        <v>2.4518399999999998</v>
      </c>
      <c r="P12" s="48">
        <f>M!D10*1</f>
        <v>3.5113400000000001</v>
      </c>
      <c r="Q12" s="48">
        <f>M!E10*1</f>
        <v>40</v>
      </c>
      <c r="R12" s="48">
        <f>IF(M!B10="","",M!F10*1)</f>
        <v>67.921999999999997</v>
      </c>
      <c r="S12" s="48">
        <f>M!G10*1</f>
        <v>100</v>
      </c>
      <c r="T12" s="48">
        <f>IF(M!B10="","",M!H10*1)</f>
        <v>76.044200000000004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-0.37221054390043529</v>
      </c>
      <c r="AI12" s="98">
        <v>0.31913434649697919</v>
      </c>
      <c r="AJ12" s="98">
        <v>3.8587997439955973E-2</v>
      </c>
      <c r="AK12" s="98">
        <v>1.0272327081707585E-2</v>
      </c>
      <c r="AL12" s="98">
        <v>1.9404033844491575E-2</v>
      </c>
      <c r="AM12" s="101"/>
      <c r="AN12" s="101"/>
      <c r="AO12" s="101"/>
      <c r="AP12" s="101"/>
      <c r="AX12" s="171"/>
      <c r="AY12" s="219">
        <f>N13</f>
        <v>47.471400000000003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47.471400000000003</v>
      </c>
      <c r="DJ12" s="265">
        <f t="shared" si="8"/>
        <v>4.6206424893810558</v>
      </c>
      <c r="DK12" s="273">
        <f t="shared" si="9"/>
        <v>7.4684435704431005</v>
      </c>
      <c r="DL12" s="274">
        <f t="shared" si="10"/>
        <v>18.312078597994915</v>
      </c>
      <c r="DM12"/>
      <c r="DN12"/>
    </row>
    <row r="13" spans="2:119" ht="24.75" customHeight="1" thickBot="1">
      <c r="B13" s="58" t="str">
        <f>CONCATENATE(M15,"
(10 ~ 25)")</f>
        <v>억제
(10 ~ 25)</v>
      </c>
      <c r="C13" s="44">
        <f>R15</f>
        <v>13.668200000000001</v>
      </c>
      <c r="D13" s="45">
        <f>N15</f>
        <v>16.074200000000001</v>
      </c>
      <c r="E13" s="46">
        <f>T15</f>
        <v>19.538599999999999</v>
      </c>
      <c r="F13" s="46">
        <f>P15</f>
        <v>11.496600000000001</v>
      </c>
      <c r="G13" s="60" t="str">
        <f>CONCATENATE(M16,"
(10 ~ 50)")</f>
        <v>신경성
(10 ~ 50)</v>
      </c>
      <c r="H13" s="44">
        <f>R16</f>
        <v>4.48227E-2</v>
      </c>
      <c r="I13" s="45">
        <f>N16</f>
        <v>18.479800000000001</v>
      </c>
      <c r="J13" s="46">
        <f>T16</f>
        <v>18.761500000000002</v>
      </c>
      <c r="K13" s="47">
        <f>P16</f>
        <v>27.809699999999999</v>
      </c>
      <c r="L13" s="1">
        <f>IF(M!B11="","",IF(N13&lt;U13,1,IF(N13&lt;V13,2,IF(N13&lt;W13,3,IF(N13&lt;X13,4,5)))))</f>
        <v>5</v>
      </c>
      <c r="M13" s="162" t="str">
        <f>lang!B20</f>
        <v>에너지</v>
      </c>
      <c r="N13" s="48">
        <f>IF(M!B11="","",M!B11*1)</f>
        <v>47.471400000000003</v>
      </c>
      <c r="O13" s="48">
        <f>M!C11*1</f>
        <v>1.17249</v>
      </c>
      <c r="P13" s="48">
        <f>M!D11*1</f>
        <v>2.4698899999999999</v>
      </c>
      <c r="Q13" s="48">
        <f>M!E11*1</f>
        <v>10</v>
      </c>
      <c r="R13" s="48">
        <f>IF(M!B11="","",M!F11*1)</f>
        <v>45.606099999999998</v>
      </c>
      <c r="S13" s="48">
        <f>M!G11*1</f>
        <v>50</v>
      </c>
      <c r="T13" s="48">
        <f>IF(M!B11="","",M!H11*1)</f>
        <v>51.183500000000002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6.1097886306875164</v>
      </c>
      <c r="AI13" s="98">
        <v>0.16093442074971984</v>
      </c>
      <c r="AJ13" s="98">
        <v>-1.0988594420247608E-2</v>
      </c>
      <c r="AK13" s="98">
        <v>0.37151940745754808</v>
      </c>
      <c r="AL13" s="98">
        <v>8.9062029657998948E-2</v>
      </c>
      <c r="AM13" s="96"/>
      <c r="AN13" s="96"/>
      <c r="AO13" s="96"/>
      <c r="AP13" s="96"/>
      <c r="AX13" s="171"/>
      <c r="AY13" s="219">
        <f>info!W36</f>
        <v>32.322700000000005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18.479800000000001</v>
      </c>
      <c r="DJ13" s="265">
        <f t="shared" si="8"/>
        <v>-0.93591511691914764</v>
      </c>
      <c r="DK13" s="273">
        <f>IF(DH13=1,(DJ13-DF13)^2,0)</f>
        <v>1.8926860029551167</v>
      </c>
      <c r="DL13" s="274">
        <f t="shared" si="10"/>
        <v>0.32261934850769669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65.724900000000005</v>
      </c>
      <c r="O14" s="48">
        <f>M!C12*1</f>
        <v>2.2767599999999999</v>
      </c>
      <c r="P14" s="48">
        <f>M!D12*1</f>
        <v>3.46408</v>
      </c>
      <c r="Q14" s="48">
        <f>M!E12*1</f>
        <v>50</v>
      </c>
      <c r="R14" s="48">
        <f>IF(M!B12="","",M!F12*1)</f>
        <v>61.870100000000001</v>
      </c>
      <c r="S14" s="48">
        <f>M!G12*1</f>
        <v>100</v>
      </c>
      <c r="T14" s="48">
        <f>IF(M!B12="","",M!H12*1)</f>
        <v>71.798100000000005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-1.1896011977677938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35.807200000000002</v>
      </c>
      <c r="DJ14" s="265">
        <f t="shared" si="8"/>
        <v>-1.6767624493145838</v>
      </c>
      <c r="DK14" s="279">
        <f t="shared" si="9"/>
        <v>2.5827829245277574</v>
      </c>
      <c r="DL14" s="280">
        <f t="shared" si="10"/>
        <v>0.21418445139141334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16.074200000000001</v>
      </c>
      <c r="O15" s="48">
        <f>M!C13*1</f>
        <v>1.84798</v>
      </c>
      <c r="P15" s="48">
        <f>M!D13*1</f>
        <v>11.496600000000001</v>
      </c>
      <c r="Q15" s="48">
        <f>M!E13*1</f>
        <v>10</v>
      </c>
      <c r="R15" s="48">
        <f>IF(M!B13="","",M!F13*1)</f>
        <v>13.668200000000001</v>
      </c>
      <c r="S15" s="48">
        <f>M!G13*1</f>
        <v>25</v>
      </c>
      <c r="T15" s="48">
        <f>IF(M!B13="","",M!H13*1)</f>
        <v>19.538599999999999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-1.19782714194023</v>
      </c>
      <c r="AI15" s="98">
        <v>-8.3250321124619289E-2</v>
      </c>
      <c r="AJ15" s="98">
        <v>-0.44690513063775733</v>
      </c>
      <c r="AK15" s="98">
        <v>0.12052818186953573</v>
      </c>
      <c r="AL15" s="98">
        <v>-2.4174505446491225E-2</v>
      </c>
      <c r="AM15" s="96"/>
      <c r="AN15" s="96"/>
      <c r="AO15" s="96"/>
      <c r="AP15" s="96"/>
      <c r="AX15" s="171"/>
      <c r="AY15" s="50">
        <f>SUM(AY7:AY14)</f>
        <v>338.10110000000003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26.374800994312402</v>
      </c>
      <c r="DL15" s="281">
        <f>IF(SUM($DI$7:$DI$14)&gt;0,SUM(DL7:DL14),0)</f>
        <v>26.128261665550831</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18.479800000000001</v>
      </c>
      <c r="O16" s="48">
        <f>M!C14*1</f>
        <v>5.1391900000000001</v>
      </c>
      <c r="P16" s="48">
        <f>M!D14*1</f>
        <v>27.809699999999999</v>
      </c>
      <c r="Q16" s="48">
        <f>M!E14*1</f>
        <v>10</v>
      </c>
      <c r="R16" s="48">
        <f>IF(M!B14="","",M!F14*1)</f>
        <v>4.48227E-2</v>
      </c>
      <c r="S16" s="48">
        <f>M!G14*1</f>
        <v>50</v>
      </c>
      <c r="T16" s="48">
        <f>IF(M!B14="","",M!H14*1)</f>
        <v>18.761500000000002</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-2.7335358697428433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3.7914978020711705E-2</v>
      </c>
      <c r="DL16" s="281">
        <f>IF(DL15&gt;0,1/DL15,0)</f>
        <v>3.8272733670547392E-2</v>
      </c>
      <c r="DM16" t="s">
        <v>1207</v>
      </c>
    </row>
    <row r="17" spans="2:117" ht="21" customHeight="1" thickBot="1">
      <c r="B17" s="20"/>
      <c r="C17"/>
      <c r="D17"/>
      <c r="E17"/>
      <c r="F17"/>
      <c r="G17" s="1071"/>
      <c r="H17" s="827"/>
      <c r="I17" s="827"/>
      <c r="J17" s="827"/>
      <c r="K17" s="828"/>
      <c r="M17" s="163" t="str">
        <f>lang!B7</f>
        <v>긍정감정</v>
      </c>
      <c r="N17" s="54">
        <f>SUM(N11:N14)/4</f>
        <v>61.260549999999995</v>
      </c>
      <c r="O17" s="16">
        <f>N17/(N17+N18+N19)</f>
        <v>0.50815226182131878</v>
      </c>
      <c r="P17" s="54">
        <f>SUM(P11:P14)/4</f>
        <v>4.4799100000000003</v>
      </c>
      <c r="Q17" s="16">
        <f>P17/(P17+P18+P19)</f>
        <v>0.14766360500246881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0.49765214335820029</v>
      </c>
      <c r="DL17" s="283"/>
      <c r="DM17" s="284" t="s">
        <v>1208</v>
      </c>
    </row>
    <row r="18" spans="2:117" ht="21" customHeight="1">
      <c r="B18" s="20"/>
      <c r="C18"/>
      <c r="D18"/>
      <c r="E18"/>
      <c r="F18"/>
      <c r="G18" s="1071"/>
      <c r="H18" s="827"/>
      <c r="I18" s="827"/>
      <c r="J18" s="827"/>
      <c r="K18" s="828"/>
      <c r="M18" s="163" t="str">
        <f>lang!B8</f>
        <v>부정감정</v>
      </c>
      <c r="N18" s="14">
        <f>SUM(N7:N10)/4</f>
        <v>42.017949999999999</v>
      </c>
      <c r="O18" s="16">
        <f>N18/(N17+N18+N19)</f>
        <v>0.34853615139914812</v>
      </c>
      <c r="P18" s="14">
        <f>SUM(P7:P10)/4</f>
        <v>6.2055600000000002</v>
      </c>
      <c r="Q18" s="16">
        <f>P18/(P17+P18+P19)</f>
        <v>0.20454325213210095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17.277000000000001</v>
      </c>
      <c r="O19" s="16">
        <f>N19/(N17+N18+N19)</f>
        <v>0.1433115867795331</v>
      </c>
      <c r="P19" s="14">
        <f>(P15+P16)/2</f>
        <v>19.65315</v>
      </c>
      <c r="Q19" s="16">
        <f>P19/(P17+P18+P19)</f>
        <v>0.64779314286543033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3.0251899999999998</v>
      </c>
      <c r="D24" s="34" t="str">
        <f>lang!B11</f>
        <v>편차</v>
      </c>
      <c r="E24" s="1077">
        <f>FH_info!G2*1</f>
        <v>0.67677299999999996</v>
      </c>
      <c r="F24" s="1078"/>
      <c r="G24" s="1075" t="str">
        <f>lang!B12</f>
        <v>정보(I)변화량</v>
      </c>
      <c r="H24" s="1076"/>
      <c r="I24" s="51" t="str">
        <f ca="1">CONCATENATE(info!N7,"-",info!N8)</f>
        <v>24.3-33.6</v>
      </c>
      <c r="J24" s="32" t="str">
        <f>lang!B13</f>
        <v>Kcal/분</v>
      </c>
      <c r="K24" s="31" t="str">
        <f ca="1">CONCATENATE(info!N5,"-",info!N6)</f>
        <v>6.1-6.3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35.807200000000002</v>
      </c>
      <c r="F27" s="1043"/>
      <c r="G27" s="1055" t="str">
        <f>lang!B33</f>
        <v>정서안정성</v>
      </c>
      <c r="H27" s="1056"/>
      <c r="I27" s="1057"/>
      <c r="J27" s="993">
        <f>M!B19*100</f>
        <v>22.224800000000002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6.1330099999999996</v>
      </c>
      <c r="H2" s="50">
        <f>IF(FT!B2&lt;&gt;"",FT!B2*100,"")</f>
        <v>31.960799999999999</v>
      </c>
      <c r="I2" s="50">
        <f>(IF(G2&lt;&gt;"",1,""))</f>
        <v>1</v>
      </c>
      <c r="J2" t="str">
        <f>IF(FT!B2&lt;&gt;"",FT!E2,"")</f>
        <v>0 [0.000000]</v>
      </c>
      <c r="K2">
        <f>IF(FT!B2&lt;&gt;"",IF(FT!C2&lt;&gt;"",FT!C2,F2/$M$3*$M$4),"")</f>
        <v>0</v>
      </c>
      <c r="L2" t="s">
        <v>52</v>
      </c>
      <c r="M2">
        <f>FH_info!E2</f>
        <v>4.8833399999999996</v>
      </c>
      <c r="N2" s="75">
        <f>LOOKUP(O3,A2:A1000,B2:B1000)</f>
        <v>2.7768011764705878</v>
      </c>
      <c r="O2" s="50">
        <f>MAX(C2:C1000)</f>
        <v>1</v>
      </c>
      <c r="P2" t="s">
        <v>60</v>
      </c>
      <c r="Q2" t="s">
        <v>61</v>
      </c>
      <c r="R2" t="s">
        <v>62</v>
      </c>
      <c r="S2" t="s">
        <v>63</v>
      </c>
      <c r="T2" t="s">
        <v>64</v>
      </c>
      <c r="V2" s="50">
        <f>FT!G2*10</f>
        <v>6.1559699999999999</v>
      </c>
      <c r="W2" s="50">
        <f>FT!H2*100</f>
        <v>31.4421</v>
      </c>
      <c r="Y2">
        <f>IF(I2=1,H2/G2,"")</f>
        <v>5.2112747248088622</v>
      </c>
      <c r="Z2">
        <f>AVERAGE(Y2:Y2000)</f>
        <v>4.604366809830565</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6.1559699999999999</v>
      </c>
      <c r="H3" s="50">
        <f>IF(FT!B3&lt;&gt;"",FT!B3*100,"")</f>
        <v>31.4421</v>
      </c>
      <c r="I3" s="50">
        <f t="shared" ref="I3:I66" si="2">(IF(G3&lt;&gt;"",1,""))</f>
        <v>1</v>
      </c>
      <c r="J3" t="str">
        <f>IF(FT!B3&lt;&gt;"",FT!E3,"")</f>
        <v>0 [0.377814]</v>
      </c>
      <c r="K3">
        <f>IF(FT!B3&lt;&gt;"",IF(FT!C3&lt;&gt;"",FT!C3,F3/$M$3*$M$4),"")</f>
        <v>0.37781399999999998</v>
      </c>
      <c r="L3" t="s">
        <v>53</v>
      </c>
      <c r="M3">
        <f>SUM(I2:I2005)</f>
        <v>26</v>
      </c>
      <c r="O3" s="104">
        <f>MATCH(O2,C2:C1000,0)-1</f>
        <v>145</v>
      </c>
      <c r="P3">
        <v>0</v>
      </c>
      <c r="Q3">
        <v>0</v>
      </c>
      <c r="R3">
        <f>IF(S4=0,M3,0)</f>
        <v>26</v>
      </c>
      <c r="S3">
        <f t="array" ref="S3">MAX(IF(ft_nq=0,row_n))</f>
        <v>1998</v>
      </c>
      <c r="T3">
        <f>R3-Q3</f>
        <v>26</v>
      </c>
      <c r="V3" s="50">
        <f>FT!G3*10</f>
        <v>6.3187499999999996</v>
      </c>
      <c r="W3" s="50">
        <f>FT!H3*100</f>
        <v>30.496400000000001</v>
      </c>
      <c r="Y3" s="75">
        <f t="shared" ref="Y3:Y66" si="3">IF(I3=1,H3/G3,"")</f>
        <v>5.1075784969712332</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1</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6.1712100000000003</v>
      </c>
      <c r="H4" s="50">
        <f>IF(FT!B4&lt;&gt;"",FT!B4*100,"")</f>
        <v>31.0288</v>
      </c>
      <c r="I4" s="50">
        <f t="shared" si="2"/>
        <v>1</v>
      </c>
      <c r="J4" t="str">
        <f>IF(FT!B4&lt;&gt;"",FT!E4,"")</f>
        <v>0 [0.778682]</v>
      </c>
      <c r="K4">
        <f>IF(FT!B4&lt;&gt;"",IF(FT!C4&lt;&gt;"",FT!C4,F4/$M$3*$M$4),"")</f>
        <v>0.77868199999999999</v>
      </c>
      <c r="L4" t="s">
        <v>246</v>
      </c>
      <c r="M4">
        <f>IF(M2&lt;&gt;0,M3/M2*2,0)</f>
        <v>10.64844962668993</v>
      </c>
      <c r="P4">
        <f>P3+1</f>
        <v>1</v>
      </c>
      <c r="Q4">
        <v>0</v>
      </c>
      <c r="R4">
        <f>IF(S4=1998,0,S4)</f>
        <v>0</v>
      </c>
      <c r="S4">
        <f t="array" ref="S4">MAX(IF(ft_nq=P4,row_n))</f>
        <v>0</v>
      </c>
      <c r="T4">
        <f>R4-Q4+1</f>
        <v>1</v>
      </c>
      <c r="V4" t="s">
        <v>209</v>
      </c>
      <c r="W4" s="23">
        <f>IF(ISERROR(V3-V2)=FALSE,(V3-V2)*10,0)</f>
        <v>1.627799999999997</v>
      </c>
      <c r="Y4" s="75">
        <f t="shared" si="3"/>
        <v>5.0279928895629871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0.17801822353964081</v>
      </c>
      <c r="E5" s="50">
        <f t="shared" si="1"/>
        <v>2.2569384666695371E-5</v>
      </c>
      <c r="F5">
        <f t="shared" si="6"/>
        <v>3</v>
      </c>
      <c r="G5" s="50">
        <f>IF(FT!A5&lt;&gt;"",FT!A5*10,"")</f>
        <v>6.1809000000000003</v>
      </c>
      <c r="H5" s="50">
        <f>IF(FT!B5&lt;&gt;"",FT!B5*100,"")</f>
        <v>30.7577</v>
      </c>
      <c r="I5" s="50">
        <f t="shared" si="2"/>
        <v>1</v>
      </c>
      <c r="J5" t="str">
        <f>IF(FT!B5&lt;&gt;"",FT!E5,"")</f>
        <v>0 [1.193251]</v>
      </c>
      <c r="K5">
        <f>IF(FT!B5&lt;&gt;"",IF(FT!C5&lt;&gt;"",FT!C5,F5/$M$3*$M$4),"")</f>
        <v>1.1932499999999999</v>
      </c>
      <c r="L5" t="s">
        <v>54</v>
      </c>
      <c r="M5" s="52">
        <f ca="1">IF(M3&gt;0,MIN(FT_E),0)</f>
        <v>6.1330099999999996</v>
      </c>
      <c r="N5" s="52">
        <f ca="1">IF(M3&gt;0,ROUND(M5,1),0)</f>
        <v>6.1</v>
      </c>
      <c r="P5">
        <f t="shared" ref="P5:P27" si="10">P4+1</f>
        <v>2</v>
      </c>
      <c r="Q5">
        <f>IF(S5=1998,0,R4)</f>
        <v>0</v>
      </c>
      <c r="R5">
        <f>IF(S5=1998,0,S5)</f>
        <v>0</v>
      </c>
      <c r="S5">
        <f t="array" ref="S5">MAX(IF(ft_nq=P5,row_n))</f>
        <v>0</v>
      </c>
      <c r="T5">
        <f t="shared" ref="T5:T27" si="11">R5-Q5+1</f>
        <v>1</v>
      </c>
      <c r="V5" t="s">
        <v>210</v>
      </c>
      <c r="W5" s="23">
        <f>IF(ISERROR(W3-W2)=FALSE,W3-W2,0)</f>
        <v>-0.94569999999999865</v>
      </c>
      <c r="Y5" s="75">
        <f t="shared" si="3"/>
        <v>4.9762494135158306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6.1911000000000005</v>
      </c>
      <c r="H6" s="50">
        <f>IF(FT!B6&lt;&gt;"",FT!B6*100,"")</f>
        <v>30.725300000000001</v>
      </c>
      <c r="I6" s="50">
        <f t="shared" si="2"/>
        <v>1</v>
      </c>
      <c r="J6" t="str">
        <f>IF(FT!B6&lt;&gt;"",FT!E6,"")</f>
        <v>0 [1.598830]</v>
      </c>
      <c r="K6">
        <f>IF(FT!B6&lt;&gt;"",IF(FT!C6&lt;&gt;"",FT!C6,F6/$M$3*$M$4),"")</f>
        <v>1.59883</v>
      </c>
      <c r="L6" t="s">
        <v>55</v>
      </c>
      <c r="M6" s="52">
        <f ca="1">IF(M3&gt;0,MAX(FT_E),0)</f>
        <v>6.3471299999999999</v>
      </c>
      <c r="N6" s="52">
        <f ca="1">IF(M3&gt;0,ROUND(M6,1),0)</f>
        <v>6.3</v>
      </c>
      <c r="P6">
        <f t="shared" si="10"/>
        <v>3</v>
      </c>
      <c r="Q6">
        <f t="shared" ref="Q6:Q27" si="12">IF(S6=1998,0,R5)</f>
        <v>0</v>
      </c>
      <c r="R6">
        <f t="shared" ref="R6:R27" si="13">IF(S6=1998,0,S6)</f>
        <v>0</v>
      </c>
      <c r="S6">
        <f t="array" ref="S6">MAX(IF(ft_nq=P6,row_n))</f>
        <v>0</v>
      </c>
      <c r="T6">
        <f t="shared" si="11"/>
        <v>1</v>
      </c>
      <c r="V6" t="s">
        <v>211</v>
      </c>
      <c r="W6" s="23">
        <f>IF(W4&lt;&gt;0,W5/W4,0)</f>
        <v>-0.58096817790883426</v>
      </c>
      <c r="Y6" s="75">
        <f t="shared" si="3"/>
        <v>4.962817592996398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6.1974099999999996</v>
      </c>
      <c r="H7" s="50">
        <f>IF(FT!B7&lt;&gt;"",FT!B7*100,"")</f>
        <v>30.654999999999998</v>
      </c>
      <c r="I7" s="50">
        <f t="shared" si="2"/>
        <v>1</v>
      </c>
      <c r="J7" t="str">
        <f>IF(FT!B7&lt;&gt;"",FT!E7,"")</f>
        <v>0 [2.005168]</v>
      </c>
      <c r="K7">
        <f>IF(FT!B7&lt;&gt;"",IF(FT!C7&lt;&gt;"",FT!C7,F7/$M$3*$M$4),"")</f>
        <v>2.0051700000000001</v>
      </c>
      <c r="L7" t="s">
        <v>56</v>
      </c>
      <c r="M7" s="366">
        <f ca="1">IF(M3&gt;0,MIN(FT_PH),0)</f>
        <v>24.278500000000001</v>
      </c>
      <c r="N7" s="52">
        <f ca="1">IF(M3&gt;0,ROUND(M7,1),0)</f>
        <v>24.3</v>
      </c>
      <c r="P7">
        <f t="shared" si="10"/>
        <v>4</v>
      </c>
      <c r="Q7">
        <f t="shared" si="12"/>
        <v>0</v>
      </c>
      <c r="R7">
        <f t="shared" si="13"/>
        <v>0</v>
      </c>
      <c r="S7">
        <f t="array" ref="S7">MAX(IF(ft_nq=P7,row_n))</f>
        <v>0</v>
      </c>
      <c r="T7">
        <f t="shared" si="11"/>
        <v>1</v>
      </c>
      <c r="V7" t="s">
        <v>212</v>
      </c>
      <c r="W7" s="23">
        <f>DEGREES(ATAN(W6))</f>
        <v>-30.155224619888088</v>
      </c>
      <c r="X7" s="106">
        <v>0.05</v>
      </c>
      <c r="Y7" s="75">
        <f t="shared" si="3"/>
        <v>4.9464211662613895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8.0723255071272169E-4</v>
      </c>
      <c r="D8" s="50">
        <f>IF(hist!$D$2&gt;0,hist!B8/hist!$D$2,0)</f>
        <v>0.18829366866364908</v>
      </c>
      <c r="E8" s="50">
        <f t="shared" si="1"/>
        <v>4.1969484184793039E-5</v>
      </c>
      <c r="F8">
        <f t="shared" si="6"/>
        <v>6</v>
      </c>
      <c r="G8" s="50">
        <f>IF(FT!A8&lt;&gt;"",FT!A8*10,"")</f>
        <v>6.1928000000000001</v>
      </c>
      <c r="H8" s="50">
        <f>IF(FT!B8&lt;&gt;"",FT!B8*100,"")</f>
        <v>30.411899999999996</v>
      </c>
      <c r="I8" s="50">
        <f t="shared" si="2"/>
        <v>1</v>
      </c>
      <c r="J8" t="str">
        <f>IF(FT!B8&lt;&gt;"",FT!E8,"")</f>
        <v>0 [2.416921]</v>
      </c>
      <c r="K8">
        <f>IF(FT!B8&lt;&gt;"",IF(FT!C8&lt;&gt;"",FT!C8,F8/$M$3*$M$4),"")</f>
        <v>2.4169200000000002</v>
      </c>
      <c r="L8" t="s">
        <v>57</v>
      </c>
      <c r="M8" s="52">
        <f ca="1">IF(M3&gt;0,MAX(FT_PH),0)</f>
        <v>33.577200000000005</v>
      </c>
      <c r="N8" s="52">
        <f ca="1">IF(M3&gt;0,ROUND(M8,1),0)</f>
        <v>33.6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4.9108480816431976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6.1865000000000006</v>
      </c>
      <c r="H9" s="50">
        <f>IF(FT!B9&lt;&gt;"",FT!B9*100,"")</f>
        <v>30.321300000000001</v>
      </c>
      <c r="I9" s="50">
        <f t="shared" si="2"/>
        <v>1</v>
      </c>
      <c r="J9" t="str">
        <f>IF(FT!B9&lt;&gt;"",FT!E9,"")</f>
        <v>0 [2.818248]</v>
      </c>
      <c r="K9">
        <f>IF(FT!B9&lt;&gt;"",IF(FT!C9&lt;&gt;"",FT!C9,F9/$M$3*$M$4),"")</f>
        <v>2.8182499999999999</v>
      </c>
      <c r="L9" t="s">
        <v>222</v>
      </c>
      <c r="M9" s="74">
        <f ca="1">IF(M3&gt;0,IF(COUNT(FT_E)&gt;0,AVERAGE(FT_E),0),0)</f>
        <v>6.2220184615384602</v>
      </c>
      <c r="N9" s="365">
        <f ca="1">IF(M3&gt;0,IF(COUNT(FT_PH)&gt;0,AVERAGE(FT_PH),0),0)</f>
        <v>28.645753846153848</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4.9012042350278833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3.8977823494850653E-3</v>
      </c>
      <c r="D10" s="50">
        <f>IF(hist!$D$2&gt;0,hist!B10/hist!$D$2,0)</f>
        <v>0.19969087282431855</v>
      </c>
      <c r="E10" s="50">
        <f t="shared" si="1"/>
        <v>6.2813042761581978E-5</v>
      </c>
      <c r="F10">
        <f t="shared" si="6"/>
        <v>8</v>
      </c>
      <c r="G10" s="50">
        <f>IF(FT!A10&lt;&gt;"",FT!A10*10,"")</f>
        <v>6.1749799999999997</v>
      </c>
      <c r="H10" s="50">
        <f>IF(FT!B10&lt;&gt;"",FT!B10*100,"")</f>
        <v>29.808800000000002</v>
      </c>
      <c r="I10" s="50">
        <f t="shared" si="2"/>
        <v>1</v>
      </c>
      <c r="J10" t="str">
        <f>IF(FT!B10&lt;&gt;"",FT!E10,"")</f>
        <v>0 [3.215142]</v>
      </c>
      <c r="K10">
        <f>IF(FT!B10&lt;&gt;"",IF(FT!C10&lt;&gt;"",FT!C10,F10/$M$3*$M$4),"")</f>
        <v>3.2151399999999999</v>
      </c>
      <c r="M10">
        <v>2</v>
      </c>
      <c r="P10">
        <f t="shared" si="10"/>
        <v>7</v>
      </c>
      <c r="Q10">
        <f t="shared" si="12"/>
        <v>0</v>
      </c>
      <c r="R10">
        <f t="shared" si="13"/>
        <v>0</v>
      </c>
      <c r="S10">
        <f t="array" ref="S10">MAX(IF(ft_nq=P10,row_n))</f>
        <v>0</v>
      </c>
      <c r="T10">
        <f t="shared" si="11"/>
        <v>1</v>
      </c>
      <c r="V10" t="s">
        <v>215</v>
      </c>
      <c r="X10" s="71" t="s">
        <v>270</v>
      </c>
      <c r="Y10" s="75">
        <f t="shared" si="3"/>
        <v>4.8273516675357655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6.1690800000000001</v>
      </c>
      <c r="H11" s="50">
        <f>IF(FT!B11&lt;&gt;"",FT!B11*100,"")</f>
        <v>29.3553</v>
      </c>
      <c r="I11" s="50">
        <f t="shared" si="2"/>
        <v>1</v>
      </c>
      <c r="J11" t="str">
        <f>IF(FT!B11&lt;&gt;"",FT!E11,"")</f>
        <v>0 [3.632697]</v>
      </c>
      <c r="K11">
        <f>IF(FT!B11&lt;&gt;"",IF(FT!C11&lt;&gt;"",FT!C11,F11/$M$3*$M$4),"")</f>
        <v>3.6326999999999998</v>
      </c>
      <c r="M11" s="49">
        <f>MAX(IF(ft_nq=1,row_n))</f>
        <v>0</v>
      </c>
      <c r="P11">
        <f t="shared" si="10"/>
        <v>8</v>
      </c>
      <c r="Q11">
        <f t="shared" si="12"/>
        <v>0</v>
      </c>
      <c r="R11">
        <f t="shared" si="13"/>
        <v>0</v>
      </c>
      <c r="S11">
        <f t="array" ref="S11">MAX(IF(ft_nq=P11,row_n))</f>
        <v>0</v>
      </c>
      <c r="T11">
        <f t="shared" si="11"/>
        <v>1</v>
      </c>
      <c r="V11" s="71" t="s">
        <v>216</v>
      </c>
      <c r="W11" s="23">
        <f>FT!H11*100</f>
        <v>24.278500000000001</v>
      </c>
      <c r="Y11" s="75">
        <f t="shared" si="3"/>
        <v>4.7584566904627597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6.1732399999999998</v>
      </c>
      <c r="H12" s="50">
        <f>IF(FT!B12&lt;&gt;"",FT!B12*100,"")</f>
        <v>28.807700000000004</v>
      </c>
      <c r="I12" s="50">
        <f t="shared" si="2"/>
        <v>1</v>
      </c>
      <c r="J12" t="str">
        <f>IF(FT!B12&lt;&gt;"",FT!E12,"")</f>
        <v>0 [4.028095]</v>
      </c>
      <c r="K12">
        <f>IF(FT!B12&lt;&gt;"",IF(FT!C12&lt;&gt;"",FT!C12,F12/$M$3*$M$4),"")</f>
        <v>4.0281000000000002</v>
      </c>
      <c r="M12">
        <f>M11+1</f>
        <v>1</v>
      </c>
      <c r="P12">
        <f t="shared" si="10"/>
        <v>9</v>
      </c>
      <c r="Q12">
        <f t="shared" si="12"/>
        <v>0</v>
      </c>
      <c r="R12">
        <f t="shared" si="13"/>
        <v>0</v>
      </c>
      <c r="S12">
        <f t="array" ref="S12">MAX(IF(ft_nq=P12,row_n))</f>
        <v>0</v>
      </c>
      <c r="T12">
        <f t="shared" si="11"/>
        <v>1</v>
      </c>
      <c r="V12" s="71" t="s">
        <v>217</v>
      </c>
      <c r="W12" s="23">
        <f>FT!H12*100</f>
        <v>33.577200000000005</v>
      </c>
      <c r="Y12" s="75">
        <f t="shared" si="3"/>
        <v>4.6665446345841088</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9.1332654634764289E-3</v>
      </c>
      <c r="D13" s="50">
        <f>IF(hist!$D$2&gt;0,hist!B13/hist!$D$2,0)</f>
        <v>0.27800791970587474</v>
      </c>
      <c r="E13" s="50">
        <f t="shared" si="1"/>
        <v>1.132359998636666E-4</v>
      </c>
      <c r="F13">
        <f t="shared" si="6"/>
        <v>11</v>
      </c>
      <c r="G13" s="50">
        <f>IF(FT!A13&lt;&gt;"",FT!A13*10,"")</f>
        <v>6.1775800000000007</v>
      </c>
      <c r="H13" s="50">
        <f>IF(FT!B13&lt;&gt;"",FT!B13*100,"")</f>
        <v>27.957100000000001</v>
      </c>
      <c r="I13" s="50">
        <f t="shared" si="2"/>
        <v>1</v>
      </c>
      <c r="J13" t="str">
        <f>IF(FT!B13&lt;&gt;"",FT!E13,"")</f>
        <v>0 [4.436262]</v>
      </c>
      <c r="K13">
        <f>IF(FT!B13&lt;&gt;"",IF(FT!C13&lt;&gt;"",FT!C13,F13/$M$3*$M$4),"")</f>
        <v>4.4362599999999999</v>
      </c>
      <c r="M13" s="49">
        <f t="array" ref="M13">MAX(IF(ft_nq=2,row_n))</f>
        <v>0</v>
      </c>
      <c r="P13">
        <f t="shared" si="10"/>
        <v>10</v>
      </c>
      <c r="Q13">
        <f t="shared" si="12"/>
        <v>0</v>
      </c>
      <c r="R13">
        <f t="shared" si="13"/>
        <v>0</v>
      </c>
      <c r="S13">
        <f t="array" ref="S13">MAX(IF(ft_nq=P13,row_n))</f>
        <v>0</v>
      </c>
      <c r="T13">
        <f t="shared" si="11"/>
        <v>1</v>
      </c>
      <c r="V13" s="71" t="s">
        <v>219</v>
      </c>
      <c r="W13">
        <f>FT!H13</f>
        <v>16</v>
      </c>
      <c r="Y13" s="75">
        <f t="shared" si="3"/>
        <v>4.5255747396229591</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6.1792899999999999</v>
      </c>
      <c r="H14" s="50">
        <f>IF(FT!B14&lt;&gt;"",FT!B14*100,"")</f>
        <v>26.8276</v>
      </c>
      <c r="I14" s="50">
        <f t="shared" si="2"/>
        <v>1</v>
      </c>
      <c r="J14" t="str">
        <f>IF(FT!B14&lt;&gt;"",FT!E14,"")</f>
        <v>0 [4.841223]</v>
      </c>
      <c r="K14">
        <f>IF(FT!B14&lt;&gt;"",IF(FT!C14&lt;&gt;"",FT!C14,F14/$M$3*$M$4),"")</f>
        <v>4.8412199999999999</v>
      </c>
      <c r="M14">
        <f>M13+1</f>
        <v>1</v>
      </c>
      <c r="P14">
        <f t="shared" si="10"/>
        <v>11</v>
      </c>
      <c r="Q14">
        <f t="shared" si="12"/>
        <v>0</v>
      </c>
      <c r="R14">
        <f t="shared" si="13"/>
        <v>0</v>
      </c>
      <c r="S14">
        <f t="array" ref="S14">MAX(IF(ft_nq=P14,row_n))</f>
        <v>0</v>
      </c>
      <c r="T14">
        <f t="shared" si="11"/>
        <v>1</v>
      </c>
      <c r="V14" s="71" t="s">
        <v>221</v>
      </c>
      <c r="W14">
        <f>FT!H14</f>
        <v>24</v>
      </c>
      <c r="Y14" s="75">
        <f t="shared" si="3"/>
        <v>4.3415343834000346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2.3986407208555129E-2</v>
      </c>
      <c r="D15" s="50">
        <f>IF(hist!$D$2&gt;0,hist!B15/hist!$D$2,0)</f>
        <v>0.34931472207835895</v>
      </c>
      <c r="E15" s="50">
        <f t="shared" si="1"/>
        <v>1.6600247721131861E-4</v>
      </c>
      <c r="F15">
        <f t="shared" si="6"/>
        <v>13</v>
      </c>
      <c r="G15" s="50">
        <f>IF(FT!A15&lt;&gt;"",FT!A15*10,"")</f>
        <v>6.1898499999999999</v>
      </c>
      <c r="H15" s="50">
        <f>IF(FT!B15&lt;&gt;"",FT!B15*100,"")</f>
        <v>25.624000000000002</v>
      </c>
      <c r="I15" s="50">
        <f t="shared" si="2"/>
        <v>1</v>
      </c>
      <c r="J15" t="str">
        <f>IF(FT!B15&lt;&gt;"",FT!E15,"")</f>
        <v>0 [5.248293]</v>
      </c>
      <c r="K15">
        <f>IF(FT!B15&lt;&gt;"",IF(FT!C15&lt;&gt;"",FT!C15,F15/$M$3*$M$4),"")</f>
        <v>5.2482899999999999</v>
      </c>
      <c r="M15">
        <f t="array" ref="M15">MAX(IF(ft_nq=3,row_n))</f>
        <v>0</v>
      </c>
      <c r="P15">
        <f t="shared" si="10"/>
        <v>12</v>
      </c>
      <c r="Q15">
        <f t="shared" si="12"/>
        <v>0</v>
      </c>
      <c r="R15">
        <f t="shared" si="13"/>
        <v>0</v>
      </c>
      <c r="S15">
        <f t="array" ref="S15">MAX(IF(ft_nq=P15,row_n))</f>
        <v>0</v>
      </c>
      <c r="T15">
        <f t="shared" si="11"/>
        <v>1</v>
      </c>
      <c r="V15" s="23">
        <f>FT!G15*10</f>
        <v>6.2215799999999994</v>
      </c>
      <c r="W15" s="23">
        <f>FT!H15*100</f>
        <v>24.278500000000001</v>
      </c>
      <c r="Y15" s="75">
        <f t="shared" si="3"/>
        <v>4.139680283044016</v>
      </c>
      <c r="AF15" t="s">
        <v>2309</v>
      </c>
      <c r="AQ15">
        <v>10</v>
      </c>
      <c r="AR15" s="437" t="str">
        <f>IF(AG3=1,AR3,"")</f>
        <v/>
      </c>
      <c r="AS15" s="438" t="str">
        <f t="shared" ref="AS15:BA24" si="14">IF(AH3=1,AS3,"")</f>
        <v/>
      </c>
      <c r="AT15" s="438" t="str">
        <f t="shared" si="14"/>
        <v/>
      </c>
      <c r="AU15" s="438" t="str">
        <f t="shared" si="14"/>
        <v/>
      </c>
      <c r="AV15" s="439" t="str">
        <f t="shared" si="14"/>
        <v>충격받은</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6.2082700000000006</v>
      </c>
      <c r="H16" s="50">
        <f>IF(FT!B16&lt;&gt;"",FT!B16*100,"")</f>
        <v>24.795200000000001</v>
      </c>
      <c r="I16" s="50">
        <f t="shared" si="2"/>
        <v>1</v>
      </c>
      <c r="J16" t="str">
        <f>IF(FT!B16&lt;&gt;"",FT!E16,"")</f>
        <v>0 [5.656508]</v>
      </c>
      <c r="K16">
        <f>IF(FT!B16&lt;&gt;"",IF(FT!C16&lt;&gt;"",FT!C16,F16/$M$3*$M$4),"")</f>
        <v>5.6565099999999999</v>
      </c>
      <c r="M16">
        <f>M15+1</f>
        <v>1</v>
      </c>
      <c r="P16">
        <f t="shared" si="10"/>
        <v>13</v>
      </c>
      <c r="Q16">
        <f t="shared" si="12"/>
        <v>0</v>
      </c>
      <c r="R16">
        <f t="shared" si="13"/>
        <v>0</v>
      </c>
      <c r="S16">
        <f t="array" ref="S16">MAX(IF(ft_nq=P16,row_n))</f>
        <v>0</v>
      </c>
      <c r="T16">
        <f t="shared" si="11"/>
        <v>1</v>
      </c>
      <c r="V16" s="23">
        <f>FT!G16*10</f>
        <v>6.3471299999999999</v>
      </c>
      <c r="W16" s="23">
        <f>FT!H16*100</f>
        <v>33.577200000000005</v>
      </c>
      <c r="Y16" s="75">
        <f t="shared" si="3"/>
        <v>3.9938984612460473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6.2215799999999994</v>
      </c>
      <c r="H17" s="50">
        <f>IF(FT!B17&lt;&gt;"",FT!B17*100,"")</f>
        <v>24.278500000000001</v>
      </c>
      <c r="I17" s="50">
        <f t="shared" si="2"/>
        <v>1</v>
      </c>
      <c r="J17" t="str">
        <f>IF(FT!B17&lt;&gt;"",FT!E17,"")</f>
        <v>0 [6.062980]</v>
      </c>
      <c r="K17">
        <f>IF(FT!B17&lt;&gt;"",IF(FT!C17&lt;&gt;"",FT!C17,F17/$M$3*$M$4),"")</f>
        <v>6.0629799999999996</v>
      </c>
      <c r="M17">
        <f>M3+1</f>
        <v>27</v>
      </c>
      <c r="P17">
        <f t="shared" si="10"/>
        <v>14</v>
      </c>
      <c r="Q17">
        <f t="shared" si="12"/>
        <v>0</v>
      </c>
      <c r="R17">
        <f t="shared" si="13"/>
        <v>0</v>
      </c>
      <c r="S17">
        <f t="array" ref="S17">MAX(IF(ft_nq=P17,row_n))</f>
        <v>0</v>
      </c>
      <c r="T17">
        <f t="shared" si="11"/>
        <v>1</v>
      </c>
      <c r="V17" t="s">
        <v>1522</v>
      </c>
      <c r="Y17" s="75">
        <f t="shared" si="3"/>
        <v>3.9023045592920131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1.6006288253986176E-2</v>
      </c>
      <c r="D18" s="50">
        <f>IF(hist!$D$2&gt;0,hist!B18/hist!$D$2,0)</f>
        <v>0.53240298951320542</v>
      </c>
      <c r="E18" s="50">
        <f t="shared" si="1"/>
        <v>2.9011489761363837E-4</v>
      </c>
      <c r="F18">
        <f t="shared" si="6"/>
        <v>16</v>
      </c>
      <c r="G18" s="50">
        <f>IF(FT!A18&lt;&gt;"",FT!A18*10,"")</f>
        <v>6.2409800000000004</v>
      </c>
      <c r="H18" s="50">
        <f>IF(FT!B18&lt;&gt;"",FT!B18*100,"")</f>
        <v>24.5642</v>
      </c>
      <c r="I18" s="50">
        <f t="shared" si="2"/>
        <v>1</v>
      </c>
      <c r="J18" t="str">
        <f>IF(FT!B18&lt;&gt;"",FT!E18,"")</f>
        <v>0 [6.468600]</v>
      </c>
      <c r="K18">
        <f>IF(FT!B18&lt;&gt;"",IF(FT!C18&lt;&gt;"",FT!C18,F18/$M$3*$M$4),"")</f>
        <v>6.4686000000000003</v>
      </c>
      <c r="P18">
        <f t="shared" si="10"/>
        <v>15</v>
      </c>
      <c r="Q18">
        <f t="shared" si="12"/>
        <v>0</v>
      </c>
      <c r="R18">
        <f t="shared" si="13"/>
        <v>0</v>
      </c>
      <c r="S18">
        <f t="array" ref="S18">MAX(IF(ft_nq=P18,row_n))</f>
        <v>0</v>
      </c>
      <c r="T18">
        <f t="shared" si="11"/>
        <v>1</v>
      </c>
      <c r="V18" s="288">
        <f>M!B18*100</f>
        <v>35.807200000000002</v>
      </c>
      <c r="W18" s="287">
        <f>100-M!B19*100</f>
        <v>77.775199999999998</v>
      </c>
      <c r="X18" t="str">
        <f>"(" &amp; ROUND(V18,1) &amp; " , " &amp; ROUND(100-W18,1) &amp; ")"</f>
        <v>(35.8 , 22.2)</v>
      </c>
      <c r="Y18" s="75">
        <f t="shared" si="3"/>
        <v>3.9359523664552678</v>
      </c>
      <c r="Z18">
        <f>M!B18*100</f>
        <v>35.807200000000002</v>
      </c>
      <c r="AA18">
        <f>100-M!B19*100</f>
        <v>77.775199999999998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6.2684300000000004</v>
      </c>
      <c r="H19" s="50">
        <f>IF(FT!B19&lt;&gt;"",FT!B19*100,"")</f>
        <v>25.629099999999998</v>
      </c>
      <c r="I19" s="50">
        <f t="shared" si="2"/>
        <v>1</v>
      </c>
      <c r="J19" t="str">
        <f>IF(FT!B19&lt;&gt;"",FT!E19,"")</f>
        <v>0 [6.871852]</v>
      </c>
      <c r="K19">
        <f>IF(FT!B19&lt;&gt;"",IF(FT!C19&lt;&gt;"",FT!C19,F19/$M$3*$M$4),"")</f>
        <v>6.8718500000000002</v>
      </c>
      <c r="P19">
        <f t="shared" si="10"/>
        <v>16</v>
      </c>
      <c r="Q19">
        <f t="shared" si="12"/>
        <v>0</v>
      </c>
      <c r="R19">
        <f t="shared" si="13"/>
        <v>0</v>
      </c>
      <c r="S19">
        <f t="array" ref="S19">MAX(IF(ft_nq=P19,row_n))</f>
        <v>0</v>
      </c>
      <c r="T19">
        <f t="shared" si="11"/>
        <v>1</v>
      </c>
      <c r="V19" t="s">
        <v>1521</v>
      </c>
      <c r="Y19" s="75">
        <f t="shared" si="3"/>
        <v>4.0885995376832787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6.27719</v>
      </c>
      <c r="H20" s="50">
        <f>IF(FT!B20&lt;&gt;"",FT!B20*100,"")</f>
        <v>26.052700000000002</v>
      </c>
      <c r="I20" s="50">
        <f t="shared" si="2"/>
        <v>1</v>
      </c>
      <c r="J20" t="str">
        <f>IF(FT!B20&lt;&gt;"",FT!E20,"")</f>
        <v>0 [7.278312]</v>
      </c>
      <c r="K20">
        <f>IF(FT!B20&lt;&gt;"",IF(FT!C20&lt;&gt;"",FT!C20,F20/$M$3*$M$4),"")</f>
        <v>7.2783100000000003</v>
      </c>
      <c r="P20">
        <f t="shared" si="10"/>
        <v>17</v>
      </c>
      <c r="Q20">
        <f t="shared" si="12"/>
        <v>0</v>
      </c>
      <c r="R20">
        <f t="shared" si="13"/>
        <v>0</v>
      </c>
      <c r="S20">
        <f t="array" ref="S20">MAX(IF(ft_nq=P20,row_n))</f>
        <v>0</v>
      </c>
      <c r="T20">
        <f t="shared" si="11"/>
        <v>1</v>
      </c>
      <c r="V20" s="56">
        <v>50</v>
      </c>
      <c r="W20">
        <v>50</v>
      </c>
      <c r="Y20" s="75">
        <f t="shared" si="3"/>
        <v>4.1503762033648819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1.0678545656005688E-2</v>
      </c>
      <c r="D21" s="50">
        <f>IF(hist!$D$2&gt;0,hist!B21/hist!$D$2,0)</f>
        <v>0.61761839758066606</v>
      </c>
      <c r="E21" s="50">
        <f t="shared" si="1"/>
        <v>4.9766598380262606E-4</v>
      </c>
      <c r="F21">
        <f t="shared" si="6"/>
        <v>19</v>
      </c>
      <c r="G21" s="50">
        <f>IF(FT!A21&lt;&gt;"",FT!A21*10,"")</f>
        <v>6.29392</v>
      </c>
      <c r="H21" s="50">
        <f>IF(FT!B21&lt;&gt;"",FT!B21*100,"")</f>
        <v>26.446100000000001</v>
      </c>
      <c r="I21" s="50">
        <f t="shared" si="2"/>
        <v>1</v>
      </c>
      <c r="J21" t="str">
        <f>IF(FT!B21&lt;&gt;"",FT!E21,"")</f>
        <v>0 [7.689034]</v>
      </c>
      <c r="K21">
        <f>IF(FT!B21&lt;&gt;"",IF(FT!C21&lt;&gt;"",FT!C21,F21/$M$3*$M$4),"")</f>
        <v>7.6890299999999998</v>
      </c>
      <c r="P21">
        <f t="shared" si="10"/>
        <v>18</v>
      </c>
      <c r="Q21">
        <f t="shared" si="12"/>
        <v>0</v>
      </c>
      <c r="R21">
        <f t="shared" si="13"/>
        <v>0</v>
      </c>
      <c r="S21">
        <f t="array" ref="S21">MAX(IF(ft_nq=P21,row_n))</f>
        <v>0</v>
      </c>
      <c r="T21">
        <f t="shared" si="11"/>
        <v>1</v>
      </c>
      <c r="V21" s="288">
        <f>Measurement!DK17*100</f>
        <v>49.765214335820026</v>
      </c>
      <c r="W21" s="287">
        <f>'R3'!I3</f>
        <v>94.275237337667463</v>
      </c>
      <c r="X21" t="str">
        <f>"(" &amp; ROUND(V21,1) &amp; " , " &amp; ROUND(W21,1) &amp; ")" &amp; CHAR(10) &amp; AR26</f>
        <v>(49.8 , 94.3)
충격받은</v>
      </c>
      <c r="Y21" s="75">
        <f t="shared" si="3"/>
        <v>4.2018487683351555</v>
      </c>
      <c r="AA21">
        <f>100-M!B19*100</f>
        <v>77.775199999999998</v>
      </c>
      <c r="AC21">
        <f>'R3'!I3</f>
        <v>94.275237337667463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6.311020000000001</v>
      </c>
      <c r="H22" s="50">
        <f>IF(FT!B22&lt;&gt;"",FT!B22*100,"")</f>
        <v>27.870800000000003</v>
      </c>
      <c r="I22" s="50">
        <f t="shared" si="2"/>
        <v>1</v>
      </c>
      <c r="J22" t="str">
        <f>IF(FT!B22&lt;&gt;"",FT!E22,"")</f>
        <v>0 [8.110878]</v>
      </c>
      <c r="K22">
        <f>IF(FT!B22&lt;&gt;"",IF(FT!C22&lt;&gt;"",FT!C22,F22/$M$3*$M$4),"")</f>
        <v>8.1108799999999999</v>
      </c>
      <c r="P22">
        <f t="shared" si="10"/>
        <v>19</v>
      </c>
      <c r="Q22">
        <f t="shared" si="12"/>
        <v>0</v>
      </c>
      <c r="R22">
        <f t="shared" si="13"/>
        <v>0</v>
      </c>
      <c r="S22">
        <f t="array" ref="S22">MAX(IF(ft_nq=P22,row_n))</f>
        <v>0</v>
      </c>
      <c r="T22">
        <f t="shared" si="11"/>
        <v>1</v>
      </c>
      <c r="V22" s="300">
        <f>X23</f>
        <v>90</v>
      </c>
      <c r="W22" s="300">
        <f>X23</f>
        <v>90</v>
      </c>
      <c r="X22" t="s">
        <v>1188</v>
      </c>
      <c r="Y22" s="75">
        <f t="shared" si="3"/>
        <v>4.4162116424920219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1.6352230442277391E-2</v>
      </c>
      <c r="D23" s="50">
        <f>IF(hist!$D$2&gt;0,hist!B23/hist!$D$2,0)</f>
        <v>0.83023159602389374</v>
      </c>
      <c r="E23" s="50">
        <f t="shared" si="1"/>
        <v>7.0581383371467077E-4</v>
      </c>
      <c r="F23">
        <f t="shared" si="6"/>
        <v>21</v>
      </c>
      <c r="G23" s="50">
        <f>IF(FT!A23&lt;&gt;"",FT!A23*10,"")</f>
        <v>6.3150700000000004</v>
      </c>
      <c r="H23" s="50">
        <f>IF(FT!B23&lt;&gt;"",FT!B23*100,"")</f>
        <v>29.0198</v>
      </c>
      <c r="I23" s="50">
        <f t="shared" si="2"/>
        <v>1</v>
      </c>
      <c r="J23" t="str">
        <f>IF(FT!B23&lt;&gt;"",FT!E23,"")</f>
        <v>0 [8.496947]</v>
      </c>
      <c r="K23">
        <f>IF(FT!B23&lt;&gt;"",IF(FT!C23&lt;&gt;"",FT!C23,F23/$M$3*$M$4),"")</f>
        <v>8.49695</v>
      </c>
      <c r="P23">
        <f t="shared" si="10"/>
        <v>20</v>
      </c>
      <c r="Q23">
        <f t="shared" si="12"/>
        <v>0</v>
      </c>
      <c r="R23">
        <f t="shared" si="13"/>
        <v>0</v>
      </c>
      <c r="S23">
        <f t="array" ref="S23">MAX(IF(ft_nq=P23,row_n))</f>
        <v>0</v>
      </c>
      <c r="T23">
        <f t="shared" si="11"/>
        <v>1</v>
      </c>
      <c r="V23" s="300">
        <f>100-X23</f>
        <v>10</v>
      </c>
      <c r="W23" s="300">
        <f>X23</f>
        <v>90</v>
      </c>
      <c r="X23">
        <v>90</v>
      </c>
      <c r="Y23" s="75">
        <f t="shared" si="3"/>
        <v>4.5953251507900941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6.3187499999999996</v>
      </c>
      <c r="H24" s="50">
        <f>IF(FT!B24&lt;&gt;"",FT!B24*100,"")</f>
        <v>30.496400000000001</v>
      </c>
      <c r="I24" s="50">
        <f t="shared" si="2"/>
        <v>1</v>
      </c>
      <c r="J24" t="str">
        <f>IF(FT!B24&lt;&gt;"",FT!E24,"")</f>
        <v>0 [8.919288]</v>
      </c>
      <c r="K24">
        <f>IF(FT!B24&lt;&gt;"",IF(FT!C24&lt;&gt;"",FT!C24,F24/$M$3*$M$4),"")</f>
        <v>8.9192900000000002</v>
      </c>
      <c r="P24">
        <f t="shared" si="10"/>
        <v>21</v>
      </c>
      <c r="Q24">
        <f t="shared" si="12"/>
        <v>0</v>
      </c>
      <c r="R24">
        <f t="shared" si="13"/>
        <v>0</v>
      </c>
      <c r="S24">
        <f t="array" ref="S24">MAX(IF(ft_nq=P24,row_n))</f>
        <v>0</v>
      </c>
      <c r="T24">
        <f t="shared" si="11"/>
        <v>1</v>
      </c>
      <c r="V24" s="300">
        <f>100-X23</f>
        <v>10</v>
      </c>
      <c r="W24" s="300">
        <f>100-X23</f>
        <v>10</v>
      </c>
      <c r="Y24" s="75">
        <f t="shared" si="3"/>
        <v>4.8263343224530173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6.3471299999999999</v>
      </c>
      <c r="H25" s="50">
        <f>IF(FT!B25&lt;&gt;"",FT!B25*100,"")</f>
        <v>33.577200000000005</v>
      </c>
      <c r="I25" s="50">
        <f t="shared" si="2"/>
        <v>1</v>
      </c>
      <c r="J25" t="str">
        <f>IF(FT!B25&lt;&gt;"",FT!E25,"")</f>
        <v>0 [9.315434]</v>
      </c>
      <c r="K25">
        <f>IF(FT!B25&lt;&gt;"",IF(FT!C25&lt;&gt;"",FT!C25,F25/$M$3*$M$4),"")</f>
        <v>9.3154299999999992</v>
      </c>
      <c r="P25">
        <f t="shared" si="10"/>
        <v>22</v>
      </c>
      <c r="Q25">
        <f t="shared" si="12"/>
        <v>0</v>
      </c>
      <c r="R25">
        <f t="shared" si="13"/>
        <v>0</v>
      </c>
      <c r="S25">
        <f t="array" ref="S25">MAX(IF(ft_nq=P25,row_n))</f>
        <v>0</v>
      </c>
      <c r="T25">
        <f t="shared" si="11"/>
        <v>1</v>
      </c>
      <c r="V25" s="300">
        <f>X23</f>
        <v>90</v>
      </c>
      <c r="W25" s="300">
        <f>100-X23</f>
        <v>10</v>
      </c>
      <c r="Y25" s="75">
        <f t="shared" si="3"/>
        <v>5.2901390077089969</v>
      </c>
    </row>
    <row r="26" spans="1:120">
      <c r="A26" s="50">
        <f t="shared" si="5"/>
        <v>24</v>
      </c>
      <c r="B26" s="50">
        <f t="shared" si="0"/>
        <v>0.45960847058823523</v>
      </c>
      <c r="C26" s="50">
        <f>IF(FH!$C$2&gt;0,FH!A26/FH!$C$2,0)</f>
        <v>1.2454448092792326E-2</v>
      </c>
      <c r="D26" s="50">
        <f>IF(hist!$D$2&gt;0,hist!B26/hist!$D$2,0)</f>
        <v>0.95154054973019675</v>
      </c>
      <c r="E26" s="50">
        <f t="shared" si="1"/>
        <v>1.173758815010095E-3</v>
      </c>
      <c r="F26">
        <f t="shared" si="6"/>
        <v>24</v>
      </c>
      <c r="G26" s="50">
        <f>IF(FT!A26&lt;&gt;"",FT!A26*10,"")</f>
        <v>6.3224899999999993</v>
      </c>
      <c r="H26" s="50">
        <f>IF(FT!B26&lt;&gt;"",FT!B26*100,"")</f>
        <v>32.003799999999998</v>
      </c>
      <c r="I26" s="50">
        <f t="shared" si="2"/>
        <v>1</v>
      </c>
      <c r="J26" t="str">
        <f>IF(FT!B26&lt;&gt;"",FT!E26,"")</f>
        <v>0 [9.727063]</v>
      </c>
      <c r="K26">
        <f>IF(FT!B26&lt;&gt;"",IF(FT!C26&lt;&gt;"",FT!C26,F26/$M$3*$M$4),"")</f>
        <v>9.7270599999999998</v>
      </c>
      <c r="P26">
        <f t="shared" si="10"/>
        <v>23</v>
      </c>
      <c r="Q26">
        <f t="shared" si="12"/>
        <v>0</v>
      </c>
      <c r="R26">
        <f t="shared" si="13"/>
        <v>0</v>
      </c>
      <c r="S26">
        <f t="array" ref="S26">MAX(IF(ft_nq=P26,row_n))</f>
        <v>0</v>
      </c>
      <c r="T26">
        <f t="shared" si="11"/>
        <v>1</v>
      </c>
      <c r="V26" s="300">
        <f>X23</f>
        <v>90</v>
      </c>
      <c r="W26" s="300">
        <f>X23</f>
        <v>90</v>
      </c>
      <c r="Y26" s="75">
        <f t="shared" si="3"/>
        <v>5.0618980812939212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충격받은</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충격받은</v>
      </c>
    </row>
    <row r="27" spans="1:120">
      <c r="A27" s="50">
        <f t="shared" si="5"/>
        <v>25</v>
      </c>
      <c r="B27" s="50">
        <f t="shared" si="0"/>
        <v>0.47875882352941174</v>
      </c>
      <c r="C27" s="50">
        <f>IF(FH!$C$2&gt;0,FH!A27/FH!$C$2,0)</f>
        <v>0</v>
      </c>
      <c r="D27" s="50">
        <f>IF(hist!$D$2&gt;0,hist!B27/hist!$D$2,0)</f>
        <v>0</v>
      </c>
      <c r="E27" s="50">
        <f t="shared" si="1"/>
        <v>1.384877003567264E-3</v>
      </c>
      <c r="F27">
        <f t="shared" si="6"/>
        <v>25</v>
      </c>
      <c r="G27" s="50">
        <f>IF(FT!A27&lt;&gt;"",FT!A27*10,"")</f>
        <v>6.1747300000000003</v>
      </c>
      <c r="H27" s="50">
        <f>IF(FT!B27&lt;&gt;"",FT!B27*100,"")</f>
        <v>24.372399999999999</v>
      </c>
      <c r="I27" s="50">
        <f t="shared" si="2"/>
        <v>1</v>
      </c>
      <c r="J27" t="str">
        <f>IF(FT!B27&lt;&gt;"",FT!E27,"")</f>
        <v>0 [10.140898]</v>
      </c>
      <c r="K27">
        <f>IF(FT!B27&lt;&gt;"",IF(FT!C27&lt;&gt;"",FT!C27,F27/$M$3*$M$4),"")</f>
        <v>10.1409</v>
      </c>
      <c r="P27">
        <f t="shared" si="10"/>
        <v>24</v>
      </c>
      <c r="Q27">
        <f t="shared" si="12"/>
        <v>0</v>
      </c>
      <c r="R27">
        <f t="shared" si="13"/>
        <v>0</v>
      </c>
      <c r="S27">
        <f t="array" ref="S27">MAX(IF(ft_nq=P27,row_n))</f>
        <v>0</v>
      </c>
      <c r="T27">
        <f t="shared" si="11"/>
        <v>1</v>
      </c>
      <c r="V27" s="288">
        <v>60</v>
      </c>
      <c r="W27" s="288">
        <v>60</v>
      </c>
      <c r="X27" t="s">
        <v>1189</v>
      </c>
      <c r="Y27" s="75">
        <f t="shared" si="3"/>
        <v>3.9471199550425684</v>
      </c>
      <c r="AS27" t="s">
        <v>2144</v>
      </c>
    </row>
    <row r="28" spans="1:120">
      <c r="A28" s="50">
        <f t="shared" si="5"/>
        <v>26</v>
      </c>
      <c r="B28" s="50">
        <f t="shared" si="0"/>
        <v>0.49790917647058819</v>
      </c>
      <c r="C28" s="50">
        <f>IF(FH!$C$2&gt;0,FH!A28/FH!$C$2,0)</f>
        <v>8.3029653951948845E-3</v>
      </c>
      <c r="D28" s="50">
        <f>IF(hist!$D$2&gt;0,hist!B28/hist!$D$2,0)</f>
        <v>1</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1.4714708409569297E-2</v>
      </c>
      <c r="D31" s="50">
        <f>IF(hist!$D$2&gt;0,hist!B31/hist!$D$2,0)</f>
        <v>0.90061099029158231</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심리적인 불편함으로 불안정한 정서 상태이다. 심리적 정보가 감소할 가능성이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1.0517087148072148E-2</v>
      </c>
      <c r="D33" s="50">
        <f>IF(hist!$D$2&gt;0,hist!B33/hist!$D$2,0)</f>
        <v>0.71485527388522396</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0.67677299999999996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32.322700000000005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100</v>
      </c>
      <c r="W35" s="23">
        <f>IF(FH_info!G2*1&lt;&gt;0,(1-NORMSDIST((FH_info!G2*1-0.5308)/0.1538))*100,0)</f>
        <v>17.128252954154345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1.7390109938581894E-2</v>
      </c>
      <c r="D36" s="50">
        <f>IF(hist!$D$2&gt;0,hist!B36/hist!$D$2,0)</f>
        <v>0.51393367774900556</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3.0251899999999998</v>
      </c>
      <c r="W36" s="495">
        <f>IF(W34&gt;=60,30/40*(W34-60)+70,IF(W34&gt;=35,35/25*(W34-35)+35,IF(W34&gt;=0,W34,0)))</f>
        <v>32.322700000000005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v</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4.8526300745803858E-2</v>
      </c>
      <c r="D39" s="50">
        <f>IF(hist!$D$2&gt;0,hist!B39/hist!$D$2,0)</f>
        <v>0.41030195350277837</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높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4.6127624737327774E-2</v>
      </c>
      <c r="D41" s="50">
        <f>IF(hist!$D$2&gt;0,hist!B41/hist!$D$2,0)</f>
        <v>0.38432189087492041</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8.2048199999999998</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7.4565212405010128E-2</v>
      </c>
      <c r="D44" s="50">
        <f>IF(hist!$D$2&gt;0,hist!B44/hist!$D$2,0)</f>
        <v>0.3972559715178583</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5.6667684126393197E-2</v>
      </c>
      <c r="D46" s="50">
        <f>IF(hist!$D$2&gt;0,hist!B46/hist!$D$2,0)</f>
        <v>0.40150452865622932</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2.6154302178481255E-2</v>
      </c>
      <c r="D49" s="50">
        <f>IF(hist!$D$2&gt;0,hist!B49/hist!$D$2,0)</f>
        <v>0.4104638953446359</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3.1228309140728792E-2</v>
      </c>
      <c r="D51" s="50">
        <f>IF(hist!$D$2&gt;0,hist!B51/hist!$D$2,0)</f>
        <v>0.39507723558692326</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49.765214335820026</v>
      </c>
      <c r="W52" s="303">
        <f ca="1">100-N9</f>
        <v>71.354246153846148</v>
      </c>
      <c r="X52" t="str">
        <f ca="1">"(" &amp; ROUND(V52,1) &amp; " , " &amp; ROUND(100-W52,1) &amp; ")"</f>
        <v>(49.8 , 28.6)</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3.662537426932571E-2</v>
      </c>
      <c r="D54" s="50">
        <f>IF(hist!$D$2&gt;0,hist!B54/hist!$D$2,0)</f>
        <v>0.37992022336608811</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3.8078342046434982E-2</v>
      </c>
      <c r="D57" s="50">
        <f>IF(hist!$D$2&gt;0,hist!B57/hist!$D$2,0)</f>
        <v>0.36906772120696679</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3.6694538005649549E-2</v>
      </c>
      <c r="D59" s="50">
        <f>IF(hist!$D$2&gt;0,hist!B59/hist!$D$2,0)</f>
        <v>0.37026895672913945</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3.5449061437511795E-2</v>
      </c>
      <c r="D62" s="50">
        <f>IF(hist!$D$2&gt;0,hist!B62/hist!$D$2,0)</f>
        <v>0.37333981992632076</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2.8529864795481769E-2</v>
      </c>
      <c r="D64" s="50">
        <f>IF(hist!$D$2&gt;0,hist!B64/hist!$D$2,0)</f>
        <v>0.37993788856123256</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3.4687907461743807E-2</v>
      </c>
      <c r="D67" s="50">
        <f>IF(hist!$D$2&gt;0,hist!B67/hist!$D$2,0)</f>
        <v>0.38169269359397839</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2.9590787108020697E-2</v>
      </c>
      <c r="D69" s="50">
        <f>IF(hist!$D$2&gt;0,hist!B69/hist!$D$2,0)</f>
        <v>0.38155721238103285</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3.0928540803957856E-2</v>
      </c>
      <c r="D72" s="50">
        <f>IF(hist!$D$2&gt;0,hist!B72/hist!$D$2,0)</f>
        <v>0.38035006668774463</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5.5191602957808353E-2</v>
      </c>
      <c r="D75" s="50">
        <f>IF(hist!$D$2&gt;0,hist!B75/hist!$D$2,0)</f>
        <v>0.38188405340265752</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4.949494593054337E-2</v>
      </c>
      <c r="D77" s="50">
        <f>IF(hist!$D$2&gt;0,hist!B77/hist!$D$2,0)</f>
        <v>0.37790930791520094</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3.9577536606495392E-2</v>
      </c>
      <c r="D80" s="50">
        <f>IF(hist!$D$2&gt;0,hist!B80/hist!$D$2,0)</f>
        <v>0.37404642998444954</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4.4836097824341753E-2</v>
      </c>
      <c r="D82" s="50">
        <f>IF(hist!$D$2&gt;0,hist!B82/hist!$D$2,0)</f>
        <v>0.37469420185658342</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4.8733791954775382E-2</v>
      </c>
      <c r="D85" s="50">
        <f>IF(hist!$D$2&gt;0,hist!B85/hist!$D$2,0)</f>
        <v>0.37278632023865332</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6.8937719114068999E-2</v>
      </c>
      <c r="D88" s="50">
        <f>IF(hist!$D$2&gt;0,hist!B88/hist!$D$2,0)</f>
        <v>0.36432453635220013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8.4528848512009258E-2</v>
      </c>
      <c r="D90" s="50">
        <f>IF(hist!$D$2&gt;0,hist!B90/hist!$D$2,0)</f>
        <v>0.34983880379920484</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5.3185148852005482E-2</v>
      </c>
      <c r="D93" s="50">
        <f>IF(hist!$D$2&gt;0,hist!B93/hist!$D$2,0)</f>
        <v>0.33921299183905151</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6.377143502402205E-2</v>
      </c>
      <c r="D95" s="50">
        <f>IF(hist!$D$2&gt;0,hist!B95/hist!$D$2,0)</f>
        <v>0.32576662053692523</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7.0229246027055006E-2</v>
      </c>
      <c r="D98" s="50">
        <f>IF(hist!$D$2&gt;0,hist!B98/hist!$D$2,0)</f>
        <v>0.31431645682845127</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0.11815583366121413</v>
      </c>
      <c r="D100" s="50">
        <f>IF(hist!$D$2&gt;0,hist!B100/hist!$D$2,0)</f>
        <v>0.30290746385847589</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0.11808666992489029</v>
      </c>
      <c r="D103" s="50">
        <f>IF(hist!$D$2&gt;0,hist!B103/hist!$D$2,0)</f>
        <v>0.28414667524821713</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0.1340469078340282</v>
      </c>
      <c r="D106" s="50">
        <f>IF(hist!$D$2&gt;0,hist!B106/hist!$D$2,0)</f>
        <v>0.26421706020579377</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0.1299184326650446</v>
      </c>
      <c r="D108" s="50">
        <f>IF(hist!$D$2&gt;0,hist!B108/hist!$D$2,0)</f>
        <v>0.24383990286129245</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0.12087739139793673</v>
      </c>
      <c r="D111" s="50">
        <f>IF(hist!$D$2&gt;0,hist!B111/hist!$D$2,0)</f>
        <v>0.22796744911093225</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9.9566491581255911E-2</v>
      </c>
      <c r="D113" s="50">
        <f>IF(hist!$D$2&gt;0,hist!B113/hist!$D$2,0)</f>
        <v>0.21079067194899923</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9.4838303300627591E-2</v>
      </c>
      <c r="D116" s="50">
        <f>IF(hist!$D$2&gt;0,hist!B116/hist!$D$2,0)</f>
        <v>0.19795964541018443</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0.10489421653542612</v>
      </c>
      <c r="D118" s="50">
        <f>IF(hist!$D$2&gt;0,hist!B118/hist!$D$2,0)</f>
        <v>0.18248465967674965</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0.14352604491055468</v>
      </c>
      <c r="D121" s="50">
        <f>IF(hist!$D$2&gt;0,hist!B121/hist!$D$2,0)</f>
        <v>0.17185297133075772</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0.18697851513221389</v>
      </c>
      <c r="D124" s="50">
        <f>IF(hist!$D$2&gt;0,hist!B124/hist!$D$2,0)</f>
        <v>0.15860383847550091</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0.23282948492424627</v>
      </c>
      <c r="D126" s="50">
        <f>IF(hist!$D$2&gt;0,hist!B126/hist!$D$2,0)</f>
        <v>0.14731853790916533</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0.29800748450432363</v>
      </c>
      <c r="D129" s="50">
        <f>IF(hist!$D$2&gt;0,hist!B129/hist!$D$2,0)</f>
        <v>0.13586832915365538</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0.37236555857656795</v>
      </c>
      <c r="D131" s="50">
        <f>IF(hist!$D$2&gt;0,hist!B131/hist!$D$2,0)</f>
        <v>0.12618175014523222</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0.58916564185535258</v>
      </c>
      <c r="D134" s="50">
        <f>IF(hist!$D$2&gt;0,hist!B134/hist!$D$2,0)</f>
        <v>0.11584154765470638</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0.66204692900660056</v>
      </c>
      <c r="D136" s="50">
        <f>IF(hist!$D$2&gt;0,hist!B136/hist!$D$2,0)</f>
        <v>0.1071088981934893</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0.78495371146371284</v>
      </c>
      <c r="D139" s="50">
        <f>IF(hist!$D$2&gt;0,hist!B139/hist!$D$2,0)</f>
        <v>9.8002331305736962E-2</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0.77392985879658627</v>
      </c>
      <c r="D142" s="50">
        <f>IF(hist!$D$2&gt;0,hist!B142/hist!$D$2,0)</f>
        <v>9.0959684463712234E-2</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0.89162289531398031</v>
      </c>
      <c r="D144" s="50">
        <f>IF(hist!$D$2&gt;0,hist!B144/hist!$D$2,0)</f>
        <v>8.42085167200982E-2</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1</v>
      </c>
      <c r="D147" s="50">
        <f>IF(hist!$D$2&gt;0,hist!B147/hist!$D$2,0)</f>
        <v>7.876459819304131E-2</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0.92700402808188842</v>
      </c>
      <c r="D149" s="50">
        <f>IF(hist!$D$2&gt;0,hist!B149/hist!$D$2,0)</f>
        <v>7.3058643310265042E-2</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0.75485513549564109</v>
      </c>
      <c r="D152" s="50">
        <f>IF(hist!$D$2&gt;0,hist!B152/hist!$D$2,0)</f>
        <v>6.8707032067770873E-2</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0.7647497843044192</v>
      </c>
      <c r="D154" s="50">
        <f>IF(hist!$D$2&gt;0,hist!B154/hist!$D$2,0)</f>
        <v>6.3398551958975438E-2</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0.70356105023016347</v>
      </c>
      <c r="D157" s="50">
        <f>IF(hist!$D$2&gt;0,hist!B157/hist!$D$2,0)</f>
        <v>5.9827171145449075E-2</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0.50103833823537192</v>
      </c>
      <c r="D160" s="50">
        <f>IF(hist!$D$2&gt;0,hist!B160/hist!$D$2,0)</f>
        <v>5.690647899963381E-2</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0.53404284975766225</v>
      </c>
      <c r="D162" s="50">
        <f>IF(hist!$D$2&gt;0,hist!B162/hist!$D$2,0)</f>
        <v>5.123584775009099E-2</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0.69802618694322749</v>
      </c>
      <c r="D165" s="50">
        <f>IF(hist!$D$2&gt;0,hist!B165/hist!$D$2,0)</f>
        <v>4.6651656408679527E-2</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0.86482371186952045</v>
      </c>
      <c r="D167" s="50">
        <f>IF(hist!$D$2&gt;0,hist!B167/hist!$D$2,0)</f>
        <v>4.2847679729773283E-2</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0.79051151170402145</v>
      </c>
      <c r="D170" s="50">
        <f>IF(hist!$D$2&gt;0,hist!B170/hist!$D$2,0)</f>
        <v>3.9117316664650702E-2</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3.4756880707815609E-2</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0.76707876726226287</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0.85921827334143763</v>
      </c>
      <c r="D175" s="50">
        <f>IF(hist!$D$2&gt;0,hist!B175/hist!$D$2,0)</f>
        <v>3.2045222575231069E-2</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0.75526976503737842</v>
      </c>
      <c r="D178" s="50">
        <f>IF(hist!$D$2&gt;0,hist!B178/hist!$D$2,0)</f>
        <v>3.0873414029287158E-2</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0.68624012167171577</v>
      </c>
      <c r="D180" s="50">
        <f>IF(hist!$D$2&gt;0,hist!B180/hist!$D$2,0)</f>
        <v>2.8102872663671803E-2</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0.58351432942052428</v>
      </c>
      <c r="D183" s="50">
        <f>IF(hist!$D$2&gt;0,hist!B183/hist!$D$2,0)</f>
        <v>2.573863979578539E-2</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0.48994391032709855</v>
      </c>
      <c r="D185" s="50">
        <f>IF(hist!$D$2&gt;0,hist!B185/hist!$D$2,0)</f>
        <v>2.3006374896609449E-2</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0.38885546367051244</v>
      </c>
      <c r="D188" s="50">
        <f>IF(hist!$D$2&gt;0,hist!B188/hist!$D$2,0)</f>
        <v>2.0960120046026272E-2</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0.35903389552394177</v>
      </c>
      <c r="D191" s="50">
        <f>IF(hist!$D$2&gt;0,hist!B191/hist!$D$2,0)</f>
        <v>1.859883100193863E-2</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0.34079019568749991</v>
      </c>
      <c r="D193" s="50">
        <f>IF(hist!$D$2&gt;0,hist!B193/hist!$D$2,0)</f>
        <v>1.5589806123345852E-2</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0.35587388910159479</v>
      </c>
      <c r="D196" s="50">
        <f>IF(hist!$D$2&gt;0,hist!B196/hist!$D$2,0)</f>
        <v>1.2860487300320484E-2</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0.39014699058349844</v>
      </c>
      <c r="D198" s="50">
        <f>IF(hist!$D$2&gt;0,hist!B198/hist!$D$2,0)</f>
        <v>1.0932003420502524E-2</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0.47954288416309226</v>
      </c>
      <c r="D201" s="50">
        <f>IF(hist!$D$2&gt;0,hist!B201/hist!$D$2,0)</f>
        <v>8.5766020240124266E-3</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0.50977908185140031</v>
      </c>
      <c r="D203" s="50">
        <f>IF(hist!$D$2&gt;0,hist!B203/hist!$D$2,0)</f>
        <v>6.3213064031431279E-3</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0.45073583510800652</v>
      </c>
      <c r="D206" s="50">
        <f>IF(hist!$D$2&gt;0,hist!B206/hist!$D$2,0)</f>
        <v>5.4498084270062242E-3</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0.35940265115893366</v>
      </c>
      <c r="D209" s="50">
        <f>IF(hist!$D$2&gt;0,hist!B209/hist!$D$2,0)</f>
        <v>3.2062881013320103E-3</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0.35642790474459701</v>
      </c>
      <c r="D211" s="50">
        <f>IF(hist!$D$2&gt;0,hist!B211/hist!$D$2,0)</f>
        <v>2.4201745294702521E-3</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0.35031608886128612</v>
      </c>
      <c r="D214" s="50">
        <f>IF(hist!$D$2&gt;0,hist!B214/hist!$D$2,0)</f>
        <v>1.3249121593497813E-3</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0.38048347568947594</v>
      </c>
      <c r="D216" s="50">
        <f>IF(hist!$D$2&gt;0,hist!B216/hist!$D$2,0)</f>
        <v>9.8043522315401804E-4</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0.2056827184171385</v>
      </c>
      <c r="D219" s="50">
        <f>IF(hist!$D$2&gt;0,hist!B219/hist!$D$2,0)</f>
        <v>3.5919830754141646E-4</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0.16283049062143262</v>
      </c>
      <c r="D221" s="50">
        <f>IF(hist!$D$2&gt;0,hist!B221/hist!$D$2,0)</f>
        <v>2.1198684643668385E-4</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4.4074943848573758E-2</v>
      </c>
      <c r="D224" s="50">
        <f>IF(hist!$D$2&gt;0,hist!B224/hist!$D$2,0)</f>
        <v>1.0893724701711311E-4</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2.1610844591554611E-2</v>
      </c>
      <c r="D227" s="50">
        <f>IF(hist!$D$2&gt;0,hist!B227/hist!$D$2,0)</f>
        <v>5.8876475975423577E-6</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61.743899999999996</v>
      </c>
      <c r="C5" s="49">
        <v>4.5770299999999997</v>
      </c>
      <c r="D5" s="49">
        <v>7.4129300000000002</v>
      </c>
      <c r="E5" s="49">
        <v>20</v>
      </c>
      <c r="F5" s="49">
        <v>54.673900000000003</v>
      </c>
      <c r="G5" s="49">
        <v>50</v>
      </c>
      <c r="H5" s="49">
        <v>70.115399999999994</v>
      </c>
    </row>
    <row r="6" spans="1:10">
      <c r="A6" t="s">
        <v>1111</v>
      </c>
      <c r="B6" s="49">
        <v>25.740600000000001</v>
      </c>
      <c r="C6" s="49">
        <v>2.8433000000000002</v>
      </c>
      <c r="D6" s="49">
        <v>11.045999999999999</v>
      </c>
      <c r="E6" s="49">
        <v>20</v>
      </c>
      <c r="F6" s="49">
        <v>18.366299999999999</v>
      </c>
      <c r="G6" s="49">
        <v>40</v>
      </c>
      <c r="H6" s="49">
        <v>27.6663</v>
      </c>
    </row>
    <row r="7" spans="1:10">
      <c r="A7" t="s">
        <v>1112</v>
      </c>
      <c r="B7" s="49">
        <v>38.976599999999998</v>
      </c>
      <c r="C7" s="49">
        <v>1.82803</v>
      </c>
      <c r="D7" s="49">
        <v>4.6900899999999996</v>
      </c>
      <c r="E7" s="49">
        <v>15</v>
      </c>
      <c r="F7" s="49">
        <v>35.314599999999999</v>
      </c>
      <c r="G7" s="49">
        <v>40</v>
      </c>
      <c r="H7" s="49">
        <v>43.248899999999999</v>
      </c>
    </row>
    <row r="8" spans="1:10">
      <c r="A8" t="s">
        <v>1113</v>
      </c>
      <c r="B8" s="49">
        <v>41.610700000000001</v>
      </c>
      <c r="C8" s="49">
        <v>0.69623999999999997</v>
      </c>
      <c r="D8" s="49">
        <v>1.6732199999999999</v>
      </c>
      <c r="E8" s="49">
        <v>20</v>
      </c>
      <c r="F8" s="49">
        <v>39.768599999999999</v>
      </c>
      <c r="G8" s="49">
        <v>50</v>
      </c>
      <c r="H8" s="49">
        <v>42.245600000000003</v>
      </c>
    </row>
    <row r="9" spans="1:10">
      <c r="A9" t="s">
        <v>1114</v>
      </c>
      <c r="B9" s="49">
        <v>62.019599999999997</v>
      </c>
      <c r="C9" s="49">
        <v>5.2557400000000003</v>
      </c>
      <c r="D9" s="49">
        <v>8.4743300000000001</v>
      </c>
      <c r="E9" s="49">
        <v>50</v>
      </c>
      <c r="F9" s="49">
        <v>51.004899999999999</v>
      </c>
      <c r="G9" s="49">
        <v>100</v>
      </c>
      <c r="H9" s="49">
        <v>72.749200000000002</v>
      </c>
    </row>
    <row r="10" spans="1:10">
      <c r="A10" t="s">
        <v>1115</v>
      </c>
      <c r="B10" s="49">
        <v>69.826300000000003</v>
      </c>
      <c r="C10" s="49">
        <v>2.4518399999999998</v>
      </c>
      <c r="D10" s="49">
        <v>3.5113400000000001</v>
      </c>
      <c r="E10" s="49">
        <v>40</v>
      </c>
      <c r="F10" s="49">
        <v>67.921999999999997</v>
      </c>
      <c r="G10" s="49">
        <v>100</v>
      </c>
      <c r="H10" s="49">
        <v>76.044200000000004</v>
      </c>
    </row>
    <row r="11" spans="1:10">
      <c r="A11" t="s">
        <v>1116</v>
      </c>
      <c r="B11" s="49">
        <v>47.471400000000003</v>
      </c>
      <c r="C11" s="49">
        <v>1.17249</v>
      </c>
      <c r="D11" s="49">
        <v>2.4698899999999999</v>
      </c>
      <c r="E11" s="49">
        <v>10</v>
      </c>
      <c r="F11" s="49">
        <v>45.606099999999998</v>
      </c>
      <c r="G11" s="49">
        <v>50</v>
      </c>
      <c r="H11" s="49">
        <v>51.183500000000002</v>
      </c>
    </row>
    <row r="12" spans="1:10">
      <c r="A12" t="s">
        <v>1117</v>
      </c>
      <c r="B12" s="49">
        <v>65.724900000000005</v>
      </c>
      <c r="C12" s="49">
        <v>2.2767599999999999</v>
      </c>
      <c r="D12" s="49">
        <v>3.46408</v>
      </c>
      <c r="E12" s="49">
        <v>50</v>
      </c>
      <c r="F12" s="49">
        <v>61.870100000000001</v>
      </c>
      <c r="G12" s="49">
        <v>100</v>
      </c>
      <c r="H12" s="49">
        <v>71.798100000000005</v>
      </c>
    </row>
    <row r="13" spans="1:10">
      <c r="A13" t="s">
        <v>1118</v>
      </c>
      <c r="B13" s="49">
        <v>16.074200000000001</v>
      </c>
      <c r="C13" s="49">
        <v>1.84798</v>
      </c>
      <c r="D13" s="49">
        <v>11.496600000000001</v>
      </c>
      <c r="E13" s="49">
        <v>10</v>
      </c>
      <c r="F13" s="49">
        <v>13.668200000000001</v>
      </c>
      <c r="G13" s="49">
        <v>25</v>
      </c>
      <c r="H13" s="49">
        <v>19.538599999999999</v>
      </c>
      <c r="J13" s="49"/>
    </row>
    <row r="14" spans="1:10">
      <c r="A14" t="s">
        <v>1119</v>
      </c>
      <c r="B14" s="49">
        <v>18.479800000000001</v>
      </c>
      <c r="C14" s="49">
        <v>5.1391900000000001</v>
      </c>
      <c r="D14" s="49">
        <v>27.809699999999999</v>
      </c>
      <c r="E14" s="49">
        <v>10</v>
      </c>
      <c r="F14" s="49">
        <v>4.48227E-2</v>
      </c>
      <c r="G14" s="49">
        <v>50</v>
      </c>
      <c r="H14" s="49">
        <v>18.761500000000002</v>
      </c>
    </row>
    <row r="15" spans="1:10">
      <c r="A15" t="s">
        <v>1120</v>
      </c>
      <c r="B15" s="49">
        <v>-0.114759</v>
      </c>
      <c r="C15" s="49">
        <v>0</v>
      </c>
      <c r="D15" s="49">
        <v>0</v>
      </c>
      <c r="E15" s="49">
        <v>0</v>
      </c>
      <c r="F15" s="49">
        <v>0</v>
      </c>
      <c r="G15" s="49">
        <v>0</v>
      </c>
      <c r="H15" s="49">
        <v>0</v>
      </c>
    </row>
    <row r="16" spans="1:10">
      <c r="A16" t="s">
        <v>1121</v>
      </c>
      <c r="B16" s="49">
        <v>-0.190663</v>
      </c>
      <c r="C16" s="49">
        <v>0</v>
      </c>
      <c r="D16" s="49">
        <v>0</v>
      </c>
      <c r="E16" s="49">
        <v>0</v>
      </c>
      <c r="F16" s="49">
        <v>0</v>
      </c>
      <c r="G16" s="49">
        <v>0</v>
      </c>
      <c r="H16" s="49">
        <v>0</v>
      </c>
    </row>
    <row r="17" spans="1:8">
      <c r="A17" t="s">
        <v>1122</v>
      </c>
      <c r="B17" s="49">
        <v>8.2048199999999998</v>
      </c>
      <c r="C17" s="49">
        <v>0</v>
      </c>
      <c r="D17" s="49">
        <v>0</v>
      </c>
      <c r="E17" s="49">
        <v>0</v>
      </c>
      <c r="F17" s="49">
        <v>0</v>
      </c>
      <c r="G17" s="49">
        <v>0</v>
      </c>
      <c r="H17" s="49">
        <v>0</v>
      </c>
    </row>
    <row r="18" spans="1:8">
      <c r="A18" t="s">
        <v>1123</v>
      </c>
      <c r="B18" s="49">
        <v>0.358072</v>
      </c>
      <c r="C18" s="49">
        <v>0</v>
      </c>
      <c r="D18" s="49">
        <v>0</v>
      </c>
      <c r="E18" s="49">
        <v>0</v>
      </c>
      <c r="F18" s="49">
        <v>0</v>
      </c>
      <c r="G18" s="49">
        <v>0</v>
      </c>
      <c r="H18" s="49">
        <v>0</v>
      </c>
    </row>
    <row r="19" spans="1:8">
      <c r="A19" t="s">
        <v>1124</v>
      </c>
      <c r="B19" s="49">
        <v>0.222248</v>
      </c>
      <c r="C19" s="49">
        <v>0</v>
      </c>
      <c r="D19" s="49">
        <v>0</v>
      </c>
      <c r="E19" s="49">
        <v>0</v>
      </c>
      <c r="F19" s="49">
        <v>0</v>
      </c>
      <c r="G19" s="49">
        <v>0</v>
      </c>
      <c r="H19" s="49">
        <v>0</v>
      </c>
    </row>
    <row r="20" spans="1:8">
      <c r="A20" t="s">
        <v>1125</v>
      </c>
      <c r="B20" s="49">
        <v>1.63948</v>
      </c>
      <c r="C20" s="49">
        <v>1.34518</v>
      </c>
      <c r="D20" s="49">
        <v>0.82049300000000003</v>
      </c>
      <c r="E20" s="49">
        <v>0</v>
      </c>
      <c r="F20" s="49">
        <v>0.36508400000000002</v>
      </c>
      <c r="G20" s="49">
        <v>0</v>
      </c>
      <c r="H20" s="49">
        <v>8.86754</v>
      </c>
    </row>
    <row r="21" spans="1:8">
      <c r="A21" t="s">
        <v>1126</v>
      </c>
      <c r="B21" s="49">
        <v>4.7353899999999998</v>
      </c>
      <c r="C21" s="49">
        <v>3.7845</v>
      </c>
      <c r="D21" s="49">
        <v>0.79919600000000002</v>
      </c>
      <c r="E21" s="49">
        <v>0</v>
      </c>
      <c r="F21" s="49">
        <v>1.49952</v>
      </c>
      <c r="G21" s="49">
        <v>0</v>
      </c>
      <c r="H21" s="49">
        <v>21.282499999999999</v>
      </c>
    </row>
    <row r="22" spans="1:8">
      <c r="A22" t="s">
        <v>1127</v>
      </c>
      <c r="B22" s="49">
        <v>123.816</v>
      </c>
      <c r="C22" s="49">
        <v>21.577500000000001</v>
      </c>
      <c r="D22" s="49">
        <v>0.17427100000000001</v>
      </c>
      <c r="E22" s="49">
        <v>0</v>
      </c>
      <c r="F22" s="49">
        <v>79.328699999999998</v>
      </c>
      <c r="G22" s="49">
        <v>0</v>
      </c>
      <c r="H22" s="49">
        <v>166.614</v>
      </c>
    </row>
    <row r="23" spans="1:8">
      <c r="A23" t="s">
        <v>1128</v>
      </c>
      <c r="B23" s="49">
        <v>78.498900000000006</v>
      </c>
      <c r="C23" s="49">
        <v>3.6242899999999998</v>
      </c>
      <c r="D23" s="49">
        <v>4.61699E-2</v>
      </c>
      <c r="E23" s="49">
        <v>0</v>
      </c>
      <c r="F23" s="49">
        <v>70.579099999999997</v>
      </c>
      <c r="G23" s="49">
        <v>0</v>
      </c>
      <c r="H23" s="49">
        <v>82.917299999999997</v>
      </c>
    </row>
    <row r="24" spans="1:8">
      <c r="A24" t="s">
        <v>1129</v>
      </c>
      <c r="B24" s="49">
        <v>1.75691</v>
      </c>
      <c r="C24" s="49">
        <v>0.79946899999999999</v>
      </c>
      <c r="D24" s="49">
        <v>0.455042</v>
      </c>
      <c r="E24" s="49">
        <v>0</v>
      </c>
      <c r="F24" s="49">
        <v>0.73730499999999999</v>
      </c>
      <c r="G24" s="49">
        <v>0</v>
      </c>
      <c r="H24" s="49">
        <v>4.2138799999999996</v>
      </c>
    </row>
    <row r="25" spans="1:8">
      <c r="A25" t="s">
        <v>1130</v>
      </c>
      <c r="B25" s="49">
        <v>6.1531799999999999</v>
      </c>
      <c r="C25" s="49">
        <v>1.70712</v>
      </c>
      <c r="D25" s="49">
        <v>0.27743699999999999</v>
      </c>
      <c r="E25" s="49">
        <v>0</v>
      </c>
      <c r="F25" s="49">
        <v>3.17787</v>
      </c>
      <c r="G25" s="49">
        <v>0</v>
      </c>
      <c r="H25" s="49">
        <v>9.3775499999999994</v>
      </c>
    </row>
    <row r="26" spans="1:8">
      <c r="A26" t="s">
        <v>1131</v>
      </c>
      <c r="B26" s="49">
        <v>9.24701E-2</v>
      </c>
      <c r="C26" s="49">
        <v>7.4905399999999997E-2</v>
      </c>
      <c r="D26" s="49">
        <v>0.81005000000000005</v>
      </c>
      <c r="E26" s="49">
        <v>0</v>
      </c>
      <c r="F26" s="173">
        <v>2.8573500000000002E-2</v>
      </c>
      <c r="G26" s="49">
        <v>0</v>
      </c>
      <c r="H26" s="49">
        <v>0.459729</v>
      </c>
    </row>
    <row r="27" spans="1:8">
      <c r="A27" t="s">
        <v>1132</v>
      </c>
      <c r="B27" s="173">
        <v>-9.6021199999999995E-5</v>
      </c>
      <c r="C27" s="49">
        <v>7.9931500000000003E-2</v>
      </c>
      <c r="D27" s="49">
        <v>-832.43600000000004</v>
      </c>
      <c r="E27" s="49">
        <v>0</v>
      </c>
      <c r="F27" s="49">
        <v>-0.300651</v>
      </c>
      <c r="G27" s="49">
        <v>0</v>
      </c>
      <c r="H27" s="49">
        <v>0.36162300000000003</v>
      </c>
    </row>
    <row r="28" spans="1:8">
      <c r="A28" t="s">
        <v>1133</v>
      </c>
      <c r="B28" s="49">
        <v>0.24115500000000001</v>
      </c>
      <c r="C28" s="49">
        <v>0.14357700000000001</v>
      </c>
      <c r="D28" s="49">
        <v>0.59537499999999999</v>
      </c>
      <c r="E28" s="49">
        <v>0</v>
      </c>
      <c r="F28" s="49">
        <v>9.5228900000000005E-2</v>
      </c>
      <c r="G28" s="49">
        <v>0</v>
      </c>
      <c r="H28" s="49">
        <v>0.71632700000000005</v>
      </c>
    </row>
    <row r="29" spans="1:8">
      <c r="A29" t="s">
        <v>1134</v>
      </c>
      <c r="B29" s="49">
        <v>100.40900000000001</v>
      </c>
      <c r="C29" s="49">
        <v>11.6982</v>
      </c>
      <c r="D29" s="49">
        <v>0.116506</v>
      </c>
      <c r="E29" s="49">
        <v>0</v>
      </c>
      <c r="F29" s="49">
        <v>80.575699999999998</v>
      </c>
      <c r="G29" s="49">
        <v>0</v>
      </c>
      <c r="H29" s="49">
        <v>127.381</v>
      </c>
    </row>
    <row r="30" spans="1:8">
      <c r="A30" t="s">
        <v>1135</v>
      </c>
      <c r="B30" s="49">
        <v>60.614400000000003</v>
      </c>
      <c r="C30" s="49">
        <v>3.8463500000000002</v>
      </c>
      <c r="D30" s="49">
        <v>6.3456100000000001E-2</v>
      </c>
      <c r="E30" s="49">
        <v>0</v>
      </c>
      <c r="F30" s="49">
        <v>55.092599999999997</v>
      </c>
      <c r="G30" s="49">
        <v>0</v>
      </c>
      <c r="H30" s="49">
        <v>68.9833</v>
      </c>
    </row>
    <row r="31" spans="1:8">
      <c r="A31" t="s">
        <v>1136</v>
      </c>
      <c r="B31" s="49">
        <v>424.29399999999998</v>
      </c>
      <c r="C31" s="49">
        <v>17.357299999999999</v>
      </c>
      <c r="D31" s="49">
        <v>4.0908699999999999E-2</v>
      </c>
      <c r="E31" s="49">
        <v>0</v>
      </c>
      <c r="F31" s="49">
        <v>392.78199999999998</v>
      </c>
      <c r="G31" s="49">
        <v>0</v>
      </c>
      <c r="H31" s="49">
        <v>459.02699999999999</v>
      </c>
    </row>
    <row r="32" spans="1:8">
      <c r="A32" t="s">
        <v>1137</v>
      </c>
      <c r="B32" s="49">
        <v>0.389766</v>
      </c>
      <c r="C32" s="49">
        <v>1.8280299999999999E-2</v>
      </c>
      <c r="D32" s="49">
        <v>4.6900900000000002E-2</v>
      </c>
      <c r="E32" s="49">
        <v>0.15</v>
      </c>
      <c r="F32" s="49">
        <v>0.35314600000000002</v>
      </c>
      <c r="G32" s="49">
        <v>0.4</v>
      </c>
      <c r="H32" s="49">
        <v>0.43248900000000001</v>
      </c>
    </row>
    <row r="33" spans="1:8">
      <c r="A33" t="s">
        <v>1138</v>
      </c>
      <c r="B33" s="49">
        <v>0.36240299999999998</v>
      </c>
      <c r="C33" s="49">
        <v>1.80044E-2</v>
      </c>
      <c r="D33" s="49">
        <v>4.9680700000000001E-2</v>
      </c>
      <c r="E33" s="49">
        <v>0</v>
      </c>
      <c r="F33" s="49">
        <v>0.337308</v>
      </c>
      <c r="G33" s="49">
        <v>0</v>
      </c>
      <c r="H33" s="49">
        <v>0.406555</v>
      </c>
    </row>
    <row r="34" spans="1:8">
      <c r="A34" t="s">
        <v>1139</v>
      </c>
      <c r="B34" s="49">
        <v>0.160742</v>
      </c>
      <c r="C34" s="49">
        <v>1.8479800000000001E-2</v>
      </c>
      <c r="D34" s="49">
        <v>0.114966</v>
      </c>
      <c r="E34" s="49">
        <v>0.1</v>
      </c>
      <c r="F34" s="49">
        <v>0.136682</v>
      </c>
      <c r="G34" s="49">
        <v>0.25</v>
      </c>
      <c r="H34" s="49">
        <v>0.195386</v>
      </c>
    </row>
    <row r="35" spans="1:8">
      <c r="A35" t="s">
        <v>1140</v>
      </c>
      <c r="B35" s="49">
        <v>7.6109800000000005E-2</v>
      </c>
      <c r="C35" s="49">
        <v>1.67414E-2</v>
      </c>
      <c r="D35" s="49">
        <v>0.21996399999999999</v>
      </c>
      <c r="E35" s="49">
        <v>0</v>
      </c>
      <c r="F35" s="49">
        <v>4.6631199999999998E-2</v>
      </c>
      <c r="G35" s="49">
        <v>0</v>
      </c>
      <c r="H35" s="49">
        <v>0.10961899999999999</v>
      </c>
    </row>
    <row r="36" spans="1:8">
      <c r="A36" t="s">
        <v>1141</v>
      </c>
      <c r="B36" s="49">
        <v>0.14555499999999999</v>
      </c>
      <c r="C36" s="49">
        <v>8.1583600000000006E-2</v>
      </c>
      <c r="D36" s="49">
        <v>0.56049899999999997</v>
      </c>
      <c r="E36" s="49">
        <v>0</v>
      </c>
      <c r="F36" s="49">
        <v>4.60705E-2</v>
      </c>
      <c r="G36" s="49">
        <v>0</v>
      </c>
      <c r="H36" s="49">
        <v>0.39035399999999998</v>
      </c>
    </row>
    <row r="37" spans="1:8">
      <c r="A37" t="s">
        <v>1142</v>
      </c>
      <c r="B37" s="49">
        <v>0.18479799999999999</v>
      </c>
      <c r="C37" s="49">
        <v>5.1391899999999997E-2</v>
      </c>
      <c r="D37" s="49">
        <v>0.27809699999999998</v>
      </c>
      <c r="E37" s="49">
        <v>0.1</v>
      </c>
      <c r="F37" s="49">
        <v>4.4822699999999999E-4</v>
      </c>
      <c r="G37" s="49">
        <v>0.5</v>
      </c>
      <c r="H37" s="49">
        <v>0.187615</v>
      </c>
    </row>
    <row r="38" spans="1:8">
      <c r="A38" t="s">
        <v>1143</v>
      </c>
      <c r="B38" s="49">
        <v>-39.869999999999997</v>
      </c>
      <c r="C38" s="49">
        <v>108.51900000000001</v>
      </c>
      <c r="D38" s="49">
        <v>-2.7218100000000001</v>
      </c>
      <c r="E38" s="49">
        <v>0</v>
      </c>
      <c r="F38" s="49">
        <v>-324.49700000000001</v>
      </c>
      <c r="G38" s="49">
        <v>0</v>
      </c>
      <c r="H38" s="49">
        <v>143.27799999999999</v>
      </c>
    </row>
    <row r="39" spans="1:8">
      <c r="A39" t="s">
        <v>1144</v>
      </c>
      <c r="B39" s="49">
        <v>-14.548</v>
      </c>
      <c r="C39" s="49">
        <v>20.248799999999999</v>
      </c>
      <c r="D39" s="49">
        <v>-1.3918600000000001</v>
      </c>
      <c r="E39" s="49">
        <v>0</v>
      </c>
      <c r="F39" s="49">
        <v>-61.919800000000002</v>
      </c>
      <c r="G39" s="49">
        <v>0</v>
      </c>
      <c r="H39" s="49">
        <v>35.4345</v>
      </c>
    </row>
    <row r="40" spans="1:8">
      <c r="A40" t="s">
        <v>1145</v>
      </c>
      <c r="B40" s="49">
        <v>0.17865300000000001</v>
      </c>
      <c r="C40" s="49">
        <v>5.4967199999999998</v>
      </c>
      <c r="D40" s="49">
        <v>30.767499999999998</v>
      </c>
      <c r="E40" s="49">
        <v>0</v>
      </c>
      <c r="F40" s="49">
        <v>-12.033200000000001</v>
      </c>
      <c r="G40" s="49">
        <v>0</v>
      </c>
      <c r="H40" s="49">
        <v>6.9256000000000002</v>
      </c>
    </row>
    <row r="41" spans="1:8">
      <c r="A41" t="s">
        <v>1146</v>
      </c>
      <c r="B41" s="49">
        <v>-7.0704799999999998E-2</v>
      </c>
      <c r="C41" s="49">
        <v>0.28927199999999997</v>
      </c>
      <c r="D41" s="49">
        <v>-4.0912600000000001</v>
      </c>
      <c r="E41" s="49">
        <v>0</v>
      </c>
      <c r="F41" s="49">
        <v>-0.77476</v>
      </c>
      <c r="G41" s="49">
        <v>0</v>
      </c>
      <c r="H41" s="49">
        <v>0.423759</v>
      </c>
    </row>
    <row r="42" spans="1:8">
      <c r="A42" t="s">
        <v>1147</v>
      </c>
      <c r="B42" s="49">
        <v>-2.4874199999999999E-2</v>
      </c>
      <c r="C42" s="49">
        <v>0.13756499999999999</v>
      </c>
      <c r="D42" s="49">
        <v>-5.53043</v>
      </c>
      <c r="E42" s="49">
        <v>0</v>
      </c>
      <c r="F42" s="49">
        <v>-0.34458699999999998</v>
      </c>
      <c r="G42" s="49">
        <v>0</v>
      </c>
      <c r="H42" s="49">
        <v>0.233239</v>
      </c>
    </row>
    <row r="43" spans="1:8">
      <c r="A43" t="s">
        <v>1148</v>
      </c>
      <c r="B43" s="49">
        <v>-1.3684099999999999E-2</v>
      </c>
      <c r="C43" s="49">
        <v>4.9397900000000002E-2</v>
      </c>
      <c r="D43" s="49">
        <v>-3.6098699999999999</v>
      </c>
      <c r="E43" s="49">
        <v>0</v>
      </c>
      <c r="F43" s="49">
        <v>-0.12559999999999999</v>
      </c>
      <c r="G43" s="49">
        <v>0</v>
      </c>
      <c r="H43" s="49">
        <v>5.3938800000000002E-2</v>
      </c>
    </row>
    <row r="44" spans="1:8">
      <c r="A44" t="s">
        <v>1149</v>
      </c>
      <c r="B44" s="49">
        <v>-149.09700000000001</v>
      </c>
      <c r="C44" s="49">
        <v>16.120699999999999</v>
      </c>
      <c r="D44" s="49">
        <v>-0.108122</v>
      </c>
      <c r="E44" s="49">
        <v>0</v>
      </c>
      <c r="F44" s="49">
        <v>-180.83</v>
      </c>
      <c r="G44" s="49">
        <v>0</v>
      </c>
      <c r="H44" s="49">
        <v>-117.032</v>
      </c>
    </row>
    <row r="45" spans="1:8">
      <c r="A45" t="s">
        <v>1150</v>
      </c>
      <c r="B45" s="49">
        <v>53.042900000000003</v>
      </c>
      <c r="C45" s="49">
        <v>6.3595899999999999</v>
      </c>
      <c r="D45" s="49">
        <v>0.119895</v>
      </c>
      <c r="E45" s="49">
        <v>0</v>
      </c>
      <c r="F45" s="49">
        <v>40.061900000000001</v>
      </c>
      <c r="G45" s="49">
        <v>0</v>
      </c>
      <c r="H45" s="49">
        <v>63.992699999999999</v>
      </c>
    </row>
    <row r="46" spans="1:8">
      <c r="A46" t="s">
        <v>1151</v>
      </c>
      <c r="B46" s="49">
        <v>47.468600000000002</v>
      </c>
      <c r="C46" s="49">
        <v>2.5240800000000001</v>
      </c>
      <c r="D46" s="49">
        <v>5.3173699999999997E-2</v>
      </c>
      <c r="E46" s="49">
        <v>0</v>
      </c>
      <c r="F46" s="49">
        <v>39.474699999999999</v>
      </c>
      <c r="G46" s="49">
        <v>0</v>
      </c>
      <c r="H46" s="49">
        <v>52.203899999999997</v>
      </c>
    </row>
    <row r="47" spans="1:8">
      <c r="A47" t="s">
        <v>1152</v>
      </c>
      <c r="B47" s="49">
        <v>4.9361800000000002</v>
      </c>
      <c r="C47" s="49">
        <v>1.0855900000000001</v>
      </c>
      <c r="D47" s="49">
        <v>0.21992600000000001</v>
      </c>
      <c r="E47" s="49">
        <v>0</v>
      </c>
      <c r="F47" s="49">
        <v>3.2194199999999999</v>
      </c>
      <c r="G47" s="49">
        <v>0</v>
      </c>
      <c r="H47" s="49">
        <v>8.1190200000000008</v>
      </c>
    </row>
    <row r="48" spans="1:8">
      <c r="A48" t="s">
        <v>1153</v>
      </c>
      <c r="B48" s="49">
        <v>1.85836</v>
      </c>
      <c r="C48" s="49">
        <v>0.109823</v>
      </c>
      <c r="D48" s="49">
        <v>5.9096999999999997E-2</v>
      </c>
      <c r="E48" s="49">
        <v>0</v>
      </c>
      <c r="F48" s="49">
        <v>1.7639400000000001</v>
      </c>
      <c r="G48" s="49">
        <v>0</v>
      </c>
      <c r="H48" s="49">
        <v>2.2639399999999998</v>
      </c>
    </row>
    <row r="50" spans="1:4">
      <c r="A50" t="str">
        <f>lang!B7</f>
        <v>긍정감정</v>
      </c>
      <c r="B50" s="134">
        <f>SUM(B9:B12)</f>
        <v>245.04219999999998</v>
      </c>
      <c r="C50" s="134"/>
      <c r="D50" s="134">
        <f t="shared" ref="D50" si="0">SUM(D9:D12)</f>
        <v>17.919640000000001</v>
      </c>
    </row>
    <row r="51" spans="1:4">
      <c r="A51" t="str">
        <f>lang!B8</f>
        <v>부정감정</v>
      </c>
      <c r="B51" s="134">
        <f>SUM(B5:B8)</f>
        <v>168.0718</v>
      </c>
      <c r="C51" s="134"/>
      <c r="D51" s="134">
        <f t="shared" ref="D51" si="1">SUM(D5:D8)</f>
        <v>24.822240000000001</v>
      </c>
    </row>
    <row r="52" spans="1:4">
      <c r="A52" t="str">
        <f>lang!B9</f>
        <v>생리감정</v>
      </c>
      <c r="B52" s="134">
        <f>SUM(B13:B14)</f>
        <v>34.554000000000002</v>
      </c>
      <c r="C52" s="134"/>
      <c r="D52" s="134">
        <f t="shared" ref="D52" si="2">SUM(D13:D14)</f>
        <v>39.3063</v>
      </c>
    </row>
    <row r="53" spans="1:4">
      <c r="B53" s="50">
        <f>SUM(B50:B52)</f>
        <v>447.66800000000001</v>
      </c>
      <c r="D53" s="50">
        <f>SUM(D50:D52)</f>
        <v>82.048180000000002</v>
      </c>
    </row>
    <row r="54" spans="1:4">
      <c r="A54" t="str">
        <f>lang!B7</f>
        <v>긍정감정</v>
      </c>
      <c r="B54" s="135">
        <f>IF(B$53&lt;&gt;0,B50/B$53,0)</f>
        <v>0.54737484028342431</v>
      </c>
      <c r="C54" s="135"/>
      <c r="D54" s="135">
        <f>IF(D$53&lt;&gt;0,D50/D$53,0)</f>
        <v>0.21840386953129248</v>
      </c>
    </row>
    <row r="55" spans="1:4">
      <c r="A55" t="str">
        <f>lang!B8</f>
        <v>부정감정</v>
      </c>
      <c r="B55" s="135">
        <f>IF(B$53&lt;&gt;0,B51/B$53,0)</f>
        <v>0.37543849459867579</v>
      </c>
      <c r="C55" s="135"/>
      <c r="D55" s="135">
        <f>IF(D$53&lt;&gt;0,D51/D$53,0)</f>
        <v>0.30253248761886004</v>
      </c>
    </row>
    <row r="56" spans="1:4">
      <c r="A56" t="str">
        <f>lang!B9</f>
        <v>생리감정</v>
      </c>
      <c r="B56" s="135">
        <f>IF(B$53&lt;&gt;0,B52/B$53,0)</f>
        <v>7.7186665117899872E-2</v>
      </c>
      <c r="C56" s="135"/>
      <c r="D56" s="135">
        <f>IF(D$53&lt;&gt;0,D52/D$53,0)</f>
        <v>0.47906364284984748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56.677100000000003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4.5751600000000003E-2</v>
      </c>
      <c r="B8" s="49">
        <v>4.5751600000000003E-2</v>
      </c>
    </row>
    <row r="9" spans="1:3">
      <c r="A9" s="49">
        <v>0</v>
      </c>
      <c r="B9" s="49">
        <v>0</v>
      </c>
    </row>
    <row r="10" spans="1:3">
      <c r="A10" s="49">
        <v>0.220915</v>
      </c>
      <c r="B10" s="49">
        <v>0.220915</v>
      </c>
    </row>
    <row r="11" spans="1:3">
      <c r="A11" s="49">
        <v>0</v>
      </c>
      <c r="B11" s="49">
        <v>0</v>
      </c>
    </row>
    <row r="12" spans="1:3">
      <c r="A12" s="49">
        <v>0</v>
      </c>
      <c r="B12" s="49">
        <v>0</v>
      </c>
    </row>
    <row r="13" spans="1:3">
      <c r="A13" s="49">
        <v>0.51764699999999997</v>
      </c>
      <c r="B13" s="49">
        <v>0.51764699999999997</v>
      </c>
    </row>
    <row r="14" spans="1:3">
      <c r="A14" s="49">
        <v>0</v>
      </c>
      <c r="B14" s="49">
        <v>0</v>
      </c>
    </row>
    <row r="15" spans="1:3">
      <c r="A15" s="49">
        <v>1.35948</v>
      </c>
      <c r="B15" s="49">
        <v>1.35948</v>
      </c>
    </row>
    <row r="16" spans="1:3">
      <c r="A16" s="49">
        <v>0</v>
      </c>
      <c r="B16" s="49">
        <v>0</v>
      </c>
    </row>
    <row r="17" spans="1:2">
      <c r="A17" s="49">
        <v>0</v>
      </c>
      <c r="B17" s="49">
        <v>0</v>
      </c>
    </row>
    <row r="18" spans="1:2">
      <c r="A18" s="49">
        <v>0.90719000000000005</v>
      </c>
      <c r="B18" s="49">
        <v>0.90719000000000005</v>
      </c>
    </row>
    <row r="19" spans="1:2">
      <c r="A19" s="49">
        <v>0</v>
      </c>
      <c r="B19" s="49">
        <v>0</v>
      </c>
    </row>
    <row r="20" spans="1:2">
      <c r="A20" s="49">
        <v>0</v>
      </c>
      <c r="B20" s="49">
        <v>0</v>
      </c>
    </row>
    <row r="21" spans="1:2">
      <c r="A21" s="49">
        <v>0.60522900000000002</v>
      </c>
      <c r="B21" s="49">
        <v>0.60522900000000002</v>
      </c>
    </row>
    <row r="22" spans="1:2">
      <c r="A22" s="49">
        <v>0</v>
      </c>
      <c r="B22" s="49">
        <v>0</v>
      </c>
    </row>
    <row r="23" spans="1:2">
      <c r="A23" s="49">
        <v>0.92679699999999998</v>
      </c>
      <c r="B23" s="49">
        <v>0.92679699999999998</v>
      </c>
    </row>
    <row r="24" spans="1:2">
      <c r="A24" s="49">
        <v>0</v>
      </c>
      <c r="B24" s="49">
        <v>0</v>
      </c>
    </row>
    <row r="25" spans="1:2">
      <c r="A25" s="49">
        <v>0</v>
      </c>
      <c r="B25" s="49">
        <v>0</v>
      </c>
    </row>
    <row r="26" spans="1:2">
      <c r="A26" s="49">
        <v>0.70588200000000001</v>
      </c>
      <c r="B26" s="49">
        <v>0.70588200000000001</v>
      </c>
    </row>
    <row r="27" spans="1:2">
      <c r="A27" s="49">
        <v>0</v>
      </c>
      <c r="B27" s="49">
        <v>0</v>
      </c>
    </row>
    <row r="28" spans="1:2">
      <c r="A28" s="49">
        <v>0.47058800000000001</v>
      </c>
      <c r="B28" s="49">
        <v>0.47058800000000001</v>
      </c>
    </row>
    <row r="29" spans="1:2">
      <c r="A29" s="49">
        <v>0</v>
      </c>
      <c r="B29" s="49">
        <v>0</v>
      </c>
    </row>
    <row r="30" spans="1:2">
      <c r="A30" s="49">
        <v>0</v>
      </c>
      <c r="B30" s="49">
        <v>0</v>
      </c>
    </row>
    <row r="31" spans="1:2">
      <c r="A31" s="49">
        <v>0.83398700000000003</v>
      </c>
      <c r="B31" s="49">
        <v>0.83398700000000003</v>
      </c>
    </row>
    <row r="32" spans="1:2">
      <c r="A32" s="49">
        <v>0</v>
      </c>
      <c r="B32" s="49">
        <v>0</v>
      </c>
    </row>
    <row r="33" spans="1:2">
      <c r="A33" s="49">
        <v>0.596078</v>
      </c>
      <c r="B33" s="49">
        <v>0.596078</v>
      </c>
    </row>
    <row r="34" spans="1:2">
      <c r="A34" s="49">
        <v>0</v>
      </c>
      <c r="B34" s="49">
        <v>0</v>
      </c>
    </row>
    <row r="35" spans="1:2">
      <c r="A35" s="49">
        <v>0</v>
      </c>
      <c r="B35" s="49">
        <v>0</v>
      </c>
    </row>
    <row r="36" spans="1:2">
      <c r="A36" s="49">
        <v>0.98562099999999997</v>
      </c>
      <c r="B36" s="49">
        <v>0.98562099999999997</v>
      </c>
    </row>
    <row r="37" spans="1:2">
      <c r="A37" s="49">
        <v>0</v>
      </c>
      <c r="B37" s="49">
        <v>0</v>
      </c>
    </row>
    <row r="38" spans="1:2">
      <c r="A38" s="49">
        <v>0</v>
      </c>
      <c r="B38" s="49">
        <v>0</v>
      </c>
    </row>
    <row r="39" spans="1:2">
      <c r="A39" s="49">
        <v>2.7503299999999999</v>
      </c>
      <c r="B39" s="49">
        <v>2.7503299999999999</v>
      </c>
    </row>
    <row r="40" spans="1:2">
      <c r="A40" s="49">
        <v>0</v>
      </c>
      <c r="B40" s="49">
        <v>0</v>
      </c>
    </row>
    <row r="41" spans="1:2">
      <c r="A41" s="49">
        <v>2.6143800000000001</v>
      </c>
      <c r="B41" s="49">
        <v>2.6143800000000001</v>
      </c>
    </row>
    <row r="42" spans="1:2">
      <c r="A42" s="49">
        <v>0</v>
      </c>
      <c r="B42" s="49">
        <v>0</v>
      </c>
    </row>
    <row r="43" spans="1:2">
      <c r="A43" s="49">
        <v>0</v>
      </c>
      <c r="B43" s="49">
        <v>0</v>
      </c>
    </row>
    <row r="44" spans="1:2">
      <c r="A44" s="49">
        <v>4.22614</v>
      </c>
      <c r="B44" s="49">
        <v>4.22614</v>
      </c>
    </row>
    <row r="45" spans="1:2">
      <c r="A45" s="49">
        <v>0</v>
      </c>
      <c r="B45" s="49">
        <v>0</v>
      </c>
    </row>
    <row r="46" spans="1:2">
      <c r="A46" s="49">
        <v>3.2117599999999999</v>
      </c>
      <c r="B46" s="49">
        <v>3.2117599999999999</v>
      </c>
    </row>
    <row r="47" spans="1:2">
      <c r="A47" s="49">
        <v>0</v>
      </c>
      <c r="B47" s="49">
        <v>0</v>
      </c>
    </row>
    <row r="48" spans="1:2">
      <c r="A48" s="49">
        <v>0</v>
      </c>
      <c r="B48" s="49">
        <v>0</v>
      </c>
    </row>
    <row r="49" spans="1:2">
      <c r="A49" s="49">
        <v>1.4823500000000001</v>
      </c>
      <c r="B49" s="49">
        <v>1.4823500000000001</v>
      </c>
    </row>
    <row r="50" spans="1:2">
      <c r="A50" s="49">
        <v>0</v>
      </c>
      <c r="B50" s="49">
        <v>0</v>
      </c>
    </row>
    <row r="51" spans="1:2">
      <c r="A51" s="49">
        <v>1.76993</v>
      </c>
      <c r="B51" s="49">
        <v>1.76993</v>
      </c>
    </row>
    <row r="52" spans="1:2">
      <c r="A52" s="49">
        <v>0</v>
      </c>
      <c r="B52" s="49">
        <v>0</v>
      </c>
    </row>
    <row r="53" spans="1:2">
      <c r="A53" s="49">
        <v>0</v>
      </c>
      <c r="B53" s="49">
        <v>0</v>
      </c>
    </row>
    <row r="54" spans="1:2">
      <c r="A54" s="49">
        <v>2.0758200000000002</v>
      </c>
      <c r="B54" s="49">
        <v>2.0758200000000002</v>
      </c>
    </row>
    <row r="55" spans="1:2">
      <c r="A55" s="49">
        <v>0</v>
      </c>
      <c r="B55" s="49">
        <v>0</v>
      </c>
    </row>
    <row r="56" spans="1:2">
      <c r="A56" s="49">
        <v>0</v>
      </c>
      <c r="B56" s="49">
        <v>0</v>
      </c>
    </row>
    <row r="57" spans="1:2">
      <c r="A57" s="49">
        <v>2.1581700000000001</v>
      </c>
      <c r="B57" s="49">
        <v>2.1581700000000001</v>
      </c>
    </row>
    <row r="58" spans="1:2">
      <c r="A58" s="49">
        <v>0</v>
      </c>
      <c r="B58" s="49">
        <v>0</v>
      </c>
    </row>
    <row r="59" spans="1:2">
      <c r="A59" s="49">
        <v>2.0797400000000001</v>
      </c>
      <c r="B59" s="49">
        <v>2.0797400000000001</v>
      </c>
    </row>
    <row r="60" spans="1:2">
      <c r="A60" s="49">
        <v>0</v>
      </c>
      <c r="B60" s="49">
        <v>0</v>
      </c>
    </row>
    <row r="61" spans="1:2">
      <c r="A61" s="49">
        <v>0</v>
      </c>
      <c r="B61" s="49">
        <v>0</v>
      </c>
    </row>
    <row r="62" spans="1:2">
      <c r="A62" s="49">
        <v>2.00915</v>
      </c>
      <c r="B62" s="49">
        <v>2.00915</v>
      </c>
    </row>
    <row r="63" spans="1:2">
      <c r="A63" s="49">
        <v>0</v>
      </c>
      <c r="B63" s="49">
        <v>0</v>
      </c>
    </row>
    <row r="64" spans="1:2">
      <c r="A64" s="49">
        <v>1.6169899999999999</v>
      </c>
      <c r="B64" s="49">
        <v>1.6169899999999999</v>
      </c>
    </row>
    <row r="65" spans="1:2">
      <c r="A65" s="49">
        <v>0</v>
      </c>
      <c r="B65" s="49">
        <v>0</v>
      </c>
    </row>
    <row r="66" spans="1:2">
      <c r="A66" s="49">
        <v>0</v>
      </c>
      <c r="B66" s="49">
        <v>0</v>
      </c>
    </row>
    <row r="67" spans="1:2">
      <c r="A67" s="49">
        <v>1.96601</v>
      </c>
      <c r="B67" s="49">
        <v>1.96601</v>
      </c>
    </row>
    <row r="68" spans="1:2">
      <c r="A68" s="49">
        <v>0</v>
      </c>
      <c r="B68" s="49">
        <v>0</v>
      </c>
    </row>
    <row r="69" spans="1:2">
      <c r="A69" s="49">
        <v>1.6771199999999999</v>
      </c>
      <c r="B69" s="49">
        <v>1.6771199999999999</v>
      </c>
    </row>
    <row r="70" spans="1:2">
      <c r="A70" s="49">
        <v>0</v>
      </c>
      <c r="B70" s="49">
        <v>0</v>
      </c>
    </row>
    <row r="71" spans="1:2">
      <c r="A71" s="49">
        <v>0</v>
      </c>
      <c r="B71" s="49">
        <v>0</v>
      </c>
    </row>
    <row r="72" spans="1:2">
      <c r="A72" s="49">
        <v>1.7529399999999999</v>
      </c>
      <c r="B72" s="49">
        <v>1.7529399999999999</v>
      </c>
    </row>
    <row r="73" spans="1:2">
      <c r="A73" s="49">
        <v>0</v>
      </c>
      <c r="B73" s="49">
        <v>0</v>
      </c>
    </row>
    <row r="74" spans="1:2">
      <c r="A74" s="49">
        <v>0</v>
      </c>
      <c r="B74" s="49">
        <v>0</v>
      </c>
    </row>
    <row r="75" spans="1:2">
      <c r="A75" s="49">
        <v>3.1280999999999999</v>
      </c>
      <c r="B75" s="49">
        <v>3.1280999999999999</v>
      </c>
    </row>
    <row r="76" spans="1:2">
      <c r="A76" s="49">
        <v>0</v>
      </c>
      <c r="B76" s="49">
        <v>0</v>
      </c>
    </row>
    <row r="77" spans="1:2">
      <c r="A77" s="49">
        <v>2.8052299999999999</v>
      </c>
      <c r="B77" s="49">
        <v>2.8052299999999999</v>
      </c>
    </row>
    <row r="78" spans="1:2">
      <c r="A78" s="49">
        <v>0</v>
      </c>
      <c r="B78" s="49">
        <v>0</v>
      </c>
    </row>
    <row r="79" spans="1:2">
      <c r="A79" s="49">
        <v>0</v>
      </c>
      <c r="B79" s="49">
        <v>0</v>
      </c>
    </row>
    <row r="80" spans="1:2">
      <c r="A80" s="49">
        <v>2.2431399999999999</v>
      </c>
      <c r="B80" s="49">
        <v>2.2431399999999999</v>
      </c>
    </row>
    <row r="81" spans="1:2">
      <c r="A81" s="49">
        <v>0</v>
      </c>
      <c r="B81" s="49">
        <v>0</v>
      </c>
    </row>
    <row r="82" spans="1:2">
      <c r="A82" s="49">
        <v>2.5411800000000002</v>
      </c>
      <c r="B82" s="49">
        <v>2.5411800000000002</v>
      </c>
    </row>
    <row r="83" spans="1:2">
      <c r="A83" s="49">
        <v>0</v>
      </c>
      <c r="B83" s="49">
        <v>0</v>
      </c>
    </row>
    <row r="84" spans="1:2">
      <c r="A84" s="49">
        <v>0</v>
      </c>
      <c r="B84" s="49">
        <v>0</v>
      </c>
    </row>
    <row r="85" spans="1:2">
      <c r="A85" s="49">
        <v>2.7620900000000002</v>
      </c>
      <c r="B85" s="49">
        <v>2.7620900000000002</v>
      </c>
    </row>
    <row r="86" spans="1:2">
      <c r="A86" s="49">
        <v>0</v>
      </c>
      <c r="B86" s="49">
        <v>0</v>
      </c>
    </row>
    <row r="87" spans="1:2">
      <c r="A87" s="49">
        <v>0</v>
      </c>
      <c r="B87" s="49">
        <v>0</v>
      </c>
    </row>
    <row r="88" spans="1:2">
      <c r="A88" s="49">
        <v>3.9071899999999999</v>
      </c>
      <c r="B88" s="49">
        <v>3.9071899999999999</v>
      </c>
    </row>
    <row r="89" spans="1:2">
      <c r="A89" s="49">
        <v>0</v>
      </c>
      <c r="B89" s="49">
        <v>0</v>
      </c>
    </row>
    <row r="90" spans="1:2">
      <c r="A90" s="49">
        <v>4.7908499999999998</v>
      </c>
      <c r="B90" s="49">
        <v>4.7908499999999998</v>
      </c>
    </row>
    <row r="91" spans="1:2">
      <c r="A91" s="49">
        <v>0</v>
      </c>
      <c r="B91" s="49">
        <v>0</v>
      </c>
    </row>
    <row r="92" spans="1:2">
      <c r="A92" s="49">
        <v>0</v>
      </c>
      <c r="B92" s="49">
        <v>0</v>
      </c>
    </row>
    <row r="93" spans="1:2">
      <c r="A93" s="49">
        <v>3.0143800000000001</v>
      </c>
      <c r="B93" s="49">
        <v>3.0143800000000001</v>
      </c>
    </row>
    <row r="94" spans="1:2">
      <c r="A94" s="49">
        <v>0</v>
      </c>
      <c r="B94" s="49">
        <v>0</v>
      </c>
    </row>
    <row r="95" spans="1:2">
      <c r="A95" s="49">
        <v>3.6143800000000001</v>
      </c>
      <c r="B95" s="49">
        <v>3.6143800000000001</v>
      </c>
    </row>
    <row r="96" spans="1:2">
      <c r="A96" s="49">
        <v>0</v>
      </c>
      <c r="B96" s="49">
        <v>0</v>
      </c>
    </row>
    <row r="97" spans="1:2">
      <c r="A97" s="49">
        <v>0</v>
      </c>
      <c r="B97" s="49">
        <v>0</v>
      </c>
    </row>
    <row r="98" spans="1:2">
      <c r="A98" s="49">
        <v>3.9803899999999999</v>
      </c>
      <c r="B98" s="49">
        <v>3.9803899999999999</v>
      </c>
    </row>
    <row r="99" spans="1:2">
      <c r="A99" s="49">
        <v>0</v>
      </c>
      <c r="B99" s="49">
        <v>0</v>
      </c>
    </row>
    <row r="100" spans="1:2">
      <c r="A100" s="49">
        <v>6.6967299999999996</v>
      </c>
      <c r="B100" s="49">
        <v>6.6967299999999996</v>
      </c>
    </row>
    <row r="101" spans="1:2">
      <c r="A101" s="49">
        <v>0</v>
      </c>
      <c r="B101" s="49">
        <v>0</v>
      </c>
    </row>
    <row r="102" spans="1:2">
      <c r="A102" s="49">
        <v>0</v>
      </c>
      <c r="B102" s="49">
        <v>0</v>
      </c>
    </row>
    <row r="103" spans="1:2">
      <c r="A103" s="49">
        <v>6.6928099999999997</v>
      </c>
      <c r="B103" s="49">
        <v>6.6928099999999997</v>
      </c>
    </row>
    <row r="104" spans="1:2">
      <c r="A104" s="49">
        <v>0</v>
      </c>
      <c r="B104" s="49">
        <v>0</v>
      </c>
    </row>
    <row r="105" spans="1:2">
      <c r="A105" s="49">
        <v>0</v>
      </c>
      <c r="B105" s="49">
        <v>0</v>
      </c>
    </row>
    <row r="106" spans="1:2">
      <c r="A106" s="49">
        <v>7.5973899999999999</v>
      </c>
      <c r="B106" s="49">
        <v>7.5973899999999999</v>
      </c>
    </row>
    <row r="107" spans="1:2">
      <c r="A107" s="49">
        <v>0</v>
      </c>
      <c r="B107" s="49">
        <v>0</v>
      </c>
    </row>
    <row r="108" spans="1:2">
      <c r="A108" s="49">
        <v>7.3634000000000004</v>
      </c>
      <c r="B108" s="49">
        <v>7.3634000000000004</v>
      </c>
    </row>
    <row r="109" spans="1:2">
      <c r="A109" s="49">
        <v>0</v>
      </c>
      <c r="B109" s="49">
        <v>0</v>
      </c>
    </row>
    <row r="110" spans="1:2">
      <c r="A110" s="49">
        <v>0</v>
      </c>
      <c r="B110" s="49">
        <v>0</v>
      </c>
    </row>
    <row r="111" spans="1:2">
      <c r="A111" s="49">
        <v>6.8509799999999998</v>
      </c>
      <c r="B111" s="49">
        <v>6.8509799999999998</v>
      </c>
    </row>
    <row r="112" spans="1:2">
      <c r="A112" s="49">
        <v>0</v>
      </c>
      <c r="B112" s="49">
        <v>0</v>
      </c>
    </row>
    <row r="113" spans="1:2">
      <c r="A113" s="49">
        <v>5.6431399999999998</v>
      </c>
      <c r="B113" s="49">
        <v>5.6431399999999998</v>
      </c>
    </row>
    <row r="114" spans="1:2">
      <c r="A114" s="49">
        <v>0</v>
      </c>
      <c r="B114" s="49">
        <v>0</v>
      </c>
    </row>
    <row r="115" spans="1:2">
      <c r="A115" s="49">
        <v>0</v>
      </c>
      <c r="B115" s="49">
        <v>0</v>
      </c>
    </row>
    <row r="116" spans="1:2">
      <c r="A116" s="49">
        <v>5.3751600000000002</v>
      </c>
      <c r="B116" s="49">
        <v>5.3751600000000002</v>
      </c>
    </row>
    <row r="117" spans="1:2">
      <c r="A117" s="49">
        <v>0</v>
      </c>
      <c r="B117" s="49">
        <v>0</v>
      </c>
    </row>
    <row r="118" spans="1:2">
      <c r="A118" s="49">
        <v>5.9451000000000001</v>
      </c>
      <c r="B118" s="49">
        <v>5.9451000000000001</v>
      </c>
    </row>
    <row r="119" spans="1:2">
      <c r="A119" s="49">
        <v>0</v>
      </c>
      <c r="B119" s="49">
        <v>0</v>
      </c>
    </row>
    <row r="120" spans="1:2">
      <c r="A120" s="49">
        <v>0</v>
      </c>
      <c r="B120" s="49">
        <v>0</v>
      </c>
    </row>
    <row r="121" spans="1:2">
      <c r="A121" s="49">
        <v>8.1346399999999992</v>
      </c>
      <c r="B121" s="49">
        <v>8.1346399999999992</v>
      </c>
    </row>
    <row r="122" spans="1:2">
      <c r="A122" s="49">
        <v>0</v>
      </c>
      <c r="B122" s="49">
        <v>0</v>
      </c>
    </row>
    <row r="123" spans="1:2">
      <c r="A123" s="49">
        <v>0</v>
      </c>
      <c r="B123" s="49">
        <v>0</v>
      </c>
    </row>
    <row r="124" spans="1:2">
      <c r="A124" s="49">
        <v>10.5974</v>
      </c>
      <c r="B124" s="49">
        <v>10.5974</v>
      </c>
    </row>
    <row r="125" spans="1:2">
      <c r="A125" s="49">
        <v>0</v>
      </c>
      <c r="B125" s="49">
        <v>0</v>
      </c>
    </row>
    <row r="126" spans="1:2">
      <c r="A126" s="49">
        <v>13.196099999999999</v>
      </c>
      <c r="B126" s="49">
        <v>13.196099999999999</v>
      </c>
    </row>
    <row r="127" spans="1:2">
      <c r="A127" s="49">
        <v>0</v>
      </c>
      <c r="B127" s="49">
        <v>0</v>
      </c>
    </row>
    <row r="128" spans="1:2">
      <c r="A128" s="49">
        <v>0</v>
      </c>
      <c r="B128" s="49">
        <v>0</v>
      </c>
    </row>
    <row r="129" spans="1:2">
      <c r="A129" s="49">
        <v>16.8902</v>
      </c>
      <c r="B129" s="49">
        <v>16.8902</v>
      </c>
    </row>
    <row r="130" spans="1:2">
      <c r="A130" s="49">
        <v>0</v>
      </c>
      <c r="B130" s="49">
        <v>0</v>
      </c>
    </row>
    <row r="131" spans="1:2">
      <c r="A131" s="49">
        <v>21.104600000000001</v>
      </c>
      <c r="B131" s="49">
        <v>21.104600000000001</v>
      </c>
    </row>
    <row r="132" spans="1:2">
      <c r="A132" s="49">
        <v>0</v>
      </c>
      <c r="B132" s="49">
        <v>0</v>
      </c>
    </row>
    <row r="133" spans="1:2">
      <c r="A133" s="49">
        <v>0</v>
      </c>
      <c r="B133" s="49">
        <v>0</v>
      </c>
    </row>
    <row r="134" spans="1:2">
      <c r="A134" s="49">
        <v>33.392200000000003</v>
      </c>
      <c r="B134" s="49">
        <v>33.392200000000003</v>
      </c>
    </row>
    <row r="135" spans="1:2">
      <c r="A135" s="49">
        <v>0</v>
      </c>
      <c r="B135" s="49">
        <v>0</v>
      </c>
    </row>
    <row r="136" spans="1:2">
      <c r="A136" s="49">
        <v>37.5229</v>
      </c>
      <c r="B136" s="49">
        <v>37.5229</v>
      </c>
    </row>
    <row r="137" spans="1:2">
      <c r="A137" s="49">
        <v>0</v>
      </c>
      <c r="B137" s="49">
        <v>0</v>
      </c>
    </row>
    <row r="138" spans="1:2">
      <c r="A138" s="49">
        <v>0</v>
      </c>
      <c r="B138" s="49">
        <v>0</v>
      </c>
    </row>
    <row r="139" spans="1:2">
      <c r="A139" s="49">
        <v>44.488900000000001</v>
      </c>
      <c r="B139" s="49">
        <v>44.488900000000001</v>
      </c>
    </row>
    <row r="140" spans="1:2">
      <c r="A140" s="49">
        <v>0</v>
      </c>
      <c r="B140" s="49">
        <v>0</v>
      </c>
    </row>
    <row r="141" spans="1:2">
      <c r="A141" s="49">
        <v>0</v>
      </c>
      <c r="B141" s="49">
        <v>0</v>
      </c>
    </row>
    <row r="142" spans="1:2">
      <c r="A142" s="49">
        <v>43.864100000000001</v>
      </c>
      <c r="B142" s="49">
        <v>43.864100000000001</v>
      </c>
    </row>
    <row r="143" spans="1:2">
      <c r="A143" s="49">
        <v>0</v>
      </c>
      <c r="B143" s="49">
        <v>0</v>
      </c>
    </row>
    <row r="144" spans="1:2">
      <c r="A144" s="49">
        <v>50.534599999999998</v>
      </c>
      <c r="B144" s="49">
        <v>50.534599999999998</v>
      </c>
    </row>
    <row r="145" spans="1:2">
      <c r="A145" s="49">
        <v>0</v>
      </c>
      <c r="B145" s="49">
        <v>0</v>
      </c>
    </row>
    <row r="146" spans="1:2">
      <c r="A146" s="49">
        <v>0</v>
      </c>
      <c r="B146" s="49">
        <v>0</v>
      </c>
    </row>
    <row r="147" spans="1:2">
      <c r="A147" s="49">
        <v>56.677100000000003</v>
      </c>
      <c r="B147" s="49">
        <v>56.677100000000003</v>
      </c>
    </row>
    <row r="148" spans="1:2">
      <c r="A148" s="49">
        <v>0</v>
      </c>
      <c r="B148" s="49">
        <v>0</v>
      </c>
    </row>
    <row r="149" spans="1:2">
      <c r="A149" s="49">
        <v>52.539900000000003</v>
      </c>
      <c r="B149" s="49">
        <v>52.539900000000003</v>
      </c>
    </row>
    <row r="150" spans="1:2">
      <c r="A150" s="49">
        <v>0</v>
      </c>
      <c r="B150" s="49">
        <v>0</v>
      </c>
    </row>
    <row r="151" spans="1:2">
      <c r="A151" s="49">
        <v>0</v>
      </c>
      <c r="B151" s="49">
        <v>0</v>
      </c>
    </row>
    <row r="152" spans="1:2">
      <c r="A152" s="49">
        <v>42.783000000000001</v>
      </c>
      <c r="B152" s="49">
        <v>42.783000000000001</v>
      </c>
    </row>
    <row r="153" spans="1:2">
      <c r="A153" s="49">
        <v>0</v>
      </c>
      <c r="B153" s="49">
        <v>0</v>
      </c>
    </row>
    <row r="154" spans="1:2">
      <c r="A154" s="49">
        <v>43.343800000000002</v>
      </c>
      <c r="B154" s="49">
        <v>43.343800000000002</v>
      </c>
    </row>
    <row r="155" spans="1:2">
      <c r="A155" s="49">
        <v>0</v>
      </c>
      <c r="B155" s="49">
        <v>0</v>
      </c>
    </row>
    <row r="156" spans="1:2">
      <c r="A156" s="49">
        <v>0</v>
      </c>
      <c r="B156" s="49">
        <v>0</v>
      </c>
    </row>
    <row r="157" spans="1:2">
      <c r="A157" s="49">
        <v>39.875799999999998</v>
      </c>
      <c r="B157" s="49">
        <v>39.875799999999998</v>
      </c>
    </row>
    <row r="158" spans="1:2">
      <c r="A158" s="49">
        <v>0</v>
      </c>
      <c r="B158" s="49">
        <v>0</v>
      </c>
    </row>
    <row r="159" spans="1:2">
      <c r="A159" s="49">
        <v>0</v>
      </c>
      <c r="B159" s="49">
        <v>0</v>
      </c>
    </row>
    <row r="160" spans="1:2">
      <c r="A160" s="49">
        <v>28.397400000000001</v>
      </c>
      <c r="B160" s="49">
        <v>28.397400000000001</v>
      </c>
    </row>
    <row r="161" spans="1:2">
      <c r="A161" s="49">
        <v>0</v>
      </c>
      <c r="B161" s="49">
        <v>0</v>
      </c>
    </row>
    <row r="162" spans="1:2">
      <c r="A162" s="49">
        <v>30.268000000000001</v>
      </c>
      <c r="B162" s="49">
        <v>30.268000000000001</v>
      </c>
    </row>
    <row r="163" spans="1:2">
      <c r="A163" s="49">
        <v>0</v>
      </c>
      <c r="B163" s="49">
        <v>0</v>
      </c>
    </row>
    <row r="164" spans="1:2">
      <c r="A164" s="49">
        <v>0</v>
      </c>
      <c r="B164" s="49">
        <v>0</v>
      </c>
    </row>
    <row r="165" spans="1:2">
      <c r="A165" s="49">
        <v>39.562100000000001</v>
      </c>
      <c r="B165" s="49">
        <v>39.562100000000001</v>
      </c>
    </row>
    <row r="166" spans="1:2">
      <c r="A166" s="49">
        <v>0</v>
      </c>
      <c r="B166" s="49">
        <v>0</v>
      </c>
    </row>
    <row r="167" spans="1:2">
      <c r="A167" s="49">
        <v>49.015700000000002</v>
      </c>
      <c r="B167" s="49">
        <v>49.015700000000002</v>
      </c>
    </row>
    <row r="168" spans="1:2">
      <c r="A168" s="49">
        <v>0</v>
      </c>
      <c r="B168" s="49">
        <v>0</v>
      </c>
    </row>
    <row r="169" spans="1:2">
      <c r="A169" s="49">
        <v>0</v>
      </c>
      <c r="B169" s="49">
        <v>0</v>
      </c>
    </row>
    <row r="170" spans="1:2">
      <c r="A170" s="49">
        <v>44.803899999999999</v>
      </c>
      <c r="B170" s="49">
        <v>44.803899999999999</v>
      </c>
    </row>
    <row r="171" spans="1:2">
      <c r="A171" s="49">
        <v>0</v>
      </c>
      <c r="B171" s="49">
        <v>0</v>
      </c>
    </row>
    <row r="172" spans="1:2">
      <c r="A172" s="49">
        <v>0</v>
      </c>
      <c r="B172" s="49">
        <v>0</v>
      </c>
    </row>
    <row r="173" spans="1:2">
      <c r="A173" s="49">
        <v>43.4758</v>
      </c>
      <c r="B173" s="49">
        <v>43.4758</v>
      </c>
    </row>
    <row r="174" spans="1:2">
      <c r="A174" s="49">
        <v>0</v>
      </c>
      <c r="B174" s="49">
        <v>0</v>
      </c>
    </row>
    <row r="175" spans="1:2">
      <c r="A175" s="49">
        <v>48.698</v>
      </c>
      <c r="B175" s="49">
        <v>48.698</v>
      </c>
    </row>
    <row r="176" spans="1:2">
      <c r="A176" s="49">
        <v>0</v>
      </c>
      <c r="B176" s="49">
        <v>0</v>
      </c>
    </row>
    <row r="177" spans="1:2">
      <c r="A177" s="49">
        <v>0</v>
      </c>
      <c r="B177" s="49">
        <v>0</v>
      </c>
    </row>
    <row r="178" spans="1:2">
      <c r="A178" s="49">
        <v>42.8065</v>
      </c>
      <c r="B178" s="49">
        <v>42.8065</v>
      </c>
    </row>
    <row r="179" spans="1:2">
      <c r="A179" s="49">
        <v>0</v>
      </c>
      <c r="B179" s="49">
        <v>0</v>
      </c>
    </row>
    <row r="180" spans="1:2">
      <c r="A180" s="49">
        <v>38.894100000000002</v>
      </c>
      <c r="B180" s="49">
        <v>38.894100000000002</v>
      </c>
    </row>
    <row r="181" spans="1:2">
      <c r="A181" s="49">
        <v>0</v>
      </c>
      <c r="B181" s="49">
        <v>0</v>
      </c>
    </row>
    <row r="182" spans="1:2">
      <c r="A182" s="49">
        <v>0</v>
      </c>
      <c r="B182" s="49">
        <v>0</v>
      </c>
    </row>
    <row r="183" spans="1:2">
      <c r="A183" s="49">
        <v>33.071899999999999</v>
      </c>
      <c r="B183" s="49">
        <v>33.071899999999999</v>
      </c>
    </row>
    <row r="184" spans="1:2">
      <c r="A184" s="49">
        <v>0</v>
      </c>
      <c r="B184" s="49">
        <v>0</v>
      </c>
    </row>
    <row r="185" spans="1:2">
      <c r="A185" s="49">
        <v>27.768599999999999</v>
      </c>
      <c r="B185" s="49">
        <v>27.768599999999999</v>
      </c>
    </row>
    <row r="186" spans="1:2">
      <c r="A186" s="49">
        <v>0</v>
      </c>
      <c r="B186" s="49">
        <v>0</v>
      </c>
    </row>
    <row r="187" spans="1:2">
      <c r="A187" s="49">
        <v>0</v>
      </c>
      <c r="B187" s="49">
        <v>0</v>
      </c>
    </row>
    <row r="188" spans="1:2">
      <c r="A188" s="49">
        <v>22.039200000000001</v>
      </c>
      <c r="B188" s="49">
        <v>22.039200000000001</v>
      </c>
    </row>
    <row r="189" spans="1:2">
      <c r="A189" s="49">
        <v>0</v>
      </c>
      <c r="B189" s="49">
        <v>0</v>
      </c>
    </row>
    <row r="190" spans="1:2">
      <c r="A190" s="49">
        <v>0</v>
      </c>
      <c r="B190" s="49">
        <v>0</v>
      </c>
    </row>
    <row r="191" spans="1:2">
      <c r="A191" s="49">
        <v>20.349</v>
      </c>
      <c r="B191" s="49">
        <v>20.349</v>
      </c>
    </row>
    <row r="192" spans="1:2">
      <c r="A192" s="49">
        <v>0</v>
      </c>
      <c r="B192" s="49">
        <v>0</v>
      </c>
    </row>
    <row r="193" spans="1:2">
      <c r="A193" s="49">
        <v>19.315000000000001</v>
      </c>
      <c r="B193" s="49">
        <v>19.315000000000001</v>
      </c>
    </row>
    <row r="194" spans="1:2">
      <c r="A194" s="49">
        <v>0</v>
      </c>
      <c r="B194" s="49">
        <v>0</v>
      </c>
    </row>
    <row r="195" spans="1:2">
      <c r="A195" s="49">
        <v>0</v>
      </c>
      <c r="B195" s="49">
        <v>0</v>
      </c>
    </row>
    <row r="196" spans="1:2">
      <c r="A196" s="49">
        <v>20.169899999999998</v>
      </c>
      <c r="B196" s="49">
        <v>20.169899999999998</v>
      </c>
    </row>
    <row r="197" spans="1:2">
      <c r="A197" s="49">
        <v>0</v>
      </c>
      <c r="B197" s="49">
        <v>0</v>
      </c>
    </row>
    <row r="198" spans="1:2">
      <c r="A198" s="49">
        <v>22.112400000000001</v>
      </c>
      <c r="B198" s="49">
        <v>22.112400000000001</v>
      </c>
    </row>
    <row r="199" spans="1:2">
      <c r="A199" s="49">
        <v>0</v>
      </c>
      <c r="B199" s="49">
        <v>0</v>
      </c>
    </row>
    <row r="200" spans="1:2">
      <c r="A200" s="49">
        <v>0</v>
      </c>
      <c r="B200" s="49">
        <v>0</v>
      </c>
    </row>
    <row r="201" spans="1:2">
      <c r="A201" s="49">
        <v>27.179099999999998</v>
      </c>
      <c r="B201" s="49">
        <v>27.179099999999998</v>
      </c>
    </row>
    <row r="202" spans="1:2">
      <c r="A202" s="49">
        <v>0</v>
      </c>
      <c r="B202" s="49">
        <v>0</v>
      </c>
    </row>
    <row r="203" spans="1:2">
      <c r="A203" s="49">
        <v>28.892800000000001</v>
      </c>
      <c r="B203" s="49">
        <v>28.892800000000001</v>
      </c>
    </row>
    <row r="204" spans="1:2">
      <c r="A204" s="49">
        <v>0</v>
      </c>
      <c r="B204" s="49">
        <v>0</v>
      </c>
    </row>
    <row r="205" spans="1:2">
      <c r="A205" s="49">
        <v>0</v>
      </c>
      <c r="B205" s="49">
        <v>0</v>
      </c>
    </row>
    <row r="206" spans="1:2">
      <c r="A206" s="49">
        <v>25.546399999999998</v>
      </c>
      <c r="B206" s="49">
        <v>25.546399999999998</v>
      </c>
    </row>
    <row r="207" spans="1:2">
      <c r="A207" s="49">
        <v>0</v>
      </c>
      <c r="B207" s="49">
        <v>0</v>
      </c>
    </row>
    <row r="208" spans="1:2">
      <c r="A208" s="49">
        <v>0</v>
      </c>
      <c r="B208" s="49">
        <v>0</v>
      </c>
    </row>
    <row r="209" spans="1:2">
      <c r="A209" s="49">
        <v>20.369900000000001</v>
      </c>
      <c r="B209" s="49">
        <v>20.369900000000001</v>
      </c>
    </row>
    <row r="210" spans="1:2">
      <c r="A210" s="49">
        <v>0</v>
      </c>
      <c r="B210" s="49">
        <v>0</v>
      </c>
    </row>
    <row r="211" spans="1:2">
      <c r="A211" s="49">
        <v>20.2013</v>
      </c>
      <c r="B211" s="49">
        <v>20.2013</v>
      </c>
    </row>
    <row r="212" spans="1:2">
      <c r="A212" s="49">
        <v>0</v>
      </c>
      <c r="B212" s="49">
        <v>0</v>
      </c>
    </row>
    <row r="213" spans="1:2">
      <c r="A213" s="49">
        <v>0</v>
      </c>
      <c r="B213" s="49">
        <v>0</v>
      </c>
    </row>
    <row r="214" spans="1:2">
      <c r="A214" s="49">
        <v>19.854900000000001</v>
      </c>
      <c r="B214" s="49">
        <v>19.854900000000001</v>
      </c>
    </row>
    <row r="215" spans="1:2">
      <c r="A215" s="49">
        <v>0</v>
      </c>
      <c r="B215" s="49">
        <v>0</v>
      </c>
    </row>
    <row r="216" spans="1:2">
      <c r="A216" s="49">
        <v>21.564699999999998</v>
      </c>
      <c r="B216" s="49">
        <v>21.564699999999998</v>
      </c>
    </row>
    <row r="217" spans="1:2">
      <c r="A217" s="49">
        <v>0</v>
      </c>
      <c r="B217" s="49">
        <v>0</v>
      </c>
    </row>
    <row r="218" spans="1:2">
      <c r="A218" s="49">
        <v>0</v>
      </c>
      <c r="B218" s="49">
        <v>0</v>
      </c>
    </row>
    <row r="219" spans="1:2">
      <c r="A219" s="49">
        <v>11.657500000000001</v>
      </c>
      <c r="B219" s="49">
        <v>11.657500000000001</v>
      </c>
    </row>
    <row r="220" spans="1:2">
      <c r="A220" s="49">
        <v>0</v>
      </c>
      <c r="B220" s="49">
        <v>0</v>
      </c>
    </row>
    <row r="221" spans="1:2">
      <c r="A221" s="49">
        <v>9.2287599999999994</v>
      </c>
      <c r="B221" s="49">
        <v>9.2287599999999994</v>
      </c>
    </row>
    <row r="222" spans="1:2">
      <c r="A222" s="49">
        <v>0</v>
      </c>
      <c r="B222" s="49">
        <v>0</v>
      </c>
    </row>
    <row r="223" spans="1:2">
      <c r="A223" s="49">
        <v>0</v>
      </c>
      <c r="B223" s="49">
        <v>0</v>
      </c>
    </row>
    <row r="224" spans="1:2">
      <c r="A224" s="49">
        <v>2.49804</v>
      </c>
      <c r="B224" s="49">
        <v>2.49804</v>
      </c>
    </row>
    <row r="225" spans="1:2">
      <c r="A225" s="49">
        <v>0</v>
      </c>
      <c r="B225" s="49">
        <v>0</v>
      </c>
    </row>
    <row r="226" spans="1:2">
      <c r="A226" s="49">
        <v>0</v>
      </c>
      <c r="B226" s="49">
        <v>0</v>
      </c>
    </row>
    <row r="227" spans="1:2">
      <c r="A227" s="49">
        <v>1.2248399999999999</v>
      </c>
      <c r="B227" s="49">
        <v>1.2248399999999999</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0.61330099999999999</v>
      </c>
      <c r="B2" s="49">
        <v>0.319608</v>
      </c>
      <c r="C2">
        <v>0</v>
      </c>
      <c r="D2">
        <v>0</v>
      </c>
      <c r="E2" t="s">
        <v>1161</v>
      </c>
      <c r="F2" s="49">
        <f>IF(A2&lt;&gt;"",1,"")</f>
        <v>1</v>
      </c>
      <c r="G2">
        <f>IF($H8&gt;0,LOOKUP(COUNT(A2:A1000)*$H8,F2:F1000,A2:A1000),LOOKUP(1,F2:F1000,A2:A1000))</f>
        <v>0.61559699999999995</v>
      </c>
      <c r="H2">
        <f>IF($H8&gt;0,LOOKUP(COUNT(B2:B1000)*$H8,F2:F1000,B2:B1000),LOOKUP(1,F2:F1000,B2:B1000))</f>
        <v>0.31442100000000001</v>
      </c>
      <c r="J2" s="49">
        <f>IF(A2&lt;&gt;"",A2*10,"")</f>
        <v>6.1330099999999996</v>
      </c>
      <c r="K2" s="49">
        <f>IF(B2&lt;&gt;"",B2*100,"")</f>
        <v>31.960799999999999</v>
      </c>
      <c r="L2" s="49">
        <f>IF(F2&lt;&gt;"",IF(K2&lt;&gt;0,K2/J2,0),"")</f>
        <v>5.2112747248088622</v>
      </c>
    </row>
    <row r="3" spans="1:12">
      <c r="A3" s="49">
        <v>0.61559699999999995</v>
      </c>
      <c r="B3" s="49">
        <v>0.31442100000000001</v>
      </c>
      <c r="C3">
        <v>0.37781399999999998</v>
      </c>
      <c r="D3">
        <v>0</v>
      </c>
      <c r="E3" t="s">
        <v>2560</v>
      </c>
      <c r="F3" s="49">
        <f>IF(A3&lt;&gt;"",F2+1,"")</f>
        <v>2</v>
      </c>
      <c r="G3">
        <f>IF($H9&gt;0,LOOKUP(COUNT(A2:A1000)*$H9,F2:F1000,A2:A1000),LOOKUP(1,F2:F1000,A2:A1000))</f>
        <v>0.63187499999999996</v>
      </c>
      <c r="H3">
        <f>IF($H9&gt;0,LOOKUP(COUNT(B2:B1000)*$H9,F2:F1000,B2:B1000),LOOKUP(1,F2:F1000,B2:B1000))</f>
        <v>0.30496400000000001</v>
      </c>
      <c r="J3" s="49">
        <f t="shared" ref="J3:J66" si="0">IF(A3&lt;&gt;"",A3*10,"")</f>
        <v>6.1559699999999999</v>
      </c>
      <c r="K3" s="49">
        <f t="shared" ref="K3:K66" si="1">IF(B3&lt;&gt;"",B3*100,"")</f>
        <v>31.4421</v>
      </c>
      <c r="L3" s="49">
        <f t="shared" ref="L3:L66" si="2">IF(F3&lt;&gt;"",IF(K3&lt;&gt;0,K3/J3,0),"")</f>
        <v>5.1075784969712332</v>
      </c>
    </row>
    <row r="4" spans="1:12">
      <c r="A4" s="49">
        <v>0.61712100000000003</v>
      </c>
      <c r="B4" s="49">
        <v>0.31028800000000001</v>
      </c>
      <c r="C4">
        <v>0.77868199999999999</v>
      </c>
      <c r="D4">
        <v>0</v>
      </c>
      <c r="E4" t="s">
        <v>2561</v>
      </c>
      <c r="F4" s="49">
        <f t="shared" ref="F4:F67" si="3">IF(A4&lt;&gt;"",F3+1,"")</f>
        <v>3</v>
      </c>
      <c r="G4" s="71" t="s">
        <v>209</v>
      </c>
      <c r="H4" s="23">
        <f>IF(ISERROR(G3-G2)=FALSE,(G3-G2)*10,0)</f>
        <v>0.16278000000000015</v>
      </c>
      <c r="J4" s="49">
        <f t="shared" si="0"/>
        <v>6.1712100000000003</v>
      </c>
      <c r="K4" s="49">
        <f t="shared" si="1"/>
        <v>31.0288</v>
      </c>
      <c r="L4" s="49">
        <f t="shared" si="2"/>
        <v>5.0279928895629871</v>
      </c>
    </row>
    <row r="5" spans="1:12">
      <c r="A5" s="49">
        <v>0.61809000000000003</v>
      </c>
      <c r="B5" s="49">
        <v>0.30757699999999999</v>
      </c>
      <c r="C5">
        <v>1.1932499999999999</v>
      </c>
      <c r="D5">
        <v>0</v>
      </c>
      <c r="E5" t="s">
        <v>2562</v>
      </c>
      <c r="F5" s="49">
        <f t="shared" si="3"/>
        <v>4</v>
      </c>
      <c r="G5" s="71" t="s">
        <v>210</v>
      </c>
      <c r="H5" s="23">
        <f>IF(ISERROR(H3-H2)=FALSE,H3-H2,0)</f>
        <v>-9.4569999999999932E-3</v>
      </c>
      <c r="J5" s="49">
        <f t="shared" si="0"/>
        <v>6.1809000000000003</v>
      </c>
      <c r="K5" s="49">
        <f t="shared" si="1"/>
        <v>30.7577</v>
      </c>
      <c r="L5" s="49">
        <f t="shared" si="2"/>
        <v>4.9762494135158306</v>
      </c>
    </row>
    <row r="6" spans="1:12">
      <c r="A6" s="49">
        <v>0.61911000000000005</v>
      </c>
      <c r="B6" s="49">
        <v>0.307253</v>
      </c>
      <c r="C6">
        <v>1.59883</v>
      </c>
      <c r="D6">
        <v>0</v>
      </c>
      <c r="E6" t="s">
        <v>2563</v>
      </c>
      <c r="F6" s="49">
        <f t="shared" si="3"/>
        <v>5</v>
      </c>
      <c r="G6" s="71" t="s">
        <v>211</v>
      </c>
      <c r="H6" s="23">
        <f>IF(H4&lt;&gt;0,H5/H4,0)</f>
        <v>-5.8096817790883305E-2</v>
      </c>
      <c r="J6" s="49">
        <f t="shared" si="0"/>
        <v>6.1911000000000005</v>
      </c>
      <c r="K6" s="49">
        <f t="shared" si="1"/>
        <v>30.725300000000001</v>
      </c>
      <c r="L6" s="49">
        <f t="shared" si="2"/>
        <v>4.962817592996398</v>
      </c>
    </row>
    <row r="7" spans="1:12">
      <c r="A7" s="49">
        <v>0.61974099999999999</v>
      </c>
      <c r="B7" s="49">
        <v>0.30654999999999999</v>
      </c>
      <c r="C7">
        <v>2.0051700000000001</v>
      </c>
      <c r="D7">
        <v>0</v>
      </c>
      <c r="E7" t="s">
        <v>2564</v>
      </c>
      <c r="F7" s="49">
        <f t="shared" si="3"/>
        <v>6</v>
      </c>
      <c r="G7" s="71" t="s">
        <v>212</v>
      </c>
      <c r="H7" s="23">
        <f>DEGREES(ATAN(H6))</f>
        <v>-3.3249649717710903</v>
      </c>
      <c r="J7" s="49">
        <f t="shared" si="0"/>
        <v>6.1974099999999996</v>
      </c>
      <c r="K7" s="49">
        <f t="shared" si="1"/>
        <v>30.654999999999998</v>
      </c>
      <c r="L7" s="49">
        <f t="shared" si="2"/>
        <v>4.9464211662613895</v>
      </c>
    </row>
    <row r="8" spans="1:12">
      <c r="A8" s="49">
        <v>0.61928000000000005</v>
      </c>
      <c r="B8" s="49">
        <v>0.30411899999999997</v>
      </c>
      <c r="C8">
        <v>2.4169200000000002</v>
      </c>
      <c r="D8">
        <v>0</v>
      </c>
      <c r="E8" t="s">
        <v>2565</v>
      </c>
      <c r="F8" s="49">
        <f t="shared" si="3"/>
        <v>7</v>
      </c>
      <c r="G8" s="71" t="s">
        <v>213</v>
      </c>
      <c r="H8" s="72">
        <v>0.1</v>
      </c>
      <c r="J8" s="49">
        <f t="shared" si="0"/>
        <v>6.1928000000000001</v>
      </c>
      <c r="K8" s="49">
        <f t="shared" si="1"/>
        <v>30.411899999999996</v>
      </c>
      <c r="L8" s="49">
        <f t="shared" si="2"/>
        <v>4.9108480816431976</v>
      </c>
    </row>
    <row r="9" spans="1:12">
      <c r="A9" s="49">
        <v>0.61865000000000003</v>
      </c>
      <c r="B9" s="49">
        <v>0.30321300000000001</v>
      </c>
      <c r="C9">
        <v>2.8182499999999999</v>
      </c>
      <c r="D9">
        <v>0</v>
      </c>
      <c r="E9" t="s">
        <v>2566</v>
      </c>
      <c r="F9" s="49">
        <f t="shared" si="3"/>
        <v>8</v>
      </c>
      <c r="G9" s="71" t="s">
        <v>214</v>
      </c>
      <c r="H9" s="72">
        <v>0.9</v>
      </c>
      <c r="J9" s="49">
        <f t="shared" si="0"/>
        <v>6.1865000000000006</v>
      </c>
      <c r="K9" s="49">
        <f t="shared" si="1"/>
        <v>30.321300000000001</v>
      </c>
      <c r="L9" s="49">
        <f t="shared" si="2"/>
        <v>4.9012042350278833</v>
      </c>
    </row>
    <row r="10" spans="1:12">
      <c r="A10" s="49">
        <v>0.61749799999999999</v>
      </c>
      <c r="B10" s="49">
        <v>0.29808800000000002</v>
      </c>
      <c r="C10">
        <v>3.2151399999999999</v>
      </c>
      <c r="D10">
        <v>0</v>
      </c>
      <c r="E10" t="s">
        <v>2567</v>
      </c>
      <c r="F10" s="49">
        <f t="shared" si="3"/>
        <v>9</v>
      </c>
      <c r="G10" t="s">
        <v>215</v>
      </c>
      <c r="J10" s="49">
        <f t="shared" si="0"/>
        <v>6.1749799999999997</v>
      </c>
      <c r="K10" s="49">
        <f t="shared" si="1"/>
        <v>29.808800000000002</v>
      </c>
      <c r="L10" s="49">
        <f t="shared" si="2"/>
        <v>4.8273516675357655</v>
      </c>
    </row>
    <row r="11" spans="1:12">
      <c r="A11" s="49">
        <v>0.61690800000000001</v>
      </c>
      <c r="B11" s="49">
        <v>0.29355300000000001</v>
      </c>
      <c r="C11">
        <v>3.6326999999999998</v>
      </c>
      <c r="D11">
        <v>0</v>
      </c>
      <c r="E11" t="s">
        <v>2568</v>
      </c>
      <c r="F11" s="49">
        <f t="shared" si="3"/>
        <v>10</v>
      </c>
      <c r="G11" s="71" t="s">
        <v>216</v>
      </c>
      <c r="H11" s="73">
        <f>MIN(B2:B1000)</f>
        <v>0.242785</v>
      </c>
      <c r="J11" s="49">
        <f t="shared" si="0"/>
        <v>6.1690800000000001</v>
      </c>
      <c r="K11" s="49">
        <f t="shared" si="1"/>
        <v>29.3553</v>
      </c>
      <c r="L11" s="49">
        <f t="shared" si="2"/>
        <v>4.7584566904627597</v>
      </c>
    </row>
    <row r="12" spans="1:12">
      <c r="A12" s="49">
        <v>0.61732399999999998</v>
      </c>
      <c r="B12" s="49">
        <v>0.28807700000000003</v>
      </c>
      <c r="C12">
        <v>4.0281000000000002</v>
      </c>
      <c r="D12">
        <v>0</v>
      </c>
      <c r="E12" t="s">
        <v>2569</v>
      </c>
      <c r="F12" s="49">
        <f t="shared" si="3"/>
        <v>11</v>
      </c>
      <c r="G12" s="71" t="s">
        <v>218</v>
      </c>
      <c r="H12" s="73">
        <f>MAX(B2:B1000)</f>
        <v>0.33577200000000001</v>
      </c>
      <c r="J12" s="49">
        <f t="shared" si="0"/>
        <v>6.1732399999999998</v>
      </c>
      <c r="K12" s="49">
        <f t="shared" si="1"/>
        <v>28.807700000000004</v>
      </c>
      <c r="L12" s="49">
        <f t="shared" si="2"/>
        <v>4.6665446345841088</v>
      </c>
    </row>
    <row r="13" spans="1:12">
      <c r="A13" s="49">
        <v>0.61775800000000003</v>
      </c>
      <c r="B13" s="49">
        <v>0.27957100000000001</v>
      </c>
      <c r="C13">
        <v>4.4362599999999999</v>
      </c>
      <c r="D13">
        <v>0</v>
      </c>
      <c r="E13" t="s">
        <v>2570</v>
      </c>
      <c r="F13" s="49">
        <f t="shared" si="3"/>
        <v>12</v>
      </c>
      <c r="G13" s="71" t="s">
        <v>220</v>
      </c>
      <c r="H13">
        <f>MATCH($H$11,B2:B1000,0)</f>
        <v>16</v>
      </c>
      <c r="J13" s="49">
        <f t="shared" si="0"/>
        <v>6.1775800000000007</v>
      </c>
      <c r="K13" s="49">
        <f t="shared" si="1"/>
        <v>27.957100000000001</v>
      </c>
      <c r="L13" s="49">
        <f t="shared" si="2"/>
        <v>4.5255747396229591</v>
      </c>
    </row>
    <row r="14" spans="1:12">
      <c r="A14" s="49">
        <v>0.61792899999999995</v>
      </c>
      <c r="B14" s="49">
        <v>0.26827600000000001</v>
      </c>
      <c r="C14">
        <v>4.8412199999999999</v>
      </c>
      <c r="D14">
        <v>0</v>
      </c>
      <c r="E14" t="s">
        <v>2571</v>
      </c>
      <c r="F14" s="49">
        <f t="shared" si="3"/>
        <v>13</v>
      </c>
      <c r="G14" s="71" t="s">
        <v>221</v>
      </c>
      <c r="H14">
        <f>MATCH($H$12,B2:B1000,0)</f>
        <v>24</v>
      </c>
      <c r="J14" s="49">
        <f t="shared" si="0"/>
        <v>6.1792899999999999</v>
      </c>
      <c r="K14" s="49">
        <f t="shared" si="1"/>
        <v>26.8276</v>
      </c>
      <c r="L14" s="49">
        <f t="shared" si="2"/>
        <v>4.3415343834000346</v>
      </c>
    </row>
    <row r="15" spans="1:12">
      <c r="A15" s="49">
        <v>0.61898500000000001</v>
      </c>
      <c r="B15" s="49">
        <v>0.25624000000000002</v>
      </c>
      <c r="C15">
        <v>5.2482899999999999</v>
      </c>
      <c r="D15">
        <v>0</v>
      </c>
      <c r="E15" t="s">
        <v>2572</v>
      </c>
      <c r="F15" s="49">
        <f t="shared" si="3"/>
        <v>14</v>
      </c>
      <c r="G15">
        <f>LOOKUP($H13,F2:F1000,A2:A1000)</f>
        <v>0.62215799999999999</v>
      </c>
      <c r="H15">
        <f>LOOKUP($H13,F2:F1000,B2:B1000)</f>
        <v>0.242785</v>
      </c>
      <c r="J15" s="49">
        <f t="shared" si="0"/>
        <v>6.1898499999999999</v>
      </c>
      <c r="K15" s="49">
        <f t="shared" si="1"/>
        <v>25.624000000000002</v>
      </c>
      <c r="L15" s="49">
        <f t="shared" si="2"/>
        <v>4.139680283044016</v>
      </c>
    </row>
    <row r="16" spans="1:12">
      <c r="A16" s="49">
        <v>0.62082700000000002</v>
      </c>
      <c r="B16" s="49">
        <v>0.24795200000000001</v>
      </c>
      <c r="C16">
        <v>5.6565099999999999</v>
      </c>
      <c r="D16">
        <v>0</v>
      </c>
      <c r="E16" t="s">
        <v>2573</v>
      </c>
      <c r="F16" s="49">
        <f t="shared" si="3"/>
        <v>15</v>
      </c>
      <c r="G16">
        <f>LOOKUP($H14,F2:F1000,A2:A1000)</f>
        <v>0.63471299999999997</v>
      </c>
      <c r="H16">
        <f>LOOKUP($H14,F2:F1000,B2:B1000)</f>
        <v>0.33577200000000001</v>
      </c>
      <c r="J16" s="49">
        <f t="shared" si="0"/>
        <v>6.2082700000000006</v>
      </c>
      <c r="K16" s="49">
        <f t="shared" si="1"/>
        <v>24.795200000000001</v>
      </c>
      <c r="L16" s="49">
        <f t="shared" si="2"/>
        <v>3.9938984612460473</v>
      </c>
    </row>
    <row r="17" spans="1:12">
      <c r="A17" s="49">
        <v>0.62215799999999999</v>
      </c>
      <c r="B17" s="49">
        <v>0.242785</v>
      </c>
      <c r="C17">
        <v>6.0629799999999996</v>
      </c>
      <c r="D17">
        <v>0</v>
      </c>
      <c r="E17" t="s">
        <v>2574</v>
      </c>
      <c r="F17" s="49">
        <f t="shared" si="3"/>
        <v>16</v>
      </c>
      <c r="J17" s="49">
        <f t="shared" si="0"/>
        <v>6.2215799999999994</v>
      </c>
      <c r="K17" s="49">
        <f t="shared" si="1"/>
        <v>24.278500000000001</v>
      </c>
      <c r="L17" s="49">
        <f t="shared" si="2"/>
        <v>3.9023045592920131</v>
      </c>
    </row>
    <row r="18" spans="1:12">
      <c r="A18" s="49">
        <v>0.62409800000000004</v>
      </c>
      <c r="B18" s="49">
        <v>0.245642</v>
      </c>
      <c r="C18">
        <v>6.4686000000000003</v>
      </c>
      <c r="D18">
        <v>0</v>
      </c>
      <c r="E18" t="s">
        <v>2575</v>
      </c>
      <c r="F18" s="49">
        <f t="shared" si="3"/>
        <v>17</v>
      </c>
      <c r="J18" s="49">
        <f t="shared" si="0"/>
        <v>6.2409800000000004</v>
      </c>
      <c r="K18" s="49">
        <f t="shared" si="1"/>
        <v>24.5642</v>
      </c>
      <c r="L18" s="49">
        <f t="shared" si="2"/>
        <v>3.9359523664552678</v>
      </c>
    </row>
    <row r="19" spans="1:12">
      <c r="A19" s="49">
        <v>0.62684300000000004</v>
      </c>
      <c r="B19" s="49">
        <v>0.25629099999999999</v>
      </c>
      <c r="C19">
        <v>6.8718500000000002</v>
      </c>
      <c r="D19">
        <v>0</v>
      </c>
      <c r="E19" t="s">
        <v>2576</v>
      </c>
      <c r="F19" s="49">
        <f t="shared" si="3"/>
        <v>18</v>
      </c>
      <c r="J19" s="49">
        <f t="shared" si="0"/>
        <v>6.2684300000000004</v>
      </c>
      <c r="K19" s="49">
        <f t="shared" si="1"/>
        <v>25.629099999999998</v>
      </c>
      <c r="L19" s="49">
        <f t="shared" si="2"/>
        <v>4.0885995376832787</v>
      </c>
    </row>
    <row r="20" spans="1:12">
      <c r="A20" s="49">
        <v>0.62771900000000003</v>
      </c>
      <c r="B20" s="49">
        <v>0.26052700000000001</v>
      </c>
      <c r="C20">
        <v>7.2783100000000003</v>
      </c>
      <c r="D20">
        <v>0</v>
      </c>
      <c r="E20" t="s">
        <v>2577</v>
      </c>
      <c r="F20" s="49">
        <f t="shared" si="3"/>
        <v>19</v>
      </c>
      <c r="J20" s="49">
        <f t="shared" si="0"/>
        <v>6.27719</v>
      </c>
      <c r="K20" s="49">
        <f t="shared" si="1"/>
        <v>26.052700000000002</v>
      </c>
      <c r="L20" s="49">
        <f t="shared" si="2"/>
        <v>4.1503762033648819</v>
      </c>
    </row>
    <row r="21" spans="1:12">
      <c r="A21" s="49">
        <v>0.62939199999999995</v>
      </c>
      <c r="B21" s="49">
        <v>0.264461</v>
      </c>
      <c r="C21">
        <v>7.6890299999999998</v>
      </c>
      <c r="D21">
        <v>0</v>
      </c>
      <c r="E21" t="s">
        <v>2578</v>
      </c>
      <c r="F21" s="49">
        <f t="shared" si="3"/>
        <v>20</v>
      </c>
      <c r="J21" s="49">
        <f t="shared" si="0"/>
        <v>6.29392</v>
      </c>
      <c r="K21" s="49">
        <f t="shared" si="1"/>
        <v>26.446100000000001</v>
      </c>
      <c r="L21" s="49">
        <f t="shared" si="2"/>
        <v>4.2018487683351555</v>
      </c>
    </row>
    <row r="22" spans="1:12">
      <c r="A22" s="49">
        <v>0.63110200000000005</v>
      </c>
      <c r="B22" s="49">
        <v>0.27870800000000001</v>
      </c>
      <c r="C22">
        <v>8.1108799999999999</v>
      </c>
      <c r="D22">
        <v>0</v>
      </c>
      <c r="E22" t="s">
        <v>2579</v>
      </c>
      <c r="F22" s="49">
        <f t="shared" si="3"/>
        <v>21</v>
      </c>
      <c r="J22" s="49">
        <f t="shared" si="0"/>
        <v>6.311020000000001</v>
      </c>
      <c r="K22" s="49">
        <f t="shared" si="1"/>
        <v>27.870800000000003</v>
      </c>
      <c r="L22" s="49">
        <f t="shared" si="2"/>
        <v>4.4162116424920219</v>
      </c>
    </row>
    <row r="23" spans="1:12">
      <c r="A23" s="49">
        <v>0.63150700000000004</v>
      </c>
      <c r="B23" s="49">
        <v>0.29019800000000001</v>
      </c>
      <c r="C23">
        <v>8.49695</v>
      </c>
      <c r="D23">
        <v>0</v>
      </c>
      <c r="E23" t="s">
        <v>2580</v>
      </c>
      <c r="F23" s="49">
        <f t="shared" si="3"/>
        <v>22</v>
      </c>
      <c r="J23" s="49">
        <f t="shared" si="0"/>
        <v>6.3150700000000004</v>
      </c>
      <c r="K23" s="49">
        <f t="shared" si="1"/>
        <v>29.0198</v>
      </c>
      <c r="L23" s="49">
        <f t="shared" si="2"/>
        <v>4.5953251507900941</v>
      </c>
    </row>
    <row r="24" spans="1:12">
      <c r="A24" s="49">
        <v>0.63187499999999996</v>
      </c>
      <c r="B24" s="49">
        <v>0.30496400000000001</v>
      </c>
      <c r="C24">
        <v>8.9192900000000002</v>
      </c>
      <c r="D24">
        <v>0</v>
      </c>
      <c r="E24" t="s">
        <v>2581</v>
      </c>
      <c r="F24" s="49">
        <f t="shared" si="3"/>
        <v>23</v>
      </c>
      <c r="G24" t="s">
        <v>245</v>
      </c>
      <c r="H24">
        <f>COUNT(A2:A2000)</f>
        <v>26</v>
      </c>
      <c r="J24" s="49">
        <f t="shared" si="0"/>
        <v>6.3187499999999996</v>
      </c>
      <c r="K24" s="49">
        <f t="shared" si="1"/>
        <v>30.496400000000001</v>
      </c>
      <c r="L24" s="49">
        <f t="shared" si="2"/>
        <v>4.8263343224530173</v>
      </c>
    </row>
    <row r="25" spans="1:12">
      <c r="A25" s="49">
        <v>0.63471299999999997</v>
      </c>
      <c r="B25" s="49">
        <v>0.33577200000000001</v>
      </c>
      <c r="C25">
        <v>9.3154299999999992</v>
      </c>
      <c r="D25">
        <v>0</v>
      </c>
      <c r="E25" t="s">
        <v>2582</v>
      </c>
      <c r="F25" s="49">
        <f t="shared" si="3"/>
        <v>24</v>
      </c>
      <c r="J25" s="49">
        <f t="shared" si="0"/>
        <v>6.3471299999999999</v>
      </c>
      <c r="K25" s="49">
        <f t="shared" si="1"/>
        <v>33.577200000000005</v>
      </c>
      <c r="L25" s="49">
        <f t="shared" si="2"/>
        <v>5.2901390077089969</v>
      </c>
    </row>
    <row r="26" spans="1:12">
      <c r="A26" s="49">
        <v>0.63224899999999995</v>
      </c>
      <c r="B26" s="49">
        <v>0.32003799999999999</v>
      </c>
      <c r="C26">
        <v>9.7270599999999998</v>
      </c>
      <c r="D26">
        <v>0</v>
      </c>
      <c r="E26" t="s">
        <v>2583</v>
      </c>
      <c r="F26" s="49">
        <f t="shared" si="3"/>
        <v>25</v>
      </c>
      <c r="J26" s="49">
        <f t="shared" si="0"/>
        <v>6.3224899999999993</v>
      </c>
      <c r="K26" s="49">
        <f t="shared" si="1"/>
        <v>32.003799999999998</v>
      </c>
      <c r="L26" s="49">
        <f t="shared" si="2"/>
        <v>5.0618980812939212</v>
      </c>
    </row>
    <row r="27" spans="1:12">
      <c r="A27" s="49">
        <v>0.61747300000000005</v>
      </c>
      <c r="B27" s="49">
        <v>0.243724</v>
      </c>
      <c r="C27">
        <v>10.1409</v>
      </c>
      <c r="D27">
        <v>0</v>
      </c>
      <c r="E27" t="s">
        <v>2584</v>
      </c>
      <c r="F27" s="49">
        <f t="shared" si="3"/>
        <v>26</v>
      </c>
      <c r="J27" s="49">
        <f t="shared" si="0"/>
        <v>6.1747300000000003</v>
      </c>
      <c r="K27" s="49">
        <f t="shared" si="1"/>
        <v>24.372399999999999</v>
      </c>
      <c r="L27" s="49">
        <f t="shared" si="2"/>
        <v>3.9471199550425684</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45784.662800925929</v>
      </c>
      <c r="B2" t="s">
        <v>2585</v>
      </c>
      <c r="C2" s="49"/>
      <c r="D2" s="49"/>
      <c r="E2" s="49">
        <v>4.8833399999999996</v>
      </c>
      <c r="F2" s="49">
        <v>3.0251899999999998</v>
      </c>
      <c r="G2" s="49">
        <v>0.67677299999999996</v>
      </c>
      <c r="H2" s="49">
        <v>0</v>
      </c>
      <c r="I2" s="49">
        <v>56.677100000000003</v>
      </c>
      <c r="J2" s="49">
        <v>145</v>
      </c>
      <c r="K2" s="49">
        <v>145</v>
      </c>
      <c r="L2" s="49">
        <v>100</v>
      </c>
      <c r="M2" s="521" t="s">
        <v>1549</v>
      </c>
      <c r="O2" s="565" t="str">
        <f>IF(FH_info!B2="","",TRIM(MID(SUBSTITUTE(FH_info!B2,"^",REPT(" ",LEN(FH_info!B2))),LEN(FH_info!B2)*2-LEN(FH_info!B2)+1,LEN(FH_info!B2))))</f>
        <v>msSm</v>
      </c>
      <c r="P2" s="565" t="str">
        <f>IF(FH_info!O2="","",TRIM(MID(SUBSTITUTE(FH_info!O2," ",REPT(" ",LEN(FH_info!O2))),LEN(FH_info!O2)*1-LEN(FH_info!O2)+1,LEN(FH_info!O2))))</f>
        <v>msSm</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56.677128000000003</v>
      </c>
      <c r="D2">
        <f>MAX(B2:B257)</f>
        <v>443.98037699999998</v>
      </c>
      <c r="G2" t="s">
        <v>1590</v>
      </c>
      <c r="H2">
        <v>4.8833419999999998</v>
      </c>
      <c r="I2">
        <v>56.677128000000003</v>
      </c>
      <c r="J2">
        <v>0</v>
      </c>
      <c r="K2">
        <v>145</v>
      </c>
      <c r="L2">
        <v>145</v>
      </c>
      <c r="M2">
        <v>3.0251860000000002</v>
      </c>
      <c r="N2">
        <v>0.67677299999999996</v>
      </c>
      <c r="O2">
        <v>0.45802199999999998</v>
      </c>
    </row>
    <row r="3" spans="1:15">
      <c r="A3">
        <v>0</v>
      </c>
      <c r="B3">
        <v>0</v>
      </c>
      <c r="G3" t="s">
        <v>1591</v>
      </c>
      <c r="H3">
        <v>4.8833419999999998</v>
      </c>
      <c r="I3">
        <v>443.98037699999998</v>
      </c>
      <c r="J3">
        <v>0</v>
      </c>
      <c r="K3">
        <v>26</v>
      </c>
      <c r="L3">
        <v>26</v>
      </c>
      <c r="M3">
        <v>1.186164</v>
      </c>
      <c r="N3">
        <v>0.77641499999999997</v>
      </c>
      <c r="O3">
        <v>0.60282100000000005</v>
      </c>
    </row>
    <row r="4" spans="1:15">
      <c r="A4">
        <v>0</v>
      </c>
      <c r="B4">
        <v>0</v>
      </c>
    </row>
    <row r="5" spans="1:15">
      <c r="A5">
        <v>0.24313699999999999</v>
      </c>
      <c r="B5">
        <v>79.036597999999998</v>
      </c>
    </row>
    <row r="6" spans="1:15">
      <c r="A6">
        <v>0</v>
      </c>
      <c r="B6">
        <v>0</v>
      </c>
    </row>
    <row r="7" spans="1:15">
      <c r="A7">
        <v>0</v>
      </c>
      <c r="B7">
        <v>0</v>
      </c>
    </row>
    <row r="8" spans="1:15">
      <c r="A8">
        <v>4.5752000000000001E-2</v>
      </c>
      <c r="B8">
        <v>83.598693999999995</v>
      </c>
    </row>
    <row r="9" spans="1:15">
      <c r="A9">
        <v>0</v>
      </c>
      <c r="B9">
        <v>0</v>
      </c>
    </row>
    <row r="10" spans="1:15">
      <c r="A10">
        <v>0.220915</v>
      </c>
      <c r="B10">
        <v>88.658828999999997</v>
      </c>
    </row>
    <row r="11" spans="1:15">
      <c r="A11">
        <v>0</v>
      </c>
      <c r="B11">
        <v>0</v>
      </c>
    </row>
    <row r="12" spans="1:15">
      <c r="A12">
        <v>0</v>
      </c>
      <c r="B12">
        <v>0</v>
      </c>
    </row>
    <row r="13" spans="1:15">
      <c r="A13">
        <v>0.51764699999999997</v>
      </c>
      <c r="B13">
        <v>123.43006099999999</v>
      </c>
    </row>
    <row r="14" spans="1:15">
      <c r="A14">
        <v>0</v>
      </c>
      <c r="B14">
        <v>0</v>
      </c>
    </row>
    <row r="15" spans="1:15">
      <c r="A15">
        <v>1.359477</v>
      </c>
      <c r="B15">
        <v>155.08888200000001</v>
      </c>
    </row>
    <row r="16" spans="1:15">
      <c r="A16">
        <v>0</v>
      </c>
      <c r="B16">
        <v>0</v>
      </c>
    </row>
    <row r="17" spans="1:2">
      <c r="A17">
        <v>0</v>
      </c>
      <c r="B17">
        <v>0</v>
      </c>
    </row>
    <row r="18" spans="1:2">
      <c r="A18">
        <v>0.90719000000000005</v>
      </c>
      <c r="B18">
        <v>236.37647999999999</v>
      </c>
    </row>
    <row r="19" spans="1:2">
      <c r="A19">
        <v>0</v>
      </c>
      <c r="B19">
        <v>0</v>
      </c>
    </row>
    <row r="20" spans="1:2">
      <c r="A20">
        <v>0</v>
      </c>
      <c r="B20">
        <v>0</v>
      </c>
    </row>
    <row r="21" spans="1:2">
      <c r="A21">
        <v>0.60522900000000002</v>
      </c>
      <c r="B21">
        <v>274.21044899999998</v>
      </c>
    </row>
    <row r="22" spans="1:2">
      <c r="A22">
        <v>0</v>
      </c>
      <c r="B22">
        <v>0</v>
      </c>
    </row>
    <row r="23" spans="1:2">
      <c r="A23">
        <v>0.92679699999999998</v>
      </c>
      <c r="B23">
        <v>368.606537</v>
      </c>
    </row>
    <row r="24" spans="1:2">
      <c r="A24">
        <v>0</v>
      </c>
      <c r="B24">
        <v>0</v>
      </c>
    </row>
    <row r="25" spans="1:2">
      <c r="A25">
        <v>0</v>
      </c>
      <c r="B25">
        <v>0</v>
      </c>
    </row>
    <row r="26" spans="1:2">
      <c r="A26">
        <v>0.70588200000000001</v>
      </c>
      <c r="B26">
        <v>422.46533199999999</v>
      </c>
    </row>
    <row r="27" spans="1:2">
      <c r="A27">
        <v>0</v>
      </c>
      <c r="B27">
        <v>0</v>
      </c>
    </row>
    <row r="28" spans="1:2">
      <c r="A28">
        <v>0.47058800000000001</v>
      </c>
      <c r="B28">
        <v>443.98037699999998</v>
      </c>
    </row>
    <row r="29" spans="1:2">
      <c r="A29">
        <v>0</v>
      </c>
      <c r="B29">
        <v>0</v>
      </c>
    </row>
    <row r="30" spans="1:2">
      <c r="A30">
        <v>0</v>
      </c>
      <c r="B30">
        <v>0</v>
      </c>
    </row>
    <row r="31" spans="1:2">
      <c r="A31">
        <v>0.83398700000000003</v>
      </c>
      <c r="B31">
        <v>399.85360700000001</v>
      </c>
    </row>
    <row r="32" spans="1:2">
      <c r="A32">
        <v>0</v>
      </c>
      <c r="B32">
        <v>0</v>
      </c>
    </row>
    <row r="33" spans="1:2">
      <c r="A33">
        <v>0.596078</v>
      </c>
      <c r="B33">
        <v>317.38171399999999</v>
      </c>
    </row>
    <row r="34" spans="1:2">
      <c r="A34">
        <v>0</v>
      </c>
      <c r="B34">
        <v>0</v>
      </c>
    </row>
    <row r="35" spans="1:2">
      <c r="A35">
        <v>0</v>
      </c>
      <c r="B35">
        <v>0</v>
      </c>
    </row>
    <row r="36" spans="1:2">
      <c r="A36">
        <v>0.98562099999999997</v>
      </c>
      <c r="B36">
        <v>228.176468</v>
      </c>
    </row>
    <row r="37" spans="1:2">
      <c r="A37">
        <v>0</v>
      </c>
      <c r="B37">
        <v>0</v>
      </c>
    </row>
    <row r="38" spans="1:2">
      <c r="A38">
        <v>0</v>
      </c>
      <c r="B38">
        <v>0</v>
      </c>
    </row>
    <row r="39" spans="1:2">
      <c r="A39">
        <v>2.750327</v>
      </c>
      <c r="B39">
        <v>182.16601600000001</v>
      </c>
    </row>
    <row r="40" spans="1:2">
      <c r="A40">
        <v>0</v>
      </c>
      <c r="B40">
        <v>0</v>
      </c>
    </row>
    <row r="41" spans="1:2">
      <c r="A41">
        <v>2.614379</v>
      </c>
      <c r="B41">
        <v>170.63137800000001</v>
      </c>
    </row>
    <row r="42" spans="1:2">
      <c r="A42">
        <v>0</v>
      </c>
      <c r="B42">
        <v>0</v>
      </c>
    </row>
    <row r="43" spans="1:2">
      <c r="A43">
        <v>0</v>
      </c>
      <c r="B43">
        <v>0</v>
      </c>
    </row>
    <row r="44" spans="1:2">
      <c r="A44">
        <v>4.2261439999999997</v>
      </c>
      <c r="B44">
        <v>176.37385599999999</v>
      </c>
    </row>
    <row r="45" spans="1:2">
      <c r="A45">
        <v>0</v>
      </c>
      <c r="B45">
        <v>0</v>
      </c>
    </row>
    <row r="46" spans="1:2">
      <c r="A46">
        <v>3.2117650000000002</v>
      </c>
      <c r="B46">
        <v>178.260132</v>
      </c>
    </row>
    <row r="47" spans="1:2">
      <c r="A47">
        <v>0</v>
      </c>
      <c r="B47">
        <v>0</v>
      </c>
    </row>
    <row r="48" spans="1:2">
      <c r="A48">
        <v>0</v>
      </c>
      <c r="B48">
        <v>0</v>
      </c>
    </row>
    <row r="49" spans="1:2">
      <c r="A49">
        <v>1.482353</v>
      </c>
      <c r="B49">
        <v>182.23791499999999</v>
      </c>
    </row>
    <row r="50" spans="1:2">
      <c r="A50">
        <v>0</v>
      </c>
      <c r="B50">
        <v>0</v>
      </c>
    </row>
    <row r="51" spans="1:2">
      <c r="A51">
        <v>1.769935</v>
      </c>
      <c r="B51">
        <v>175.40654000000001</v>
      </c>
    </row>
    <row r="52" spans="1:2">
      <c r="A52">
        <v>0</v>
      </c>
      <c r="B52">
        <v>0</v>
      </c>
    </row>
    <row r="53" spans="1:2">
      <c r="A53">
        <v>0</v>
      </c>
      <c r="B53">
        <v>0</v>
      </c>
    </row>
    <row r="54" spans="1:2">
      <c r="A54">
        <v>2.0758169999999998</v>
      </c>
      <c r="B54">
        <v>168.67712399999999</v>
      </c>
    </row>
    <row r="55" spans="1:2">
      <c r="A55">
        <v>0</v>
      </c>
      <c r="B55">
        <v>0</v>
      </c>
    </row>
    <row r="56" spans="1:2">
      <c r="A56">
        <v>0</v>
      </c>
      <c r="B56">
        <v>0</v>
      </c>
    </row>
    <row r="57" spans="1:2">
      <c r="A57">
        <v>2.1581700000000001</v>
      </c>
      <c r="B57">
        <v>163.85882599999999</v>
      </c>
    </row>
    <row r="58" spans="1:2">
      <c r="A58">
        <v>0</v>
      </c>
      <c r="B58">
        <v>0</v>
      </c>
    </row>
    <row r="59" spans="1:2">
      <c r="A59">
        <v>2.079739</v>
      </c>
      <c r="B59">
        <v>164.39215100000001</v>
      </c>
    </row>
    <row r="60" spans="1:2">
      <c r="A60">
        <v>0</v>
      </c>
      <c r="B60">
        <v>0</v>
      </c>
    </row>
    <row r="61" spans="1:2">
      <c r="A61">
        <v>0</v>
      </c>
      <c r="B61">
        <v>0</v>
      </c>
    </row>
    <row r="62" spans="1:2">
      <c r="A62">
        <v>2.00915</v>
      </c>
      <c r="B62">
        <v>165.75555399999999</v>
      </c>
    </row>
    <row r="63" spans="1:2">
      <c r="A63">
        <v>0</v>
      </c>
      <c r="B63">
        <v>0</v>
      </c>
    </row>
    <row r="64" spans="1:2">
      <c r="A64">
        <v>1.6169929999999999</v>
      </c>
      <c r="B64">
        <v>168.684967</v>
      </c>
    </row>
    <row r="65" spans="1:2">
      <c r="A65">
        <v>0</v>
      </c>
      <c r="B65">
        <v>0</v>
      </c>
    </row>
    <row r="66" spans="1:2">
      <c r="A66">
        <v>0</v>
      </c>
      <c r="B66">
        <v>0</v>
      </c>
    </row>
    <row r="67" spans="1:2">
      <c r="A67">
        <v>1.966013</v>
      </c>
      <c r="B67">
        <v>169.464066</v>
      </c>
    </row>
    <row r="68" spans="1:2">
      <c r="A68">
        <v>0</v>
      </c>
      <c r="B68">
        <v>0</v>
      </c>
    </row>
    <row r="69" spans="1:2">
      <c r="A69">
        <v>1.6771240000000001</v>
      </c>
      <c r="B69">
        <v>169.40391500000001</v>
      </c>
    </row>
    <row r="70" spans="1:2">
      <c r="A70">
        <v>0</v>
      </c>
      <c r="B70">
        <v>0</v>
      </c>
    </row>
    <row r="71" spans="1:2">
      <c r="A71">
        <v>0</v>
      </c>
      <c r="B71">
        <v>0</v>
      </c>
    </row>
    <row r="72" spans="1:2">
      <c r="A72">
        <v>1.7529410000000001</v>
      </c>
      <c r="B72">
        <v>168.867966</v>
      </c>
    </row>
    <row r="73" spans="1:2">
      <c r="A73">
        <v>0</v>
      </c>
      <c r="B73">
        <v>0</v>
      </c>
    </row>
    <row r="74" spans="1:2">
      <c r="A74">
        <v>0</v>
      </c>
      <c r="B74">
        <v>0</v>
      </c>
    </row>
    <row r="75" spans="1:2">
      <c r="A75">
        <v>3.1281050000000001</v>
      </c>
      <c r="B75">
        <v>169.549026</v>
      </c>
    </row>
    <row r="76" spans="1:2">
      <c r="A76">
        <v>0</v>
      </c>
      <c r="B76">
        <v>0</v>
      </c>
    </row>
    <row r="77" spans="1:2">
      <c r="A77">
        <v>2.8052290000000002</v>
      </c>
      <c r="B77">
        <v>167.78431699999999</v>
      </c>
    </row>
    <row r="78" spans="1:2">
      <c r="A78">
        <v>0</v>
      </c>
      <c r="B78">
        <v>0</v>
      </c>
    </row>
    <row r="79" spans="1:2">
      <c r="A79">
        <v>0</v>
      </c>
      <c r="B79">
        <v>0</v>
      </c>
    </row>
    <row r="80" spans="1:2">
      <c r="A80">
        <v>2.2431369999999999</v>
      </c>
      <c r="B80">
        <v>166.069275</v>
      </c>
    </row>
    <row r="81" spans="1:2">
      <c r="A81">
        <v>0</v>
      </c>
      <c r="B81">
        <v>0</v>
      </c>
    </row>
    <row r="82" spans="1:2">
      <c r="A82">
        <v>2.5411769999999998</v>
      </c>
      <c r="B82">
        <v>166.35687300000001</v>
      </c>
    </row>
    <row r="83" spans="1:2">
      <c r="A83">
        <v>0</v>
      </c>
      <c r="B83">
        <v>0</v>
      </c>
    </row>
    <row r="84" spans="1:2">
      <c r="A84">
        <v>0</v>
      </c>
      <c r="B84">
        <v>0</v>
      </c>
    </row>
    <row r="85" spans="1:2">
      <c r="A85">
        <v>2.762092</v>
      </c>
      <c r="B85">
        <v>165.50981100000001</v>
      </c>
    </row>
    <row r="86" spans="1:2">
      <c r="A86">
        <v>0</v>
      </c>
      <c r="B86">
        <v>0</v>
      </c>
    </row>
    <row r="87" spans="1:2">
      <c r="A87">
        <v>0</v>
      </c>
      <c r="B87">
        <v>0</v>
      </c>
    </row>
    <row r="88" spans="1:2">
      <c r="A88">
        <v>3.9071889999999998</v>
      </c>
      <c r="B88">
        <v>161.75294500000001</v>
      </c>
    </row>
    <row r="89" spans="1:2">
      <c r="A89">
        <v>0</v>
      </c>
      <c r="B89">
        <v>0</v>
      </c>
    </row>
    <row r="90" spans="1:2">
      <c r="A90">
        <v>4.7908499999999998</v>
      </c>
      <c r="B90">
        <v>155.321564</v>
      </c>
    </row>
    <row r="91" spans="1:2">
      <c r="A91">
        <v>0</v>
      </c>
      <c r="B91">
        <v>0</v>
      </c>
    </row>
    <row r="92" spans="1:2">
      <c r="A92">
        <v>0</v>
      </c>
      <c r="B92">
        <v>0</v>
      </c>
    </row>
    <row r="93" spans="1:2">
      <c r="A93">
        <v>3.0143789999999999</v>
      </c>
      <c r="B93">
        <v>150.60391200000001</v>
      </c>
    </row>
    <row r="94" spans="1:2">
      <c r="A94">
        <v>0</v>
      </c>
      <c r="B94">
        <v>0</v>
      </c>
    </row>
    <row r="95" spans="1:2">
      <c r="A95">
        <v>3.614379</v>
      </c>
      <c r="B95">
        <v>144.63398699999999</v>
      </c>
    </row>
    <row r="96" spans="1:2">
      <c r="A96">
        <v>0</v>
      </c>
      <c r="B96">
        <v>0</v>
      </c>
    </row>
    <row r="97" spans="1:2">
      <c r="A97">
        <v>0</v>
      </c>
      <c r="B97">
        <v>0</v>
      </c>
    </row>
    <row r="98" spans="1:2">
      <c r="A98">
        <v>3.9803920000000002</v>
      </c>
      <c r="B98">
        <v>139.55033900000001</v>
      </c>
    </row>
    <row r="99" spans="1:2">
      <c r="A99">
        <v>0</v>
      </c>
      <c r="B99">
        <v>0</v>
      </c>
    </row>
    <row r="100" spans="1:2">
      <c r="A100">
        <v>6.6967319999999999</v>
      </c>
      <c r="B100">
        <v>134.48497</v>
      </c>
    </row>
    <row r="101" spans="1:2">
      <c r="A101">
        <v>0</v>
      </c>
      <c r="B101">
        <v>0</v>
      </c>
    </row>
    <row r="102" spans="1:2">
      <c r="A102">
        <v>0</v>
      </c>
      <c r="B102">
        <v>0</v>
      </c>
    </row>
    <row r="103" spans="1:2">
      <c r="A103">
        <v>6.6928109999999998</v>
      </c>
      <c r="B103">
        <v>126.155548</v>
      </c>
    </row>
    <row r="104" spans="1:2">
      <c r="A104">
        <v>0</v>
      </c>
      <c r="B104">
        <v>0</v>
      </c>
    </row>
    <row r="105" spans="1:2">
      <c r="A105">
        <v>0</v>
      </c>
      <c r="B105">
        <v>0</v>
      </c>
    </row>
    <row r="106" spans="1:2">
      <c r="A106">
        <v>7.5973860000000002</v>
      </c>
      <c r="B106">
        <v>117.30719000000001</v>
      </c>
    </row>
    <row r="107" spans="1:2">
      <c r="A107">
        <v>0</v>
      </c>
      <c r="B107">
        <v>0</v>
      </c>
    </row>
    <row r="108" spans="1:2">
      <c r="A108">
        <v>7.3633990000000002</v>
      </c>
      <c r="B108">
        <v>108.260132</v>
      </c>
    </row>
    <row r="109" spans="1:2">
      <c r="A109">
        <v>0</v>
      </c>
      <c r="B109">
        <v>0</v>
      </c>
    </row>
    <row r="110" spans="1:2">
      <c r="A110">
        <v>0</v>
      </c>
      <c r="B110">
        <v>0</v>
      </c>
    </row>
    <row r="111" spans="1:2">
      <c r="A111">
        <v>6.8509799999999998</v>
      </c>
      <c r="B111">
        <v>101.21307400000001</v>
      </c>
    </row>
    <row r="112" spans="1:2">
      <c r="A112">
        <v>0</v>
      </c>
      <c r="B112">
        <v>0</v>
      </c>
    </row>
    <row r="113" spans="1:2">
      <c r="A113">
        <v>5.6431370000000003</v>
      </c>
      <c r="B113">
        <v>93.586922000000001</v>
      </c>
    </row>
    <row r="114" spans="1:2">
      <c r="A114">
        <v>0</v>
      </c>
      <c r="B114">
        <v>0</v>
      </c>
    </row>
    <row r="115" spans="1:2">
      <c r="A115">
        <v>0</v>
      </c>
      <c r="B115">
        <v>0</v>
      </c>
    </row>
    <row r="116" spans="1:2">
      <c r="A116">
        <v>5.3751639999999998</v>
      </c>
      <c r="B116">
        <v>87.890197999999998</v>
      </c>
    </row>
    <row r="117" spans="1:2">
      <c r="A117">
        <v>0</v>
      </c>
      <c r="B117">
        <v>0</v>
      </c>
    </row>
    <row r="118" spans="1:2">
      <c r="A118">
        <v>5.9450979999999998</v>
      </c>
      <c r="B118">
        <v>81.019608000000005</v>
      </c>
    </row>
    <row r="119" spans="1:2">
      <c r="A119">
        <v>0</v>
      </c>
      <c r="B119">
        <v>0</v>
      </c>
    </row>
    <row r="120" spans="1:2">
      <c r="A120">
        <v>0</v>
      </c>
      <c r="B120">
        <v>0</v>
      </c>
    </row>
    <row r="121" spans="1:2">
      <c r="A121">
        <v>8.1346410000000002</v>
      </c>
      <c r="B121">
        <v>76.299346999999997</v>
      </c>
    </row>
    <row r="122" spans="1:2">
      <c r="A122">
        <v>0</v>
      </c>
      <c r="B122">
        <v>0</v>
      </c>
    </row>
    <row r="123" spans="1:2">
      <c r="A123">
        <v>0</v>
      </c>
      <c r="B123">
        <v>0</v>
      </c>
    </row>
    <row r="124" spans="1:2">
      <c r="A124">
        <v>10.597384999999999</v>
      </c>
      <c r="B124">
        <v>70.416991999999993</v>
      </c>
    </row>
    <row r="125" spans="1:2">
      <c r="A125">
        <v>0</v>
      </c>
      <c r="B125">
        <v>0</v>
      </c>
    </row>
    <row r="126" spans="1:2">
      <c r="A126">
        <v>13.196078</v>
      </c>
      <c r="B126">
        <v>65.406540000000007</v>
      </c>
    </row>
    <row r="127" spans="1:2">
      <c r="A127">
        <v>0</v>
      </c>
      <c r="B127">
        <v>0</v>
      </c>
    </row>
    <row r="128" spans="1:2">
      <c r="A128">
        <v>0</v>
      </c>
      <c r="B128">
        <v>0</v>
      </c>
    </row>
    <row r="129" spans="1:2">
      <c r="A129">
        <v>16.890196</v>
      </c>
      <c r="B129">
        <v>60.322871999999997</v>
      </c>
    </row>
    <row r="130" spans="1:2">
      <c r="A130">
        <v>0</v>
      </c>
      <c r="B130">
        <v>0</v>
      </c>
    </row>
    <row r="131" spans="1:2">
      <c r="A131">
        <v>21.104576000000002</v>
      </c>
      <c r="B131">
        <v>56.022221000000002</v>
      </c>
    </row>
    <row r="132" spans="1:2">
      <c r="A132">
        <v>0</v>
      </c>
      <c r="B132">
        <v>0</v>
      </c>
    </row>
    <row r="133" spans="1:2">
      <c r="A133">
        <v>0</v>
      </c>
      <c r="B133">
        <v>0</v>
      </c>
    </row>
    <row r="134" spans="1:2">
      <c r="A134">
        <v>33.392158999999999</v>
      </c>
      <c r="B134">
        <v>51.431373999999998</v>
      </c>
    </row>
    <row r="135" spans="1:2">
      <c r="A135">
        <v>0</v>
      </c>
      <c r="B135">
        <v>0</v>
      </c>
    </row>
    <row r="136" spans="1:2">
      <c r="A136">
        <v>37.522877000000001</v>
      </c>
      <c r="B136">
        <v>47.554248999999999</v>
      </c>
    </row>
    <row r="137" spans="1:2">
      <c r="A137">
        <v>0</v>
      </c>
      <c r="B137">
        <v>0</v>
      </c>
    </row>
    <row r="138" spans="1:2">
      <c r="A138">
        <v>0</v>
      </c>
      <c r="B138">
        <v>0</v>
      </c>
    </row>
    <row r="139" spans="1:2">
      <c r="A139">
        <v>44.488888000000003</v>
      </c>
      <c r="B139">
        <v>43.511111999999997</v>
      </c>
    </row>
    <row r="140" spans="1:2">
      <c r="A140">
        <v>0</v>
      </c>
      <c r="B140">
        <v>0</v>
      </c>
    </row>
    <row r="141" spans="1:2">
      <c r="A141">
        <v>0</v>
      </c>
      <c r="B141">
        <v>0</v>
      </c>
    </row>
    <row r="142" spans="1:2">
      <c r="A142">
        <v>43.864052000000001</v>
      </c>
      <c r="B142">
        <v>40.384315000000001</v>
      </c>
    </row>
    <row r="143" spans="1:2">
      <c r="A143">
        <v>0</v>
      </c>
      <c r="B143">
        <v>0</v>
      </c>
    </row>
    <row r="144" spans="1:2">
      <c r="A144">
        <v>50.534636999999996</v>
      </c>
      <c r="B144">
        <v>37.386929000000002</v>
      </c>
    </row>
    <row r="145" spans="1:2">
      <c r="A145">
        <v>0</v>
      </c>
      <c r="B145">
        <v>0</v>
      </c>
    </row>
    <row r="146" spans="1:2">
      <c r="A146">
        <v>0</v>
      </c>
      <c r="B146">
        <v>0</v>
      </c>
    </row>
    <row r="147" spans="1:2">
      <c r="A147">
        <v>56.677128000000003</v>
      </c>
      <c r="B147">
        <v>34.969935999999997</v>
      </c>
    </row>
    <row r="148" spans="1:2">
      <c r="A148">
        <v>0</v>
      </c>
      <c r="B148">
        <v>0</v>
      </c>
    </row>
    <row r="149" spans="1:2">
      <c r="A149">
        <v>52.539870999999998</v>
      </c>
      <c r="B149">
        <v>32.436604000000003</v>
      </c>
    </row>
    <row r="150" spans="1:2">
      <c r="A150">
        <v>0</v>
      </c>
      <c r="B150">
        <v>0</v>
      </c>
    </row>
    <row r="151" spans="1:2">
      <c r="A151">
        <v>0</v>
      </c>
      <c r="B151">
        <v>0</v>
      </c>
    </row>
    <row r="152" spans="1:2">
      <c r="A152">
        <v>42.783009</v>
      </c>
      <c r="B152">
        <v>30.504574000000002</v>
      </c>
    </row>
    <row r="153" spans="1:2">
      <c r="A153">
        <v>0</v>
      </c>
      <c r="B153">
        <v>0</v>
      </c>
    </row>
    <row r="154" spans="1:2">
      <c r="A154">
        <v>43.343792000000001</v>
      </c>
      <c r="B154">
        <v>28.147713</v>
      </c>
    </row>
    <row r="155" spans="1:2">
      <c r="A155">
        <v>0</v>
      </c>
      <c r="B155">
        <v>0</v>
      </c>
    </row>
    <row r="156" spans="1:2">
      <c r="A156">
        <v>0</v>
      </c>
      <c r="B156">
        <v>0</v>
      </c>
    </row>
    <row r="157" spans="1:2">
      <c r="A157">
        <v>39.875816</v>
      </c>
      <c r="B157">
        <v>26.562090000000001</v>
      </c>
    </row>
    <row r="158" spans="1:2">
      <c r="A158">
        <v>0</v>
      </c>
      <c r="B158">
        <v>0</v>
      </c>
    </row>
    <row r="159" spans="1:2">
      <c r="A159">
        <v>0</v>
      </c>
      <c r="B159">
        <v>0</v>
      </c>
    </row>
    <row r="160" spans="1:2">
      <c r="A160">
        <v>28.397386999999998</v>
      </c>
      <c r="B160">
        <v>25.265360000000001</v>
      </c>
    </row>
    <row r="161" spans="1:2">
      <c r="A161">
        <v>0</v>
      </c>
      <c r="B161">
        <v>0</v>
      </c>
    </row>
    <row r="162" spans="1:2">
      <c r="A162">
        <v>30.267973000000001</v>
      </c>
      <c r="B162">
        <v>22.747710999999999</v>
      </c>
    </row>
    <row r="163" spans="1:2">
      <c r="A163">
        <v>0</v>
      </c>
      <c r="B163">
        <v>0</v>
      </c>
    </row>
    <row r="164" spans="1:2">
      <c r="A164">
        <v>0</v>
      </c>
      <c r="B164">
        <v>0</v>
      </c>
    </row>
    <row r="165" spans="1:2">
      <c r="A165">
        <v>39.562092</v>
      </c>
      <c r="B165">
        <v>20.712420000000002</v>
      </c>
    </row>
    <row r="166" spans="1:2">
      <c r="A166">
        <v>0</v>
      </c>
      <c r="B166">
        <v>0</v>
      </c>
    </row>
    <row r="167" spans="1:2">
      <c r="A167">
        <v>49.015686000000002</v>
      </c>
      <c r="B167">
        <v>19.023529</v>
      </c>
    </row>
    <row r="168" spans="1:2">
      <c r="A168">
        <v>0</v>
      </c>
      <c r="B168">
        <v>0</v>
      </c>
    </row>
    <row r="169" spans="1:2">
      <c r="A169">
        <v>0</v>
      </c>
      <c r="B169">
        <v>0</v>
      </c>
    </row>
    <row r="170" spans="1:2">
      <c r="A170">
        <v>44.803921000000003</v>
      </c>
      <c r="B170">
        <v>17.367321</v>
      </c>
    </row>
    <row r="171" spans="1:2">
      <c r="A171">
        <v>0</v>
      </c>
      <c r="B171">
        <v>0</v>
      </c>
    </row>
    <row r="172" spans="1:2">
      <c r="A172">
        <v>0</v>
      </c>
      <c r="B172">
        <v>15.431373000000001</v>
      </c>
    </row>
    <row r="173" spans="1:2">
      <c r="A173">
        <v>43.475814999999997</v>
      </c>
      <c r="B173">
        <v>0</v>
      </c>
    </row>
    <row r="174" spans="1:2">
      <c r="A174">
        <v>0</v>
      </c>
      <c r="B174">
        <v>0</v>
      </c>
    </row>
    <row r="175" spans="1:2">
      <c r="A175">
        <v>48.698039999999999</v>
      </c>
      <c r="B175">
        <v>14.227449999999999</v>
      </c>
    </row>
    <row r="176" spans="1:2">
      <c r="A176">
        <v>0</v>
      </c>
      <c r="B176">
        <v>0</v>
      </c>
    </row>
    <row r="177" spans="1:2">
      <c r="A177">
        <v>0</v>
      </c>
      <c r="B177">
        <v>0</v>
      </c>
    </row>
    <row r="178" spans="1:2">
      <c r="A178">
        <v>42.806533999999999</v>
      </c>
      <c r="B178">
        <v>13.707190000000001</v>
      </c>
    </row>
    <row r="179" spans="1:2">
      <c r="A179">
        <v>0</v>
      </c>
      <c r="B179">
        <v>0</v>
      </c>
    </row>
    <row r="180" spans="1:2">
      <c r="A180">
        <v>38.894114999999999</v>
      </c>
      <c r="B180">
        <v>12.477124</v>
      </c>
    </row>
    <row r="181" spans="1:2">
      <c r="A181">
        <v>0</v>
      </c>
      <c r="B181">
        <v>0</v>
      </c>
    </row>
    <row r="182" spans="1:2">
      <c r="A182">
        <v>0</v>
      </c>
      <c r="B182">
        <v>0</v>
      </c>
    </row>
    <row r="183" spans="1:2">
      <c r="A183">
        <v>33.071896000000002</v>
      </c>
      <c r="B183">
        <v>11.427451</v>
      </c>
    </row>
    <row r="184" spans="1:2">
      <c r="A184">
        <v>0</v>
      </c>
      <c r="B184">
        <v>0</v>
      </c>
    </row>
    <row r="185" spans="1:2">
      <c r="A185">
        <v>27.768626999999999</v>
      </c>
      <c r="B185">
        <v>10.214378999999999</v>
      </c>
    </row>
    <row r="186" spans="1:2">
      <c r="A186">
        <v>0</v>
      </c>
      <c r="B186">
        <v>0</v>
      </c>
    </row>
    <row r="187" spans="1:2">
      <c r="A187">
        <v>0</v>
      </c>
      <c r="B187">
        <v>0</v>
      </c>
    </row>
    <row r="188" spans="1:2">
      <c r="A188">
        <v>22.039214999999999</v>
      </c>
      <c r="B188">
        <v>9.3058820000000004</v>
      </c>
    </row>
    <row r="189" spans="1:2">
      <c r="A189">
        <v>0</v>
      </c>
      <c r="B189">
        <v>0</v>
      </c>
    </row>
    <row r="190" spans="1:2">
      <c r="A190">
        <v>0</v>
      </c>
      <c r="B190">
        <v>0</v>
      </c>
    </row>
    <row r="191" spans="1:2">
      <c r="A191">
        <v>20.349019999999999</v>
      </c>
      <c r="B191">
        <v>8.2575160000000007</v>
      </c>
    </row>
    <row r="192" spans="1:2">
      <c r="A192">
        <v>0</v>
      </c>
      <c r="B192">
        <v>0</v>
      </c>
    </row>
    <row r="193" spans="1:2">
      <c r="A193">
        <v>19.315033</v>
      </c>
      <c r="B193">
        <v>6.9215679999999997</v>
      </c>
    </row>
    <row r="194" spans="1:2">
      <c r="A194">
        <v>0</v>
      </c>
      <c r="B194">
        <v>0</v>
      </c>
    </row>
    <row r="195" spans="1:2">
      <c r="A195">
        <v>0</v>
      </c>
      <c r="B195">
        <v>0</v>
      </c>
    </row>
    <row r="196" spans="1:2">
      <c r="A196">
        <v>20.169933</v>
      </c>
      <c r="B196">
        <v>5.7098040000000001</v>
      </c>
    </row>
    <row r="197" spans="1:2">
      <c r="A197">
        <v>0</v>
      </c>
      <c r="B197">
        <v>0</v>
      </c>
    </row>
    <row r="198" spans="1:2">
      <c r="A198">
        <v>22.112417000000001</v>
      </c>
      <c r="B198">
        <v>4.8535950000000003</v>
      </c>
    </row>
    <row r="199" spans="1:2">
      <c r="A199">
        <v>0</v>
      </c>
      <c r="B199">
        <v>0</v>
      </c>
    </row>
    <row r="200" spans="1:2">
      <c r="A200">
        <v>0</v>
      </c>
      <c r="B200">
        <v>0</v>
      </c>
    </row>
    <row r="201" spans="1:2">
      <c r="A201">
        <v>27.179085000000001</v>
      </c>
      <c r="B201">
        <v>3.8078430000000001</v>
      </c>
    </row>
    <row r="202" spans="1:2">
      <c r="A202">
        <v>0</v>
      </c>
      <c r="B202">
        <v>0</v>
      </c>
    </row>
    <row r="203" spans="1:2">
      <c r="A203">
        <v>28.892810999999998</v>
      </c>
      <c r="B203">
        <v>2.8065359999999999</v>
      </c>
    </row>
    <row r="204" spans="1:2">
      <c r="A204">
        <v>0</v>
      </c>
      <c r="B204">
        <v>0</v>
      </c>
    </row>
    <row r="205" spans="1:2">
      <c r="A205">
        <v>0</v>
      </c>
      <c r="B205">
        <v>0</v>
      </c>
    </row>
    <row r="206" spans="1:2">
      <c r="A206">
        <v>25.546406000000001</v>
      </c>
      <c r="B206">
        <v>2.4196080000000002</v>
      </c>
    </row>
    <row r="207" spans="1:2">
      <c r="A207">
        <v>0</v>
      </c>
      <c r="B207">
        <v>0</v>
      </c>
    </row>
    <row r="208" spans="1:2">
      <c r="A208">
        <v>0</v>
      </c>
      <c r="B208">
        <v>0</v>
      </c>
    </row>
    <row r="209" spans="1:2">
      <c r="A209">
        <v>20.369935999999999</v>
      </c>
      <c r="B209">
        <v>1.423529</v>
      </c>
    </row>
    <row r="210" spans="1:2">
      <c r="A210">
        <v>0</v>
      </c>
      <c r="B210">
        <v>0</v>
      </c>
    </row>
    <row r="211" spans="1:2">
      <c r="A211">
        <v>20.201308999999998</v>
      </c>
      <c r="B211">
        <v>1.0745100000000001</v>
      </c>
    </row>
    <row r="212" spans="1:2">
      <c r="A212">
        <v>0</v>
      </c>
      <c r="B212">
        <v>0</v>
      </c>
    </row>
    <row r="213" spans="1:2">
      <c r="A213">
        <v>0</v>
      </c>
      <c r="B213">
        <v>0</v>
      </c>
    </row>
    <row r="214" spans="1:2">
      <c r="A214">
        <v>19.854901999999999</v>
      </c>
      <c r="B214">
        <v>0.58823499999999995</v>
      </c>
    </row>
    <row r="215" spans="1:2">
      <c r="A215">
        <v>0</v>
      </c>
      <c r="B215">
        <v>0</v>
      </c>
    </row>
    <row r="216" spans="1:2">
      <c r="A216">
        <v>21.564706999999999</v>
      </c>
      <c r="B216">
        <v>0.43529400000000001</v>
      </c>
    </row>
    <row r="217" spans="1:2">
      <c r="A217">
        <v>0</v>
      </c>
      <c r="B217">
        <v>0</v>
      </c>
    </row>
    <row r="218" spans="1:2">
      <c r="A218">
        <v>0</v>
      </c>
      <c r="B218">
        <v>0</v>
      </c>
    </row>
    <row r="219" spans="1:2">
      <c r="A219">
        <v>11.657515999999999</v>
      </c>
      <c r="B219">
        <v>0.15947700000000001</v>
      </c>
    </row>
    <row r="220" spans="1:2">
      <c r="A220">
        <v>0</v>
      </c>
      <c r="B220">
        <v>0</v>
      </c>
    </row>
    <row r="221" spans="1:2">
      <c r="A221">
        <v>9.2287579999999991</v>
      </c>
      <c r="B221">
        <v>9.4117999999999993E-2</v>
      </c>
    </row>
    <row r="222" spans="1:2">
      <c r="A222">
        <v>0</v>
      </c>
      <c r="B222">
        <v>0</v>
      </c>
    </row>
    <row r="223" spans="1:2">
      <c r="A223">
        <v>0</v>
      </c>
      <c r="B223">
        <v>0</v>
      </c>
    </row>
    <row r="224" spans="1:2">
      <c r="A224">
        <v>2.4980389999999999</v>
      </c>
      <c r="B224">
        <v>4.8365999999999999E-2</v>
      </c>
    </row>
    <row r="225" spans="1:2">
      <c r="A225">
        <v>0</v>
      </c>
      <c r="B225">
        <v>0</v>
      </c>
    </row>
    <row r="226" spans="1:2">
      <c r="A226">
        <v>0</v>
      </c>
      <c r="B226">
        <v>0</v>
      </c>
    </row>
    <row r="227" spans="1:2">
      <c r="A227">
        <v>1.224837</v>
      </c>
      <c r="B227">
        <v>2.614E-3</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0.41555708013504
0.42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0.41555708013504011</v>
      </c>
      <c r="I4" s="322">
        <f>IF(Measurement!AQ7&lt;&gt;"",NORMSDIST((H6-$B$2)/$B$3)*100,"")</f>
        <v>69.443931564603204</v>
      </c>
      <c r="J4" t="str">
        <f>Measurement!AR7</f>
        <v>건강</v>
      </c>
    </row>
    <row r="5" spans="1:11">
      <c r="B5" s="171">
        <v>-10</v>
      </c>
      <c r="C5" s="171">
        <f>NORMSDIST(($B5-$B$2)/$B$3)*100</f>
        <v>7.1097265868555281E-5</v>
      </c>
      <c r="G5" t="s">
        <v>1539</v>
      </c>
      <c r="H5" s="320">
        <f>IF(Measurement!AQ7&lt;-7,-7,Measurement!AQ7)</f>
        <v>0.41555708013504011</v>
      </c>
      <c r="I5" s="321">
        <f>IF(Measurement!AQ7&lt;&gt;"",0,"")</f>
        <v>0</v>
      </c>
    </row>
    <row r="6" spans="1:11">
      <c r="B6" s="171">
        <f>B5+0.1</f>
        <v>-9.9</v>
      </c>
      <c r="C6" s="171">
        <f t="shared" ref="C6:C57" si="0">NORMSDIST(($B6-$B$2)/$B$3)*100</f>
        <v>9.1781224195367343E-5</v>
      </c>
      <c r="H6" s="320">
        <f>IF(Measurement!AQ7&lt;-7,-7,Measurement!AQ7)</f>
        <v>0.41555708013504011</v>
      </c>
      <c r="I6" s="321">
        <f>IF(Measurement!AQ7&lt;&gt;"",NORMSDIST((H6-$B$2)/$B$3)*100,"")</f>
        <v>69.443931564603204</v>
      </c>
    </row>
    <row r="7" spans="1:11">
      <c r="B7" s="171">
        <f t="shared" ref="B7:B70" si="1">B6+0.1</f>
        <v>-9.8000000000000007</v>
      </c>
      <c r="C7" s="171">
        <f t="shared" si="0"/>
        <v>1.1818368021892541E-4</v>
      </c>
      <c r="D7" s="171"/>
      <c r="H7" s="320">
        <f>IF(Measurement!AQ7&lt;&gt;"",-7,"")</f>
        <v>-7</v>
      </c>
      <c r="I7" s="321">
        <f>IF(Measurement!AQ7&lt;&gt;"",NORMSDIST((H6-$B$2)/$B$3)*100,"")</f>
        <v>69.443931564603204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32.32</v>
      </c>
      <c r="V4" t="s">
        <v>1218</v>
      </c>
    </row>
    <row r="5" spans="1:29">
      <c r="B5" s="171">
        <v>0</v>
      </c>
      <c r="C5" s="171">
        <f>NORMSDIST(($B5-$B$2)/$B$3)*100</f>
        <v>1.2153167836658598</v>
      </c>
      <c r="H5">
        <f>info!W36</f>
        <v>32.322700000000005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32.322700000000005</v>
      </c>
      <c r="I6" s="171">
        <f>NORMSDIST((H6-$B$2)/$B$3)*100</f>
        <v>21.293617201531319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21.293617201531319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3.0251899999999998</v>
      </c>
    </row>
    <row r="3" spans="1:11" ht="18">
      <c r="A3" s="71" t="s">
        <v>1065</v>
      </c>
      <c r="B3" s="557">
        <v>0.71290976993199895</v>
      </c>
      <c r="C3" s="523"/>
      <c r="H3" s="561" t="s">
        <v>2223</v>
      </c>
      <c r="I3" s="562">
        <f>IF(I2=0,0,NORMSDIST((I2-$B$2)/$B$3)*100)</f>
        <v>94.275237337667463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3.03</v>
      </c>
    </row>
    <row r="6" spans="1:11">
      <c r="B6" s="23">
        <v>0</v>
      </c>
      <c r="C6" s="23">
        <f>NORMSDIST(($B6-$B$2)/$B$3)*100</f>
        <v>0.38478836223957635</v>
      </c>
      <c r="H6" s="205">
        <f>IF(info!V36&gt;I1,I1,info!V36)</f>
        <v>3.0251899999999998</v>
      </c>
      <c r="I6" s="560">
        <v>0</v>
      </c>
    </row>
    <row r="7" spans="1:11">
      <c r="B7" s="23">
        <f>B5+0.05</f>
        <v>0</v>
      </c>
      <c r="C7" s="23">
        <f t="shared" ref="C7:E58" si="0">NORMSDIST(($B7-$B$2)/$B$3)*100</f>
        <v>0.38478836223957635</v>
      </c>
      <c r="H7" s="205">
        <f>IF(info!V36&gt;I1,I1,info!V36)</f>
        <v>3.0251899999999998</v>
      </c>
      <c r="I7" s="560">
        <f>NORMSDIST((H7-$B$2)/$B$3)*100</f>
        <v>94.275237337667463</v>
      </c>
    </row>
    <row r="8" spans="1:11">
      <c r="B8" s="23">
        <f t="shared" ref="B8:B71" si="1">B7+0.05</f>
        <v>0.05</v>
      </c>
      <c r="C8" s="23">
        <f t="shared" si="0"/>
        <v>0.47295624138584591</v>
      </c>
      <c r="D8" s="171"/>
      <c r="H8" s="205">
        <v>0</v>
      </c>
      <c r="I8" s="560">
        <f>NORMSDIST((H7-$B$2)/$B$3)*100</f>
        <v>94.275237337667463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감정변이도3.03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3</v>
      </c>
      <c r="I6" s="171">
        <f>NORMSDIST((H6-$B$2)/$B$3)*100</f>
        <v>0.13498980316300932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0.13498980316300932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45784.662800925929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msSm</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45784.662800925929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msSm</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2025-05-07T06:54:40Z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