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nFQ6^1^1^\"/>
    </mc:Choice>
  </mc:AlternateContent>
  <xr:revisionPtr revIDLastSave="0" documentId="13_ncr:1_{8A8A7C0D-7AA0-4A73-A6BF-83388693753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H8" i="40"/>
  <c r="Q8" i="41"/>
  <c r="L7" i="43"/>
  <c r="H8" i="44"/>
  <c r="Q8" i="45"/>
  <c r="L7" i="33"/>
  <c r="Q8" i="37"/>
  <c r="L7" i="39"/>
  <c r="L8" i="36"/>
  <c r="L8" i="44"/>
  <c r="L7" i="30"/>
  <c r="H8" i="33"/>
  <c r="Q8" i="36"/>
  <c r="L7" i="38"/>
  <c r="H8" i="39"/>
  <c r="Q8" i="40"/>
  <c r="L7" i="42"/>
  <c r="Q8" i="44"/>
  <c r="L7" i="46"/>
  <c r="L8" i="40"/>
  <c r="L8" i="33"/>
  <c r="L8" i="39"/>
  <c r="L8" i="43"/>
  <c r="Q2" i="14"/>
  <c r="H8" i="49"/>
  <c r="H8" i="30"/>
  <c r="Q8" i="33"/>
  <c r="L7" i="37"/>
  <c r="H8" i="38"/>
  <c r="Q8" i="39"/>
  <c r="L7" i="41"/>
  <c r="H8" i="42"/>
  <c r="Q8" i="43"/>
  <c r="L7" i="45"/>
  <c r="H8" i="46"/>
  <c r="H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1" i="1"/>
  <c r="I36"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16" i="1"/>
  <c r="I41" i="48" s="1"/>
  <c r="L8" i="1"/>
  <c r="I33"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D7" i="1"/>
  <c r="BW6" i="1" s="1"/>
  <c r="CB7" i="1"/>
  <c r="CC7" i="1"/>
  <c r="AS7" i="1"/>
  <c r="A71" i="32"/>
  <c r="A67" i="32"/>
  <c r="B53" i="24"/>
  <c r="D53" i="24" s="1"/>
  <c r="H4" i="21"/>
  <c r="H6" i="21"/>
  <c r="I6" i="21" s="1"/>
  <c r="H5" i="21"/>
  <c r="A9" i="17"/>
  <c r="C8" i="17"/>
  <c r="B8" i="17" s="1"/>
  <c r="V21" i="11"/>
  <c r="V52" i="11"/>
  <c r="X52" i="11" s="1"/>
  <c r="B46" i="25"/>
  <c r="G46" i="25" s="1"/>
  <c r="BZ6" i="1"/>
  <c r="H7" i="21"/>
  <c r="I5" i="21"/>
  <c r="B27" i="21"/>
  <c r="C26" i="21"/>
  <c r="B83" i="23"/>
  <c r="E82" i="23"/>
  <c r="C28" i="23"/>
  <c r="H20" i="18"/>
  <c r="F15" i="13"/>
  <c r="L14" i="13"/>
  <c r="M17" i="1"/>
  <c r="A50" i="6"/>
  <c r="A54" i="6"/>
  <c r="K24" i="1"/>
  <c r="I24" i="1"/>
  <c r="F9" i="11"/>
  <c r="A10" i="11"/>
  <c r="B9" i="11"/>
  <c r="E9" i="11" s="1"/>
  <c r="CD6" i="1" l="1"/>
  <c r="CB6" i="1"/>
  <c r="BX6" i="1"/>
  <c r="CC6" i="1"/>
  <c r="CA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39"/>
  <c r="O7" i="33"/>
  <c r="O7" i="4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7" i="1" l="1"/>
  <c r="Y16" i="1"/>
  <c r="Y10" i="1"/>
  <c r="Y8" i="1"/>
  <c r="C213" i="17"/>
  <c r="B213" i="17" s="1"/>
  <c r="A214" i="17"/>
  <c r="F211" i="11"/>
  <c r="A212" i="11"/>
  <c r="B211" i="11"/>
  <c r="E211" i="11" s="1"/>
  <c r="Y9" i="1" l="1"/>
  <c r="Y11" i="1"/>
  <c r="Y14" i="1"/>
  <c r="L33" i="48"/>
  <c r="L33" i="18"/>
  <c r="L35" i="48"/>
  <c r="L35" i="18"/>
  <c r="L41" i="48"/>
  <c r="L41" i="18"/>
  <c r="L32" i="48"/>
  <c r="L32" i="18"/>
  <c r="C214" i="17"/>
  <c r="B214" i="17" s="1"/>
  <c r="Y12" i="1" s="1"/>
  <c r="A215" i="17"/>
  <c r="F212" i="11"/>
  <c r="A213" i="11"/>
  <c r="B212" i="11"/>
  <c r="E212" i="11" s="1"/>
  <c r="L37" i="48" l="1"/>
  <c r="L37" i="18"/>
  <c r="L39" i="48"/>
  <c r="L39" i="18"/>
  <c r="L36" i="48"/>
  <c r="L36"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G9" i="1" l="1"/>
  <c r="CJ9" i="1"/>
  <c r="CJ14" i="1" s="1"/>
  <c r="D13" i="18" s="1"/>
  <c r="K13" i="18"/>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A261" i="17"/>
  <c r="F258" i="11"/>
  <c r="K16" i="18" l="1"/>
  <c r="CG10" i="1"/>
  <c r="CJ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G11" i="1" l="1"/>
  <c r="CJ11" i="1"/>
  <c r="G13" i="18" s="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CJ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CJ18" i="1" s="1"/>
  <c r="G13" i="48"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G12" i="1" l="1"/>
  <c r="CJ19" i="1"/>
  <c r="D15" i="48" s="1"/>
  <c r="CJ12" i="1"/>
  <c r="D15" i="18" s="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18" l="1"/>
  <c r="J28" i="4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<sst xmlns="http://schemas.openxmlformats.org/spreadsheetml/2006/main" count="7311" uniqueCount="2585">
  <si>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</si>
  <si>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</si>
  <si>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</si>
  <si>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</si>
  <si>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</si>
  <si>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</si>
  <si>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</si>
  <si>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</si>
  <si>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</si>
  <si>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</si>
  <si>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</si>
  <si>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</si>
  <si>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</si>
  <si>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</si>
  <si>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</si>
  <si>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</si>
  <si>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</si>
  <si>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</si>
  <si>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</si>
  <si>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</si>
  <si>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</si>
  <si>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</si>
  <si>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</si>
  <si>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</si>
  <si>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</si>
  <si>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</si>
  <si>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</si>
  <si>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</si>
  <si>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</si>
  <si>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</si>
  <si>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</si>
  <si>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</si>
  <si>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</si>
  <si>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</si>
  <si>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</si>
  <si>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</si>
  <si>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</si>
  <si>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</si>
  <si>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</si>
  <si>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</si>
  <si>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</si>
  <si>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</si>
  <si>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</si>
  <si>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</si>
  <si>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</si>
  <si>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</si>
  <si>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</si>
  <si>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</si>
  <si>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</si>
  <si>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</si>
  <si>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</si>
  <si>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</si>
  <si>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</si>
  <si>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</si>
  <si>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</si>
  <si>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</si>
  <si>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</si>
  <si>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</si>
  <si>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</si>
  <si>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</si>
  <si>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</si>
  <si>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</si>
  <si>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</si>
  <si>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</si>
  <si>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</si>
  <si>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</si>
  <si>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</si>
  <si>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</si>
  <si>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</si>
  <si>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</si>
  <si>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</si>
  <si>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</si>
  <si>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</si>
  <si>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</si>
  <si>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</si>
  <si>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</si>
  <si>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</si>
  <si>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</si>
  <si>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</si>
  <si>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</si>
  <si>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</si>
  <si>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</si>
  <si>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</si>
  <si>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</si>
  <si>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</si>
  <si>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</si>
  <si>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</si>
  <si>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</si>
  <si>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</si>
  <si>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</si>
  <si>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</si>
  <si>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</si>
  <si>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</si>
  <si>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</si>
  <si>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</si>
  <si>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</si>
  <si>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</si>
  <si>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</si>
  <si>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</si>
  <si>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</si>
  <si>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</si>
  <si>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</si>
  <si>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</si>
  <si>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</si>
  <si>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</si>
  <si>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</si>
  <si>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</si>
  <si>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</si>
  <si>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</si>
  <si>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</si>
  <si>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</si>
  <si>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</si>
  <si>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</si>
  <si>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</si>
  <si>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</si>
  <si>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</si>
  <si>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</si>
  <si>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</si>
  <si>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</si>
  <si>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</si>
  <si>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</si>
  <si>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</si>
  <si>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</si>
  <si>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</si>
  <si>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</si>
  <si>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</si>
  <si>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</si>
  <si>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</si>
  <si>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</si>
  <si>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</si>
  <si>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</si>
  <si>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</si>
  <si>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</si>
  <si>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</si>
  <si>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</si>
  <si>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</si>
  <si>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</si>
  <si>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</si>
  <si>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</si>
  <si>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</si>
  <si>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</si>
  <si>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</si>
  <si>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</si>
  <si>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</si>
  <si>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</si>
  <si>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</si>
  <si>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</si>
  <si>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</si>
  <si>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</si>
  <si>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</si>
  <si>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</si>
  <si>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</si>
  <si>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</si>
  <si>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</si>
  <si>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</si>
  <si>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</si>
  <si>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</si>
  <si>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</si>
  <si>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</si>
  <si>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</si>
  <si>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</si>
  <si>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</si>
  <si>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</si>
  <si>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</si>
  <si>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</si>
  <si>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</si>
  <si>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</si>
  <si>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</si>
  <si>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</si>
  <si>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</si>
  <si>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</si>
  <si>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</si>
  <si>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</si>
  <si>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</si>
  <si>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</si>
  <si>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</si>
  <si>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</si>
  <si>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</si>
  <si>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</si>
  <si>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</si>
  <si>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</si>
  <si>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</si>
  <si>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</si>
  <si>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</si>
  <si>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</si>
  <si>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</si>
  <si>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</si>
  <si>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</si>
  <si>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</si>
  <si>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</si>
  <si>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</si>
  <si>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</si>
  <si>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</si>
  <si>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</si>
  <si>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</si>
  <si>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</si>
  <si>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</si>
  <si>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</si>
  <si>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</si>
  <si>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</si>
  <si>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</si>
  <si>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</si>
  <si>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</si>
  <si>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</si>
  <si>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</si>
  <si>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</si>
  <si>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</si>
  <si>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</si>
  <si>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</si>
  <si>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</si>
  <si>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</si>
  <si>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</si>
  <si>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</si>
  <si>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</si>
  <si>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</si>
  <si>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</si>
  <si>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</si>
  <si>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</si>
  <si>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</si>
  <si>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</si>
  <si>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</si>
  <si>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</si>
  <si>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</si>
  <si>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</si>
  <si>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</si>
  <si>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</si>
  <si>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</si>
  <si>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</si>
  <si>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</si>
  <si>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</si>
  <si>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</si>
  <si>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</si>
  <si>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</si>
  <si>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</si>
  <si>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</si>
  <si>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</si>
  <si>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</si>
  <si>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</si>
  <si>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</si>
  <si>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</si>
  <si>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</si>
  <si>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</si>
  <si>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</si>
  <si>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</si>
  <si>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</si>
  <si>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</si>
  <si>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</si>
  <si>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</si>
  <si>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</si>
  <si>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</si>
  <si>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</si>
  <si>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</si>
  <si>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</si>
  <si>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</si>
  <si>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</si>
  <si>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</si>
  <si>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</si>
  <si>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</si>
  <si>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</si>
  <si>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</si>
  <si>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</si>
  <si>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</si>
  <si>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</si>
  <si>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</si>
  <si>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</si>
  <si>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</si>
  <si>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</si>
  <si>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</si>
  <si>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</si>
  <si>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</si>
  <si>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</si>
  <si>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</si>
  <si>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</si>
  <si>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</si>
  <si>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</si>
  <si>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</si>
  <si>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</si>
  <si>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</si>
  <si>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</si>
  <si>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</si>
  <si>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</si>
  <si>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</si>
  <si>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</si>
  <si>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</si>
  <si>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</si>
  <si>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</si>
  <si>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</si>
  <si>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</si>
  <si>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</si>
  <si>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</si>
  <si>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</si>
  <si>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</si>
  <si>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</si>
  <si>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</si>
  <si>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</si>
  <si>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</si>
  <si>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</si>
  <si>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</si>
  <si>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</si>
  <si>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</si>
  <si>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</si>
  <si>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</si>
  <si>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</si>
  <si>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</si>
  <si>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</si>
  <si>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</si>
  <si>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</si>
  <si>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</si>
  <si>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</si>
  <si>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</si>
  <si>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</si>
  <si>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</si>
  <si>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</si>
  <si>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</si>
  <si>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</si>
  <si>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</si>
  <si>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</si>
  <si>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</si>
  <si>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</si>
  <si>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</si>
  <si>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</si>
  <si>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</si>
  <si>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</si>
  <si>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</si>
  <si>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</si>
  <si>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</si>
  <si>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</si>
  <si>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</si>
  <si>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</si>
  <si>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</si>
  <si>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</si>
  <si>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</si>
  <si>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</si>
  <si>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</si>
  <si>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</si>
  <si>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</si>
  <si>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</si>
  <si>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</si>
  <si>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</si>
  <si>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</si>
  <si>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</si>
  <si>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</si>
  <si>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</si>
  <si>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</si>
  <si>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</si>
  <si>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</si>
  <si>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</si>
  <si>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</si>
  <si>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</si>
  <si>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</si>
  <si>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</si>
  <si>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</si>
  <si>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</si>
  <si>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</si>
  <si>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</si>
  <si>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</si>
  <si>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</si>
  <si>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</si>
  <si>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</si>
  <si>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</si>
  <si>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</si>
  <si>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</si>
  <si>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</si>
  <si>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</si>
  <si>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</si>
  <si>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</si>
  <si>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</si>
  <si>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</si>
  <si>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</si>
  <si>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</si>
  <si>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</si>
  <si>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</si>
  <si>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</si>
  <si>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</si>
  <si>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</si>
  <si>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</si>
  <si>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</si>
  <si>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</si>
  <si>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</si>
  <si>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</si>
  <si>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</si>
  <si>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</si>
  <si>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</si>
  <si>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</si>
  <si>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</si>
  <si>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</si>
  <si>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</si>
  <si>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</si>
  <si>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</si>
  <si>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</si>
  <si>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</si>
  <si>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</si>
  <si>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</si>
  <si>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</si>
  <si>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</si>
  <si>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</si>
  <si>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</si>
  <si>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</si>
  <si>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</si>
  <si>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</si>
  <si>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</si>
  <si>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</si>
  <si>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</si>
  <si>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</si>
  <si>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</si>
  <si>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</si>
  <si>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</si>
  <si>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</si>
  <si>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</si>
  <si>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</si>
  <si>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</si>
  <si>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</si>
  <si>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</si>
  <si>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</si>
  <si>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</si>
  <si>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</si>
  <si>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</si>
  <si>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</si>
  <si>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</si>
  <si>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</si>
  <si>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</si>
  <si>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</si>
  <si>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</si>
  <si>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</si>
  <si>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</si>
  <si>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</si>
  <si>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</si>
  <si>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</si>
  <si>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</si>
  <si>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</si>
  <si>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</si>
  <si>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</si>
  <si>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</si>
  <si>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</si>
  <si>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</si>
  <si>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</si>
  <si>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</si>
  <si>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</si>
  <si>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</si>
  <si>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</si>
  <si>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</si>
  <si>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</si>
  <si>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</si>
  <si>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</si>
  <si>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</si>
  <si>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</si>
  <si>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</si>
  <si>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</si>
  <si>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</si>
  <si>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</si>
  <si>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</si>
  <si>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</si>
  <si>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</si>
  <si>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</si>
  <si>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</si>
  <si>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</si>
  <si>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</si>
  <si>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</si>
  <si>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</si>
  <si>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</si>
  <si>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</si>
  <si>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</si>
  <si>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</si>
  <si>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</si>
  <si>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</si>
  <si>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</si>
  <si>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</si>
  <si>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</si>
  <si>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</si>
  <si>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</si>
  <si>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</si>
  <si>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</si>
  <si>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</si>
  <si>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</si>
  <si>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</si>
  <si>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</si>
  <si>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</si>
  <si>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</si>
  <si>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</si>
  <si>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</si>
  <si>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</si>
  <si>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</si>
  <si>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</si>
  <si>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</si>
  <si>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</si>
  <si>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</si>
  <si>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</si>
  <si>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</si>
  <si>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</si>
  <si>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</si>
  <si>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</si>
  <si>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</si>
  <si>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</si>
  <si>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</si>
  <si>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</si>
  <si>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</si>
  <si>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</si>
  <si>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</si>
  <si>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</si>
  <si>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</si>
  <si>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</si>
  <si>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</si>
  <si>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</si>
  <si>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</si>
  <si>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</si>
  <si>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</si>
  <si>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</si>
  <si>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</si>
  <si>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</si>
  <si>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</si>
  <si>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</si>
  <si>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</si>
  <si>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</si>
  <si>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</si>
  <si>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</si>
  <si>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</si>
  <si>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</si>
  <si>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</si>
  <si>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</si>
  <si>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</si>
  <si>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</si>
  <si>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</si>
  <si>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</si>
  <si>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</si>
  <si>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</si>
  <si>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</si>
  <si>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</si>
  <si>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</si>
  <si>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</si>
  <si>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</si>
  <si>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</si>
  <si>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</si>
  <si>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</si>
  <si>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</si>
  <si>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</si>
  <si>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</si>
  <si>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</si>
  <si>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</si>
  <si>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</si>
  <si>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</si>
  <si>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</si>
  <si>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</si>
  <si>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</si>
  <si>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</si>
  <si>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</si>
  <si>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</si>
  <si>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</si>
  <si>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</si>
  <si>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</si>
  <si>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</si>
  <si>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</si>
  <si>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</si>
  <si>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</si>
  <si>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</si>
  <si>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</si>
  <si>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</si>
  <si>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</si>
  <si>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</si>
  <si>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</si>
  <si>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</si>
  <si>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</si>
  <si>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</si>
  <si>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</si>
  <si>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</si>
  <si>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</si>
  <si>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</si>
  <si>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</si>
  <si>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</si>
  <si>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</si>
  <si>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</si>
  <si>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</si>
  <si>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</si>
  <si>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</si>
  <si>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</si>
  <si>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</si>
  <si>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</si>
  <si>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</si>
  <si>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</si>
  <si>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</si>
  <si>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</si>
  <si>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</si>
  <si>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</si>
  <si>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</si>
  <si>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</si>
  <si>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</si>
  <si>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</si>
  <si>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</si>
  <si>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</si>
  <si>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</si>
  <si>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</si>
  <si>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</si>
  <si>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</si>
  <si>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</si>
  <si>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</si>
  <si>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</si>
  <si>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</si>
  <si>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</si>
  <si>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</si>
  <si>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</si>
  <si>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</si>
  <si>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</si>
  <si>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</si>
  <si>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</si>
  <si>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</si>
  <si>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</si>
  <si>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</si>
  <si>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</si>
  <si>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</si>
  <si>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</si>
  <si>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</si>
  <si>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</si>
  <si>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</si>
  <si>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</si>
  <si>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</si>
  <si>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</si>
  <si>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</si>
  <si>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</si>
  <si>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</si>
  <si>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</si>
  <si>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</si>
  <si>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</si>
  <si>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</si>
  <si>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</si>
  <si>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</si>
  <si>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</si>
  <si>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</si>
  <si>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</si>
  <si>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</si>
  <si>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</si>
  <si>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</si>
  <si>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</si>
  <si>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</si>
  <si>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</si>
  <si>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</si>
  <si>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</si>
  <si>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</si>
  <si>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</si>
  <si>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</si>
  <si>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</si>
  <si>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</si>
  <si>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</si>
  <si>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</si>
  <si>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</si>
  <si>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</si>
  <si>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</si>
  <si>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</si>
  <si>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</si>
  <si>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</si>
  <si>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</si>
  <si>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</si>
  <si>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</si>
  <si>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</si>
  <si>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</si>
  <si>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</si>
  <si>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</si>
  <si>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</si>
  <si>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</si>
  <si>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</si>
  <si>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</si>
  <si>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</si>
  <si>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</si>
  <si>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</si>
  <si>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</si>
  <si>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</si>
  <si>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</si>
  <si>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</si>
  <si>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</si>
  <si>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</si>
  <si>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</si>
  <si>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</si>
  <si>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</si>
  <si>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</si>
  <si>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</si>
  <si>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</si>
  <si>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</si>
  <si>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</si>
  <si>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</si>
  <si>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</si>
  <si>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</si>
  <si>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</si>
  <si>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</si>
  <si>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</si>
  <si>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</si>
  <si>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</si>
  <si>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</si>
  <si>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</si>
  <si>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</si>
  <si>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</si>
  <si>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</si>
  <si>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</si>
  <si>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</si>
  <si>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</si>
  <si>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</si>
  <si>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</si>
  <si>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</si>
  <si>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</si>
  <si>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</si>
  <si>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</si>
  <si>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</si>
  <si>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</si>
  <si>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</si>
  <si>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</si>
  <si>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</si>
  <si>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</si>
  <si>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</si>
  <si>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</si>
  <si>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</si>
  <si>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</si>
  <si>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</si>
  <si>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</si>
  <si>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</si>
  <si>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</si>
  <si>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</si>
  <si>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</si>
  <si>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</si>
  <si>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</si>
  <si>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</si>
  <si>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</si>
  <si>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</si>
  <si>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</si>
  <si>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</si>
  <si>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</si>
  <si>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</si>
  <si>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</si>
  <si>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</si>
  <si>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</si>
  <si>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</si>
  <si>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</si>
  <si>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</si>
  <si>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</si>
  <si>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</si>
  <si>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</si>
  <si>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</si>
  <si>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</si>
  <si>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</si>
  <si>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</si>
  <si>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</si>
  <si>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</si>
  <si>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</si>
  <si>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</si>
  <si>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</si>
  <si>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</si>
  <si>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</si>
  <si>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</si>
  <si>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</si>
  <si>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</si>
  <si>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</si>
  <si>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</si>
  <si>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</si>
  <si>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</si>
  <si>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</si>
  <si>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</si>
  <si>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</si>
  <si>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</si>
  <si>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</si>
  <si>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</si>
  <si>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</si>
  <si>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</si>
  <si>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</si>
  <si>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</si>
  <si>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</si>
  <si>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</si>
  <si>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</si>
  <si>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</si>
  <si>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</si>
  <si>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</si>
  <si>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</si>
  <si>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</si>
  <si>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</si>
  <si>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</si>
  <si>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</si>
  <si>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</si>
  <si>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</si>
  <si>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</si>
  <si>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</si>
  <si>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</si>
  <si>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</si>
  <si>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</si>
  <si>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</si>
  <si>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</si>
  <si>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</si>
  <si>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</si>
  <si>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</si>
  <si>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</si>
  <si>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</si>
  <si>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</si>
  <si>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</si>
  <si>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</si>
  <si>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</si>
  <si>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</si>
  <si>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</si>
  <si>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</si>
  <si>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</si>
  <si>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</si>
  <si>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</si>
  <si>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</si>
  <si>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</si>
  <si>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</si>
  <si>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</si>
  <si>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</si>
  <si>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</si>
  <si>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</si>
  <si>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</si>
  <si>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</si>
  <si>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</si>
  <si>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</si>
  <si>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</si>
  <si>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</si>
  <si>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</si>
  <si>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</si>
  <si>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</si>
  <si>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</si>
  <si>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</si>
  <si>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</si>
  <si>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</si>
  <si>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</si>
  <si>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</si>
  <si>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</si>
  <si>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</si>
  <si>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</si>
  <si>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</si>
  <si>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</si>
  <si>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</si>
  <si>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</si>
  <si>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</si>
  <si>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</si>
  <si>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</si>
  <si>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</si>
  <si>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</si>
  <si>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</si>
  <si>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</si>
  <si>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</si>
  <si>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</si>
  <si>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</si>
  <si>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</si>
  <si>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</si>
  <si>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</si>
  <si>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</si>
  <si>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</si>
  <si>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</si>
  <si>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</si>
  <si>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</si>
  <si>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</si>
  <si>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</si>
  <si>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</si>
  <si>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</si>
  <si>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</si>
  <si>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</si>
  <si>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</si>
  <si>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</si>
  <si>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</si>
  <si>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</si>
  <si>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</si>
  <si>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</si>
  <si>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</si>
  <si>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</si>
  <si>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</si>
  <si>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</si>
  <si>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</si>
  <si>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</si>
  <si>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</si>
  <si>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</si>
  <si>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</si>
  <si>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</si>
  <si>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</si>
  <si>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</si>
  <si>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</si>
  <si>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</si>
  <si>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</si>
  <si>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</si>
  <si>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</si>
  <si>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</si>
  <si>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</si>
  <si>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</si>
  <si>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</si>
  <si>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</si>
  <si>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</si>
  <si>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</si>
  <si>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</si>
  <si>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</si>
  <si>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</si>
  <si>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</si>
  <si>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</si>
  <si>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</si>
  <si>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</si>
  <si>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</si>
  <si>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</si>
  <si>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</si>
  <si>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</si>
  <si>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</si>
  <si>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</si>
  <si>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</si>
  <si>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</si>
  <si>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</si>
  <si>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</si>
  <si>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</si>
  <si>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</si>
  <si>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</si>
  <si>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</si>
  <si>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</si>
  <si>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</si>
  <si>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</si>
  <si>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</si>
  <si>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</si>
  <si>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</si>
  <si>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</si>
  <si>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</si>
  <si>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</si>
  <si>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</si>
  <si>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</si>
  <si>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</si>
  <si>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</si>
  <si>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</si>
  <si>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</si>
  <si>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</si>
  <si>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</si>
  <si>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</si>
  <si>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</si>
  <si>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</si>
  <si>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</si>
  <si>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</si>
  <si>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</si>
  <si>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</si>
  <si>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</si>
  <si>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</si>
  <si>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</si>
  <si>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</si>
  <si>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</si>
  <si>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</si>
  <si>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</si>
  <si>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</si>
  <si>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</si>
  <si>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</si>
  <si>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</si>
  <si>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</si>
  <si>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</si>
  <si>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</si>
  <si>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</si>
  <si>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</si>
  <si>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</si>
  <si>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</si>
  <si>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</si>
  <si>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</si>
  <si>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</si>
  <si>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</si>
  <si>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</si>
  <si>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</si>
  <si>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</si>
  <si>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</si>
  <si>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</si>
  <si>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</si>
  <si>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</si>
  <si>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</si>
  <si>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</si>
  <si>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</si>
  <si>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</si>
  <si>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</si>
  <si>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</si>
  <si>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</si>
  <si>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</si>
  <si>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</si>
  <si>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</si>
  <si>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</si>
  <si>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</si>
  <si>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</si>
  <si>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</si>
  <si>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</si>
  <si>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</si>
  <si>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</si>
  <si>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</si>
  <si>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</si>
  <si>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</si>
  <si>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</si>
  <si>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</si>
  <si>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</si>
  <si>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</si>
  <si>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</si>
  <si>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</si>
  <si>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</si>
  <si>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</si>
  <si>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</si>
  <si>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</si>
  <si>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</si>
  <si>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</si>
  <si>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</si>
  <si>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</si>
  <si>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</si>
  <si>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</si>
  <si>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</si>
  <si>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</si>
  <si>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</si>
  <si>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</si>
  <si>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</si>
  <si>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</si>
  <si>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</si>
  <si>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</si>
  <si>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</si>
  <si>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</si>
  <si>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</si>
  <si>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</si>
  <si>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</si>
  <si>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</si>
  <si>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</si>
  <si>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</si>
  <si>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</si>
  <si>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</si>
  <si>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</si>
  <si>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</si>
  <si>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</si>
  <si>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</si>
  <si>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</si>
  <si>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</si>
  <si>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</si>
  <si>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</si>
  <si>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</si>
  <si>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</si>
  <si>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</si>
  <si>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</si>
  <si>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</si>
  <si>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</si>
  <si>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</si>
  <si>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</si>
  <si>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</si>
  <si>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</si>
  <si>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</si>
  <si>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</si>
  <si>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</si>
  <si>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</si>
  <si>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</si>
  <si>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</si>
  <si>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</si>
  <si>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</si>
  <si>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</si>
  <si>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</si>
  <si>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</si>
  <si>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</si>
  <si>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</si>
  <si>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</si>
  <si>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</si>
  <si>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</si>
  <si>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</si>
  <si>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</si>
  <si>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</si>
  <si>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</si>
  <si>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</si>
  <si>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</si>
  <si>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</si>
  <si>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</si>
  <si>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</si>
  <si>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</si>
  <si>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</si>
  <si>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</si>
  <si>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</si>
  <si>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</si>
  <si>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</si>
  <si>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</si>
  <si>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</si>
  <si>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</si>
  <si>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</si>
  <si>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</si>
  <si>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</si>
  <si>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</si>
  <si>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</si>
  <si>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</si>
  <si>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</si>
  <si>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</si>
  <si>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</si>
  <si>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</si>
  <si>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</si>
  <si>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</si>
  <si>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</si>
  <si>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</si>
  <si>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</si>
  <si>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</si>
  <si>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</si>
  <si>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</si>
  <si>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</si>
  <si>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</si>
  <si>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</si>
  <si>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</si>
  <si>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</si>
  <si>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</si>
  <si>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</si>
  <si>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</si>
  <si>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</si>
  <si>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</si>
  <si>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</si>
  <si>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</si>
  <si>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</si>
  <si>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</si>
  <si>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</si>
  <si>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</si>
  <si>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</si>
  <si>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</si>
  <si>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</si>
  <si>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</si>
  <si>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</si>
  <si>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</si>
  <si>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</si>
  <si>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</si>
  <si>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</si>
  <si>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</si>
  <si>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</si>
  <si>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</si>
  <si>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</si>
  <si>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</si>
  <si>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</si>
  <si>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</si>
  <si>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</si>
  <si>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</si>
  <si>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</si>
  <si>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</si>
  <si>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</si>
  <si>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</si>
  <si>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</si>
  <si>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</si>
  <si>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</si>
  <si>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</si>
  <si>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</si>
  <si>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</si>
  <si>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</si>
  <si>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</si>
  <si>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</si>
  <si>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</si>
  <si>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</si>
  <si>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</si>
  <si>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</si>
  <si>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</si>
  <si>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</si>
  <si>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</si>
  <si>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</si>
  <si>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</si>
  <si>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</si>
  <si>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</si>
  <si>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</si>
  <si>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</si>
  <si>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</si>
  <si>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</si>
  <si>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</si>
  <si>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</si>
  <si>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</si>
  <si>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</si>
  <si>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</si>
  <si>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</si>
  <si>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</si>
  <si>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</si>
  <si>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</si>
  <si>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</si>
  <si>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</si>
  <si>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</si>
  <si>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</si>
  <si>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</si>
  <si>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</si>
  <si>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</si>
  <si>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</si>
  <si>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</si>
  <si>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</si>
  <si>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</si>
  <si>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</si>
  <si>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</si>
  <si>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</si>
  <si>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</si>
  <si>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</si>
  <si>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</si>
  <si>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</si>
  <si>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</si>
  <si>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</si>
  <si>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</si>
  <si>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</si>
  <si>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</si>
  <si>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</si>
  <si>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</si>
  <si>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</si>
  <si>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</si>
  <si>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</si>
  <si>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</si>
  <si>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</si>
  <si>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</si>
  <si>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</si>
  <si>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</si>
  <si>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</si>
  <si>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</si>
  <si>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</si>
  <si>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</si>
  <si>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</si>
  <si>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</si>
  <si>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</si>
  <si>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</si>
  <si>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</si>
  <si>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</si>
  <si>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</si>
  <si>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</si>
  <si>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</si>
  <si>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</si>
  <si>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</si>
  <si>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</si>
  <si>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</si>
  <si>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</si>
  <si>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</si>
  <si>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</si>
  <si>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</si>
  <si>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</si>
  <si>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</si>
  <si>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</si>
  <si>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</si>
  <si>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</si>
  <si>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</si>
  <si>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</si>
  <si>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</si>
  <si>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</si>
  <si>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</si>
  <si>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</si>
  <si>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</si>
  <si>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</si>
  <si>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</si>
  <si>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</si>
  <si>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</si>
  <si>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</si>
  <si>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</si>
  <si>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</si>
  <si>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</si>
  <si>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</si>
  <si>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</si>
  <si>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</si>
  <si>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</si>
  <si>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</si>
  <si>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</si>
  <si>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</si>
  <si>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</si>
  <si>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</si>
  <si>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</si>
  <si>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</si>
  <si>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</si>
  <si>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</si>
  <si>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</si>
  <si>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</si>
  <si>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</si>
  <si>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</si>
  <si>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</si>
  <si>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</si>
  <si>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</si>
  <si>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</si>
  <si>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</si>
  <si>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</si>
  <si>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</si>
  <si>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</si>
  <si>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</si>
  <si>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</si>
  <si>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</si>
  <si>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</si>
  <si>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</si>
  <si>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</si>
  <si>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</si>
  <si>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</si>
  <si>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</si>
  <si>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</si>
  <si>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</si>
  <si>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</si>
  <si>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</si>
  <si>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</si>
  <si>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</si>
  <si>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</si>
  <si>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</si>
  <si>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</si>
  <si>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</si>
  <si>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</si>
  <si>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</si>
  <si>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</si>
  <si>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</si>
  <si>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</si>
  <si>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</si>
  <si>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</si>
  <si>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</si>
  <si>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</si>
  <si>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</si>
  <si>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</si>
  <si>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</si>
  <si>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</si>
  <si>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</si>
  <si>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</si>
  <si>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</si>
  <si>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</si>
  <si>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</si>
  <si>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</si>
  <si>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</si>
  <si>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</si>
  <si>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</si>
  <si>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</si>
  <si>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</si>
  <si>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</si>
  <si>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</si>
  <si>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</si>
  <si>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</si>
  <si>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</si>
  <si>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</si>
  <si>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</si>
  <si>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</si>
  <si>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</si>
  <si>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</si>
  <si>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</si>
  <si>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</si>
  <si>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</si>
  <si>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</si>
  <si>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</si>
  <si>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</si>
  <si>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</si>
  <si>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</si>
  <si>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</si>
  <si>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</si>
  <si>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</si>
  <si>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</si>
  <si>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</si>
  <si>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</si>
  <si>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</si>
  <si>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</si>
  <si>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</si>
  <si>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</si>
  <si>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</si>
  <si>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</si>
  <si>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</si>
  <si>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</si>
  <si>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</si>
  <si>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</si>
  <si>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</si>
  <si>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</si>
  <si>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</si>
  <si>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</si>
  <si>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</si>
  <si>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</si>
  <si>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</si>
  <si>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</si>
  <si>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</si>
  <si>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</si>
  <si>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</si>
  <si>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</si>
  <si>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</si>
  <si>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</si>
  <si>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</si>
  <si>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</si>
  <si>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</si>
  <si>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</si>
  <si>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</si>
  <si>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</si>
  <si>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</si>
  <si>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</si>
  <si>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</si>
  <si>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</si>
  <si>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</si>
  <si>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</si>
  <si>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</si>
  <si>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</si>
  <si>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</si>
  <si>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</si>
  <si>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</si>
  <si>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</si>
  <si>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</si>
  <si>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</si>
  <si>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</si>
  <si>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</si>
  <si>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</si>
  <si>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</si>
  <si>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</si>
  <si>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</si>
  <si>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</si>
  <si>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</si>
  <si>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</si>
  <si>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</si>
  <si>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</si>
  <si>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</si>
  <si>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</si>
  <si>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</si>
  <si>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</si>
  <si>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</si>
  <si>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</si>
  <si>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</si>
  <si>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</si>
  <si>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</si>
  <si>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</si>
  <si>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</si>
  <si>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</si>
  <si>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</si>
  <si>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</si>
  <si>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</si>
  <si>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</si>
  <si>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</si>
  <si>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</si>
  <si>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</si>
  <si>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</si>
  <si>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</si>
  <si>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</si>
  <si>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</si>
  <si>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</si>
  <si>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</si>
  <si>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</si>
  <si>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</si>
  <si>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</si>
  <si>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</si>
  <si>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</si>
  <si>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</si>
  <si>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</si>
  <si>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</si>
  <si>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</si>
  <si>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</si>
  <si>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</si>
  <si>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</si>
  <si>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</si>
  <si>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</si>
  <si>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</si>
  <si>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</si>
  <si>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</si>
  <si>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</si>
  <si>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</si>
  <si>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</si>
  <si>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</si>
  <si>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</si>
  <si>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</si>
  <si>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</si>
  <si>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</si>
  <si>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</si>
  <si>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</si>
  <si>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</si>
  <si>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</si>
  <si>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</si>
  <si>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</si>
  <si>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</si>
  <si>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</si>
  <si>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</si>
  <si>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</si>
  <si>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</si>
  <si>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</si>
  <si>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</si>
  <si>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</si>
  <si>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</si>
  <si>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</si>
  <si>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</si>
  <si>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</si>
  <si>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</si>
  <si>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</si>
  <si>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</si>
  <si>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</si>
  <si>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</si>
  <si>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</si>
  <si>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</si>
  <si>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</si>
  <si>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</si>
  <si>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</si>
  <si>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</si>
  <si>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</si>
  <si>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</si>
  <si>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</si>
  <si>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</si>
  <si>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</si>
  <si>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</si>
  <si>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</si>
  <si>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</si>
  <si>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</si>
  <si>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</si>
  <si>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</si>
  <si>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</si>
  <si>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</si>
  <si>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</si>
  <si>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</si>
  <si>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</si>
  <si>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</si>
  <si>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</si>
  <si>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</si>
  <si>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</si>
  <si>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</si>
  <si>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</si>
  <si>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</si>
  <si>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</si>
  <si>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</si>
  <si>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</si>
  <si>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</si>
  <si>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</si>
  <si>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</si>
  <si>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</si>
  <si>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</si>
  <si>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</si>
  <si>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</si>
  <si>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</si>
  <si>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</si>
  <si>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</si>
  <si>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</si>
  <si>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</si>
  <si>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</si>
  <si>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</si>
  <si>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</si>
  <si>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</si>
  <si>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</si>
  <si>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</si>
  <si>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</si>
  <si>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</si>
  <si>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</si>
  <si>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</si>
  <si>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</si>
  <si>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</si>
  <si>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</si>
  <si>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</si>
  <si>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</si>
  <si>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</si>
  <si>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</si>
  <si>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</si>
  <si>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</si>
  <si>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</si>
  <si>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</si>
  <si>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</si>
  <si>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</si>
  <si>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</si>
  <si>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</si>
  <si>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</si>
  <si>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</si>
  <si>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</si>
  <si>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</si>
  <si>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</si>
  <si>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</si>
  <si>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</si>
  <si>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</si>
  <si>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</si>
  <si>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</si>
  <si>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</si>
  <si>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</si>
  <si>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</si>
  <si>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</si>
  <si>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</si>
  <si>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</si>
  <si>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</si>
  <si>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</si>
  <si>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</si>
  <si>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</si>
  <si>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</si>
  <si>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</si>
  <si>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</si>
  <si>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</si>
  <si>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</si>
  <si>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</si>
  <si>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</si>
  <si>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</si>
  <si>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</si>
  <si>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</si>
  <si>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</si>
  <si>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</si>
  <si>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</si>
  <si>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</si>
  <si>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</si>
  <si>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</si>
  <si>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</si>
  <si>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</si>
  <si>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</si>
  <si>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</si>
  <si>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</si>
  <si>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</si>
  <si>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</si>
  <si>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</si>
  <si>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</si>
  <si>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</si>
  <si>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</si>
  <si>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</si>
  <si>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</si>
  <si>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</si>
  <si>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</si>
  <si>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</si>
  <si>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</si>
  <si>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</si>
  <si>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</si>
  <si>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</si>
  <si>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</si>
  <si>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</si>
  <si>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</si>
  <si>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</si>
  <si>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</si>
  <si>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</si>
  <si>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</si>
  <si>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</si>
  <si>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</si>
  <si>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</si>
  <si>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</si>
  <si>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</si>
  <si>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</si>
  <si>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</si>
  <si>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</si>
  <si>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</si>
  <si>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</si>
  <si>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</si>
  <si>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</si>
  <si>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</si>
  <si>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</si>
  <si>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</si>
  <si>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</si>
  <si>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</si>
  <si>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</si>
  <si>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</si>
  <si>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</si>
  <si>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</si>
  <si>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</si>
  <si>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</si>
  <si>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</si>
  <si>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</si>
  <si>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</si>
  <si>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</si>
  <si>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</si>
  <si>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</si>
  <si>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</si>
  <si>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</si>
  <si>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</si>
  <si>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</si>
  <si>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</si>
  <si>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</si>
  <si>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</si>
  <si>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</si>
  <si>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</si>
  <si>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</si>
  <si>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</si>
  <si>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</si>
  <si>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</si>
  <si>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</si>
  <si>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</si>
  <si>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</si>
  <si>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</si>
  <si>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</si>
  <si>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</si>
  <si>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</si>
  <si>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</si>
  <si>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</si>
  <si>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</si>
  <si>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</si>
  <si>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</si>
  <si>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</si>
  <si>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</si>
  <si>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</si>
  <si>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</si>
  <si>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</si>
  <si>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</si>
  <si>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</si>
  <si>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</si>
  <si>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</si>
  <si>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</si>
  <si>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</si>
  <si>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</si>
  <si>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</si>
  <si>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</si>
  <si>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</si>
  <si>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</si>
  <si>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</si>
  <si>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</si>
  <si>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</si>
  <si>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</si>
  <si>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</si>
  <si>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</si>
  <si>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</si>
  <si>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</si>
  <si>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</si>
  <si>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</si>
  <si>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</si>
  <si>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</si>
  <si>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</si>
  <si>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</si>
  <si>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</si>
  <si>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</si>
  <si>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</si>
  <si>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</si>
  <si>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</si>
  <si>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</si>
  <si>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</si>
  <si>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</si>
  <si>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</si>
  <si>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</si>
  <si>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</si>
  <si>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</si>
  <si>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</si>
  <si>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</si>
  <si>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</si>
  <si>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</si>
  <si>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</si>
  <si>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</si>
  <si>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</si>
  <si>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</si>
  <si>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</si>
  <si>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</si>
  <si>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</si>
  <si>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</si>
  <si>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</si>
  <si>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</si>
  <si>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</si>
  <si>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</si>
  <si>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</si>
  <si>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</si>
  <si>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</si>
  <si>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</si>
  <si>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</si>
  <si>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</si>
  <si>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</si>
  <si>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</si>
  <si>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</si>
  <si>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</si>
  <si>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</si>
  <si>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</si>
  <si>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</si>
  <si>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</si>
  <si>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</si>
  <si>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</si>
  <si>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</si>
  <si>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</si>
  <si>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</si>
  <si>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</si>
  <si>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</si>
  <si>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</si>
  <si>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</si>
  <si>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</si>
  <si>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</si>
  <si>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</si>
  <si>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</si>
  <si>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</si>
  <si>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</si>
  <si>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</si>
  <si>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</si>
  <si>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</si>
  <si>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</si>
  <si>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</si>
  <si>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</si>
  <si>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</si>
  <si>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</si>
  <si>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</si>
  <si>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</si>
  <si>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</si>
  <si>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</si>
  <si>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</si>
  <si>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</si>
  <si>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</si>
  <si>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</si>
  <si>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</si>
  <si>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</si>
  <si>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</si>
  <si>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</si>
  <si>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</si>
  <si>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</si>
  <si>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</si>
  <si>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</si>
  <si>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</si>
  <si>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</si>
  <si>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</si>
  <si>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</si>
  <si>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</si>
  <si>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</si>
  <si>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</si>
  <si>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</si>
  <si>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</si>
  <si>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</si>
  <si>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</si>
  <si>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</si>
  <si>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</si>
  <si>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</si>
  <si>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</si>
  <si>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</si>
  <si>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</si>
  <si>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</si>
  <si>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</si>
  <si>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</si>
  <si>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</si>
  <si>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</si>
  <si>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</si>
  <si>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</si>
  <si>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</si>
  <si>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</si>
  <si>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</si>
  <si>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</si>
  <si>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</si>
  <si>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</si>
  <si>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</si>
  <si>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</si>
  <si>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</si>
  <si>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</si>
  <si>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</si>
  <si>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</si>
  <si>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</si>
  <si>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</si>
  <si>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</si>
  <si>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</si>
  <si>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</si>
  <si>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</si>
  <si>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</si>
  <si>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</si>
  <si>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</si>
  <si>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</si>
  <si>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</si>
  <si>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</si>
  <si>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</si>
  <si>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</si>
  <si>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</si>
  <si>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</si>
  <si>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</si>
  <si>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</si>
  <si>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</si>
  <si>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</si>
  <si>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</si>
  <si>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</si>
  <si>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</si>
  <si>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</si>
  <si>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</si>
  <si>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</si>
  <si>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</si>
  <si>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</si>
  <si>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</si>
  <si>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</si>
  <si>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</si>
  <si>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</si>
  <si>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</si>
  <si>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</si>
  <si>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</si>
  <si>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</si>
  <si>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</si>
  <si>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</si>
  <si>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</si>
  <si>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</si>
  <si>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</si>
  <si>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</si>
  <si>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</si>
  <si>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</si>
  <si>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</si>
  <si>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</si>
  <si>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</si>
  <si>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</si>
  <si>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</si>
  <si>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</si>
  <si>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</si>
  <si>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</si>
  <si>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</si>
  <si>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</si>
  <si>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</si>
  <si>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</si>
  <si>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</si>
  <si>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</si>
  <si>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</si>
  <si>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</si>
  <si>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</si>
  <si>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</si>
  <si>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</si>
  <si>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</si>
  <si>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</si>
  <si>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</si>
  <si>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</si>
  <si>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</si>
  <si>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</si>
  <si>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</si>
  <si>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</si>
  <si>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</si>
  <si>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</si>
  <si>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</si>
  <si>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</si>
  <si>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</si>
  <si>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</si>
  <si>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</si>
  <si>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</si>
  <si>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</si>
  <si>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</si>
  <si>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</si>
  <si>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</si>
  <si>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</si>
  <si>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</si>
  <si>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</si>
  <si>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</si>
  <si>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</si>
  <si>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</si>
  <si>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</si>
  <si>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</si>
  <si>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</si>
  <si>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</si>
  <si>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</si>
  <si>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</si>
  <si>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</si>
  <si>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</si>
  <si>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</si>
  <si>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</si>
  <si>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</si>
  <si>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</si>
  <si>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</si>
  <si>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</si>
  <si>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</si>
  <si>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</si>
  <si>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</si>
  <si>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</si>
  <si>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</si>
  <si>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</si>
  <si>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</si>
  <si>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</si>
  <si>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</si>
  <si>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</si>
  <si>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</si>
  <si>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</si>
  <si>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</si>
  <si>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</si>
  <si>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</si>
  <si>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</si>
  <si>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</si>
  <si>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</si>
  <si>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</si>
  <si>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</si>
  <si>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</si>
  <si>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</si>
  <si>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</si>
  <si>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</si>
  <si>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</si>
  <si>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</si>
  <si>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</si>
  <si>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</si>
  <si>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</si>
  <si>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</si>
  <si>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</si>
  <si>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</si>
  <si>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</si>
  <si>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</si>
  <si>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</si>
  <si>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</si>
  <si>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</si>
  <si>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</si>
  <si>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</si>
  <si>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</si>
  <si>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</si>
  <si>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</si>
  <si>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</si>
  <si>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</si>
  <si>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</si>
  <si>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</si>
  <si>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</si>
  <si>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</si>
  <si>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</si>
  <si>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</si>
  <si>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</si>
  <si>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</si>
  <si>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</si>
  <si>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</si>
  <si>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</si>
  <si>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</si>
  <si>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</si>
  <si>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</si>
  <si>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</si>
  <si>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</si>
  <si>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</si>
  <si>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</si>
  <si>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</si>
  <si>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</si>
  <si>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</si>
  <si>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</si>
  <si>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</si>
  <si>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</si>
  <si>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</si>
  <si>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</si>
  <si>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</si>
  <si>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</si>
  <si>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</si>
  <si>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</si>
  <si>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</si>
  <si>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</si>
  <si>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</si>
  <si>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</si>
  <si>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</si>
  <si>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</si>
  <si>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</si>
  <si>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</si>
  <si>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</si>
  <si>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</si>
  <si>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</si>
  <si>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</si>
  <si>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</si>
  <si>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</si>
  <si>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</si>
  <si>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</si>
  <si>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</si>
  <si>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</si>
  <si>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</si>
  <si>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</si>
  <si>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</si>
  <si>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</si>
  <si>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</si>
  <si>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</si>
  <si>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</si>
  <si>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</si>
  <si>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</si>
  <si>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</si>
  <si>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</si>
  <si>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</si>
  <si>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</si>
  <si>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</si>
  <si>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</si>
  <si>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</si>
  <si>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</si>
  <si>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</si>
  <si>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</si>
  <si>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</si>
  <si>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</si>
  <si>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</si>
  <si>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</si>
  <si>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</si>
  <si>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</si>
  <si>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</si>
  <si>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</si>
  <si>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</si>
  <si>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</si>
  <si>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</si>
  <si>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</si>
  <si>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</si>
  <si>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</si>
  <si>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</si>
  <si>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</si>
  <si>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</si>
  <si>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</si>
  <si>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</si>
  <si>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</si>
  <si>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</si>
  <si>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</si>
  <si>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</si>
  <si>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</si>
  <si>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</si>
  <si>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</si>
  <si>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</si>
  <si>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</si>
  <si>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</si>
  <si>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</si>
  <si>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</si>
  <si>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</si>
  <si>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</si>
  <si>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</si>
  <si>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</si>
  <si>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</si>
  <si>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</si>
  <si>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</si>
  <si>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</si>
  <si>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</si>
  <si>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</si>
  <si>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</si>
  <si>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</si>
  <si>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</si>
  <si>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</si>
  <si>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</si>
  <si>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</si>
  <si>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</si>
  <si>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</si>
  <si>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</si>
  <si>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</si>
  <si>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</si>
  <si>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</si>
  <si>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</si>
  <si>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</si>
  <si>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</si>
  <si>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</si>
  <si>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</si>
  <si>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</si>
  <si>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</si>
  <si>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</si>
  <si>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</si>
  <si>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</si>
  <si>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</si>
  <si>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</si>
  <si>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</si>
  <si>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</si>
  <si>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</si>
  <si>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</si>
  <si>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</si>
  <si>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</si>
  <si>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</si>
  <si>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</si>
  <si>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</si>
  <si>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</si>
  <si>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</si>
  <si>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</si>
  <si>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</si>
  <si>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</si>
  <si>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</si>
  <si>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</si>
  <si>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</si>
  <si>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</si>
  <si>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</si>
  <si>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</si>
  <si>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</si>
  <si>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</si>
  <si>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</si>
  <si>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</si>
  <si>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</si>
  <si>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</si>
  <si>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</si>
  <si>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</si>
  <si>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</si>
  <si>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</si>
  <si>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</si>
  <si>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</si>
  <si>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</si>
  <si>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</si>
  <si>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</si>
  <si>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</si>
  <si>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</si>
  <si>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</si>
  <si>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</si>
  <si>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</si>
  <si>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</si>
  <si>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</si>
  <si>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</si>
  <si>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</si>
  <si>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</si>
  <si>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</si>
  <si>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</si>
  <si>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</si>
  <si>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</si>
  <si>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</si>
  <si>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</si>
  <si>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</si>
  <si>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</si>
  <si>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</si>
  <si>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</si>
  <si>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</si>
  <si>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</si>
  <si>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</si>
  <si>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</si>
  <si>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</si>
  <si>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</si>
  <si>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</si>
  <si>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</si>
  <si>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</si>
  <si>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</si>
  <si>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</si>
  <si>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</si>
  <si>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</si>
  <si>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</si>
  <si>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</si>
  <si>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</si>
  <si>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</si>
  <si>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</si>
  <si>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</si>
  <si>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</si>
  <si>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</si>
  <si>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</si>
  <si>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</si>
  <si>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</si>
  <si>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</si>
  <si>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</si>
  <si>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</si>
  <si>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</si>
  <si>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</si>
  <si>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</si>
  <si>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</si>
  <si>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</si>
  <si>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</si>
  <si>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</si>
  <si>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</si>
  <si>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</si>
  <si>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</si>
  <si>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</si>
  <si>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</si>
  <si>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</si>
  <si>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</si>
  <si>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</si>
  <si>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</si>
  <si>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</si>
  <si>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</si>
  <si>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</si>
  <si>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</si>
  <si>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</si>
  <si>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</si>
  <si>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</si>
  <si>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</si>
  <si>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</si>
  <si>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</si>
  <si>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</si>
  <si>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</si>
  <si>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</si>
  <si>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</si>
  <si>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</si>
  <si>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</si>
  <si>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</si>
  <si>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</si>
  <si>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</si>
  <si>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</si>
  <si>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</si>
  <si>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</si>
  <si>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</si>
  <si>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</si>
  <si>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</si>
  <si>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</si>
  <si>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</si>
  <si>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</si>
  <si>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</si>
  <si>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</si>
  <si>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</si>
  <si>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</si>
  <si>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</si>
  <si>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</si>
  <si>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</si>
  <si>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</si>
  <si>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</si>
  <si>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</si>
  <si>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</si>
  <si>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</si>
  <si>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</si>
  <si>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</si>
  <si>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</si>
  <si>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</si>
  <si>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</si>
  <si>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</si>
  <si>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</si>
  <si>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</si>
  <si>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</si>
  <si>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</si>
  <si>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</si>
  <si>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</si>
  <si>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</si>
  <si>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</si>
  <si>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</si>
  <si>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</si>
  <si>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</si>
  <si>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</si>
  <si>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</si>
  <si>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</si>
  <si>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</si>
  <si>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</si>
  <si>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</si>
  <si>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</si>
  <si>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</si>
  <si>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</si>
  <si>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</si>
  <si>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</si>
  <si>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</si>
  <si>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</si>
  <si>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</si>
  <si>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</si>
  <si>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</si>
  <si>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</si>
  <si>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</si>
  <si>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</si>
  <si>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</si>
  <si>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</si>
  <si>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</si>
  <si>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</si>
  <si>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</si>
  <si>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</si>
  <si>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</si>
  <si>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</si>
  <si>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</si>
  <si>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</si>
  <si>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</si>
  <si>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</si>
  <si>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</si>
  <si>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</si>
  <si>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</si>
  <si>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</si>
  <si>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</si>
  <si>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</si>
  <si>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</si>
  <si>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</si>
  <si>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</si>
  <si>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</si>
  <si>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</si>
  <si>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</si>
  <si>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</si>
  <si>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</si>
  <si>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</si>
  <si>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</si>
  <si>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</si>
  <si>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</si>
  <si>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</si>
  <si>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</si>
  <si>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</si>
  <si>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</si>
  <si>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</si>
  <si>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</si>
  <si>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</si>
  <si>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</si>
  <si>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</si>
  <si>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</si>
  <si>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</si>
  <si>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</si>
  <si>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</si>
  <si>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</si>
  <si>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</si>
  <si>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</si>
  <si>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</si>
  <si>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</si>
  <si>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</si>
  <si>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</si>
  <si>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</si>
  <si>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</si>
  <si>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</si>
  <si>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</si>
  <si>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</si>
  <si>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</si>
  <si>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</si>
  <si>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</si>
  <si>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</si>
  <si>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</si>
  <si>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</si>
  <si>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</si>
  <si>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</si>
  <si>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</si>
  <si>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</si>
  <si>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</si>
  <si>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</si>
  <si>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</si>
  <si>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</si>
  <si>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</si>
  <si>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</si>
  <si>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</si>
  <si>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</si>
  <si>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</si>
  <si>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</si>
  <si>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</si>
  <si>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</si>
  <si>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</si>
  <si>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</si>
  <si>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</si>
  <si>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</si>
  <si>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</si>
  <si>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</si>
  <si>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</si>
  <si>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</si>
  <si>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</si>
  <si>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</si>
  <si>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</si>
  <si>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</si>
  <si>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</si>
  <si>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</si>
  <si>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</si>
  <si>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</si>
  <si>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</si>
  <si>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</si>
  <si>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</si>
  <si>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</si>
  <si>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</si>
  <si>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</si>
  <si>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</si>
  <si>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</si>
  <si>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</si>
  <si>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</si>
  <si>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</si>
  <si>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</si>
  <si>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</si>
  <si>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</si>
  <si>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</si>
  <si>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</si>
  <si>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</si>
  <si>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</si>
  <si>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</si>
  <si>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</si>
  <si>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</si>
  <si>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</si>
  <si>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</si>
  <si>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</si>
  <si>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</si>
  <si>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</si>
  <si>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</si>
  <si>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</si>
  <si>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</si>
  <si>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</si>
  <si>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</si>
  <si>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</si>
  <si>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</si>
  <si>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</si>
  <si>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</si>
  <si>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</si>
  <si>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</si>
  <si>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</si>
  <si>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</si>
  <si>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</si>
  <si>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</si>
  <si>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</si>
  <si>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</si>
  <si>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</si>
  <si>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</si>
  <si>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</si>
  <si>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</si>
  <si>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</si>
  <si>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</si>
  <si>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</si>
  <si>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</si>
  <si>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</si>
  <si>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</si>
  <si>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</si>
  <si>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</si>
  <si>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</si>
  <si>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</si>
  <si>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</si>
  <si>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</si>
  <si>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</si>
  <si>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</si>
  <si>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</si>
  <si>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</si>
  <si>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</si>
  <si>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</si>
  <si>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</si>
  <si>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</si>
  <si>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</si>
  <si>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</si>
  <si>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</si>
  <si>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</si>
  <si>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</si>
  <si>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</si>
  <si>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</si>
  <si>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</si>
  <si>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</si>
  <si>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</si>
  <si>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</si>
  <si>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</si>
  <si>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</si>
  <si>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</si>
  <si>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</si>
  <si>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</si>
  <si>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</si>
  <si>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</si>
  <si>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</si>
  <si>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</si>
  <si>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</si>
  <si>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</si>
  <si>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</si>
  <si>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</si>
  <si>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</si>
  <si>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</si>
  <si>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</si>
  <si>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</si>
  <si>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</si>
  <si>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</si>
  <si>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</si>
  <si>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</si>
  <si>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</si>
  <si>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</si>
  <si>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</si>
  <si>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</si>
  <si>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</si>
  <si>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</si>
  <si>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</si>
  <si>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</si>
  <si>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</si>
  <si>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</si>
  <si>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</si>
  <si>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</si>
  <si>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</si>
  <si>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</si>
  <si>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</si>
  <si>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</si>
  <si>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</si>
  <si>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</si>
  <si>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</si>
  <si>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</si>
  <si>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</si>
  <si>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</si>
  <si>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</si>
  <si>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</si>
  <si>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</si>
  <si>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</si>
  <si>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</si>
  <si>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</si>
  <si>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</si>
  <si>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</si>
  <si>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</si>
  <si>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</si>
  <si>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</si>
  <si>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</si>
  <si>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</si>
  <si>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</si>
  <si>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</si>
  <si>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</si>
  <si>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</si>
  <si>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</si>
  <si>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</si>
  <si>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</si>
  <si>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</si>
  <si>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</si>
  <si>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</si>
  <si>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</si>
  <si>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</si>
  <si>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</si>
  <si>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</si>
  <si>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</si>
  <si>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</si>
  <si>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</si>
  <si>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</si>
  <si>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</si>
  <si>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</si>
  <si>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</si>
  <si>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</si>
  <si>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</si>
  <si>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</si>
  <si>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</si>
  <si>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</si>
  <si>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</si>
  <si>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</si>
  <si>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</si>
  <si>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</si>
  <si>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</si>
  <si>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</si>
  <si>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</si>
  <si>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</si>
  <si>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</si>
  <si>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</si>
  <si>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</si>
  <si>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</si>
  <si>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</si>
  <si>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</si>
  <si>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</si>
  <si>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</si>
  <si>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</si>
  <si>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</si>
  <si>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</si>
  <si>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</si>
  <si>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</si>
  <si>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</si>
  <si>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</si>
  <si>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</si>
  <si>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</si>
  <si>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</si>
  <si>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</si>
  <si>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</si>
  <si>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</si>
  <si>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</si>
  <si>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</si>
  <si>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</si>
  <si>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</si>
  <si>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</si>
  <si>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</si>
  <si>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</si>
  <si>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</si>
  <si>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</si>
  <si>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</si>
  <si>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</si>
  <si>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</si>
  <si>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</si>
  <si>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</si>
  <si>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</si>
  <si>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</si>
  <si>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</si>
  <si>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</si>
  <si>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</si>
  <si>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</si>
  <si>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</si>
  <si>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</si>
  <si>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</si>
  <si>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</si>
  <si>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</si>
  <si>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</si>
  <si>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</si>
  <si>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</si>
  <si>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</si>
  <si>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</si>
  <si>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</si>
  <si>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</si>
  <si>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</si>
  <si>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</si>
  <si>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</si>
  <si>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</si>
  <si>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</si>
  <si>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</si>
  <si>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</si>
  <si>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</si>
  <si>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</si>
  <si>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</si>
  <si>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</si>
  <si>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</si>
  <si>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</si>
  <si>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</si>
  <si>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</si>
  <si>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</si>
  <si>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</si>
  <si>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</si>
  <si>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</si>
  <si>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[0.369648]</t>
  </si>
  <si>
    <t>0 [0.789065]</t>
  </si>
  <si>
    <t>0 [1.186807]</t>
  </si>
  <si>
    <t>0 [1.586442]</t>
  </si>
  <si>
    <t>0 [2.006870]</t>
  </si>
  <si>
    <t>0 [2.411293]</t>
  </si>
  <si>
    <t>0 [2.815203]</t>
  </si>
  <si>
    <t>0 [3.231624]</t>
  </si>
  <si>
    <t>0 [3.619615]</t>
  </si>
  <si>
    <t>0 [4.052417]</t>
  </si>
  <si>
    <t>0 [4.431819]</t>
  </si>
  <si>
    <t>0 [4.840320]</t>
  </si>
  <si>
    <t>0 [5.265138]</t>
  </si>
  <si>
    <t>0 [5.652024]</t>
  </si>
  <si>
    <t>0 [6.061156]</t>
  </si>
  <si>
    <t>0 [6.477302]</t>
  </si>
  <si>
    <t>0 [6.871627]</t>
  </si>
  <si>
    <t>0 [7.296397]</t>
  </si>
  <si>
    <t>0 [7.690983]</t>
  </si>
  <si>
    <t>0 [8.108513]</t>
  </si>
  <si>
    <t>0 [8.497625]</t>
  </si>
  <si>
    <t>0 [8.915541]</t>
  </si>
  <si>
    <t>0 [9.305424]</t>
  </si>
  <si>
    <t>0 [9.733861]</t>
  </si>
  <si>
    <t>vision^nFQ6^1^1^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</si>
</sst>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57.10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57.10347999999999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numCache>
            </c:numRef>
          </c:xVal>
          <c:yVal>
            <c:numRef>
              <c:f>[0]!FT_PH</c:f>
              <c:numCache>
                <c:formatCode>0.00</c:formatCode>
                <c:ptCount val="25"/>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3.3776000000000002</c:v>
                </c:pt>
                <c:pt idx="1">
                  <c:v>2.3915000000000002</c:v>
                </c:pt>
              </c:numCache>
            </c:numRef>
          </c:xVal>
          <c:yVal>
            <c:numRef>
              <c:f>info!$W$2:$W$3</c:f>
              <c:numCache>
                <c:formatCode>0.00</c:formatCode>
                <c:ptCount val="2"/>
                <c:pt idx="0">
                  <c:v>41.414999999999999</c:v>
                </c:pt>
                <c:pt idx="1">
                  <c:v>54.385399999999997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3.3776000000000002</c:v>
                </c:pt>
                <c:pt idx="1">
                  <c:v>2.3693499999999998</c:v>
                </c:pt>
              </c:numCache>
            </c:numRef>
          </c:xVal>
          <c:yVal>
            <c:numRef>
              <c:f>info!$W$15:$W$16</c:f>
              <c:numCache>
                <c:formatCode>0.00_ </c:formatCode>
                <c:ptCount val="2"/>
                <c:pt idx="0">
                  <c:v>41.414999999999999</c:v>
                </c:pt>
                <c:pt idx="1">
                  <c:v>54.649099999999997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2.7681647999999996</c:v>
                </c:pt>
              </c:numCache>
            </c:numRef>
          </c:xVal>
          <c:yVal>
            <c:numRef>
              <c:f>info!$N$9</c:f>
              <c:numCache>
                <c:formatCode>0.0</c:formatCode>
                <c:ptCount val="1"/>
                <c:pt idx="0">
                  <c:v>48.966043999999989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34.831800000000001</c:v>
                </c:pt>
                <c:pt idx="1">
                  <c:v>25.743400000000001</c:v>
                </c:pt>
                <c:pt idx="2">
                  <c:v>35.123800000000003</c:v>
                </c:pt>
                <c:pt idx="3">
                  <c:v>32.863900000000001</c:v>
                </c:pt>
                <c:pt idx="4">
                  <c:v>73.835300000000004</c:v>
                </c:pt>
                <c:pt idx="5">
                  <c:v>80.698899999999995</c:v>
                </c:pt>
                <c:pt idx="6">
                  <c:v>17.912099999999999</c:v>
                </c:pt>
                <c:pt idx="7">
                  <c:v>76.976200000000006</c:v>
                </c:pt>
                <c:pt idx="8">
                  <c:v>19.178100000000001</c:v>
                </c:pt>
                <c:pt idx="9">
                  <c:v>23.195399999999999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57.10347999999999</c:v>
                </c:pt>
                <c:pt idx="1">
                  <c:v>57.10347999999999</c:v>
                </c:pt>
                <c:pt idx="2">
                  <c:v>0</c:v>
                </c:pt>
              </c:numCache>
            </c:numRef>
          </c:xVal>
          <c:yVal>
            <c:numRef>
              <c:f>'R2'!$I$5:$I$7</c:f>
              <c:numCache>
                <c:formatCode>0.0_ </c:formatCode>
                <c:ptCount val="3"/>
                <c:pt idx="0">
                  <c:v>0</c:v>
                </c:pt>
                <c:pt idx="1">
                  <c:v>62.550695649754282</c:v>
                </c:pt>
                <c:pt idx="2">
                  <c:v>62.550695649754282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44.104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44.104000000000006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1.3231200000000001</c:v>
                </c:pt>
                <c:pt idx="1">
                  <c:v>1.3231200000000001</c:v>
                </c:pt>
                <c:pt idx="2">
                  <c:v>0</c:v>
                </c:pt>
              </c:numCache>
            </c:numRef>
          </c:xVal>
          <c:yVal>
            <c:numRef>
              <c:f>'R3'!$I$6:$I$8</c:f>
              <c:numCache>
                <c:formatCode>0.0_ </c:formatCode>
                <c:ptCount val="3"/>
                <c:pt idx="0">
                  <c:v>0</c:v>
                </c:pt>
                <c:pt idx="1">
                  <c:v>20.920271389783579</c:v>
                </c:pt>
                <c:pt idx="2">
                  <c:v>20.920271389783579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1.8316833353379833</c:v>
                </c:pt>
                <c:pt idx="1">
                  <c:v>1.8316833353379833</c:v>
                </c:pt>
                <c:pt idx="2">
                  <c:v>-7</c:v>
                </c:pt>
              </c:numCache>
            </c:numRef>
          </c:xVal>
          <c:yVal>
            <c:numRef>
              <c:f>'R'!$I$5:$I$7</c:f>
              <c:numCache>
                <c:formatCode>0.0_ </c:formatCode>
                <c:ptCount val="3"/>
                <c:pt idx="0">
                  <c:v>0</c:v>
                </c:pt>
                <c:pt idx="1">
                  <c:v>89.125042784352829</c:v>
                </c:pt>
                <c:pt idx="2">
                  <c:v>89.125042784352829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1.8316833353379833</c:v>
                </c:pt>
              </c:numCache>
            </c:numRef>
          </c:xVal>
          <c:yVal>
            <c:numRef>
              <c:f>'R'!$I$4</c:f>
              <c:numCache>
                <c:formatCode>0.00_ </c:formatCode>
                <c:ptCount val="1"/>
                <c:pt idx="0">
                  <c:v>89.125042784352829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57.10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57.10347999999999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numCache>
            </c:numRef>
          </c:xVal>
          <c:yVal>
            <c:numRef>
              <c:f>[0]!FT_PH</c:f>
              <c:numCache>
                <c:formatCode>0.00</c:formatCode>
                <c:ptCount val="25"/>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3.3776000000000002</c:v>
                </c:pt>
                <c:pt idx="1">
                  <c:v>2.3915000000000002</c:v>
                </c:pt>
              </c:numCache>
            </c:numRef>
          </c:xVal>
          <c:yVal>
            <c:numRef>
              <c:f>info!$W$2:$W$3</c:f>
              <c:numCache>
                <c:formatCode>0.00</c:formatCode>
                <c:ptCount val="2"/>
                <c:pt idx="0">
                  <c:v>41.414999999999999</c:v>
                </c:pt>
                <c:pt idx="1">
                  <c:v>54.385399999999997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3.3776000000000002</c:v>
                </c:pt>
                <c:pt idx="1">
                  <c:v>2.3693499999999998</c:v>
                </c:pt>
              </c:numCache>
            </c:numRef>
          </c:xVal>
          <c:yVal>
            <c:numRef>
              <c:f>info!$W$15:$W$16</c:f>
              <c:numCache>
                <c:formatCode>0.00_ </c:formatCode>
                <c:ptCount val="2"/>
                <c:pt idx="0">
                  <c:v>41.414999999999999</c:v>
                </c:pt>
                <c:pt idx="1">
                  <c:v>54.649099999999997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2.7681647999999996</c:v>
                </c:pt>
              </c:numCache>
            </c:numRef>
          </c:xVal>
          <c:yVal>
            <c:numRef>
              <c:f>info!$N$9</c:f>
              <c:numCache>
                <c:formatCode>0.0</c:formatCode>
                <c:ptCount val="1"/>
                <c:pt idx="0">
                  <c:v>48.966043999999989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34.831800000000001</c:v>
                </c:pt>
                <c:pt idx="1">
                  <c:v>25.743400000000001</c:v>
                </c:pt>
                <c:pt idx="2">
                  <c:v>35.123800000000003</c:v>
                </c:pt>
                <c:pt idx="3">
                  <c:v>32.863900000000001</c:v>
                </c:pt>
                <c:pt idx="4">
                  <c:v>73.835300000000004</c:v>
                </c:pt>
                <c:pt idx="5">
                  <c:v>80.698899999999995</c:v>
                </c:pt>
                <c:pt idx="6">
                  <c:v>17.912099999999999</c:v>
                </c:pt>
                <c:pt idx="7">
                  <c:v>76.976200000000006</c:v>
                </c:pt>
                <c:pt idx="8">
                  <c:v>19.178100000000001</c:v>
                </c:pt>
                <c:pt idx="9">
                  <c:v>23.195399999999999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57.10347999999999</c:v>
                </c:pt>
                <c:pt idx="1">
                  <c:v>57.10347999999999</c:v>
                </c:pt>
                <c:pt idx="2">
                  <c:v>0</c:v>
                </c:pt>
              </c:numCache>
            </c:numRef>
          </c:xVal>
          <c:yVal>
            <c:numRef>
              <c:f>'R2'!$I$5:$I$7</c:f>
              <c:numCache>
                <c:formatCode>0.0_ </c:formatCode>
                <c:ptCount val="3"/>
                <c:pt idx="0">
                  <c:v>0</c:v>
                </c:pt>
                <c:pt idx="1">
                  <c:v>62.550695649754282</c:v>
                </c:pt>
                <c:pt idx="2">
                  <c:v>62.550695649754282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44.104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44.104000000000006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1.3231200000000001</c:v>
                </c:pt>
                <c:pt idx="1">
                  <c:v>1.3231200000000001</c:v>
                </c:pt>
                <c:pt idx="2">
                  <c:v>0</c:v>
                </c:pt>
              </c:numCache>
            </c:numRef>
          </c:xVal>
          <c:yVal>
            <c:numRef>
              <c:f>'R3'!$I$6:$I$8</c:f>
              <c:numCache>
                <c:formatCode>0.0_ </c:formatCode>
                <c:ptCount val="3"/>
                <c:pt idx="0">
                  <c:v>0</c:v>
                </c:pt>
                <c:pt idx="1">
                  <c:v>20.920271389783579</c:v>
                </c:pt>
                <c:pt idx="2">
                  <c:v>20.920271389783579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1.8316833353379833</c:v>
                </c:pt>
                <c:pt idx="1">
                  <c:v>1.8316833353379833</c:v>
                </c:pt>
                <c:pt idx="2">
                  <c:v>-7</c:v>
                </c:pt>
              </c:numCache>
            </c:numRef>
          </c:xVal>
          <c:yVal>
            <c:numRef>
              <c:f>'R'!$I$5:$I$7</c:f>
              <c:numCache>
                <c:formatCode>0.0_ </c:formatCode>
                <c:ptCount val="3"/>
                <c:pt idx="0">
                  <c:v>0</c:v>
                </c:pt>
                <c:pt idx="1">
                  <c:v>89.125042784352829</c:v>
                </c:pt>
                <c:pt idx="2">
                  <c:v>89.125042784352829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1.8316833353379833</c:v>
                </c:pt>
              </c:numCache>
            </c:numRef>
          </c:xVal>
          <c:yVal>
            <c:numRef>
              <c:f>'R'!$I$4</c:f>
              <c:numCache>
                <c:formatCode>0.00_ </c:formatCode>
                <c:ptCount val="1"/>
                <c:pt idx="0">
                  <c:v>89.125042784352829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FT!$J$2:$J$2000</c:f>
              <c:numCache>
                <c:formatCode>General</c:formatCode>
                <c:ptCount val="1999"/>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3.4266400000000004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3.4266400000000004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3.4266400000000004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3.4266400000000004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3.4266400000000004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3.4266400000000004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3.4266400000000004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3.4266400000000004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3.4266400000000004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3.4266400000000004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3.4266400000000004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3.4266400000000004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3.4266400000000004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3.4266400000000004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3.4266400000000004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3.4266400000000004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3.4266400000000004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3.4266400000000004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3.4266400000000004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3.4266400000000004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3.4266400000000004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3.4266400000000004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3.4266400000000004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3.4266400000000004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FT!$K$2:$K$2000</c:f>
              <c:numCache>
                <c:formatCode>General</c:formatCode>
                <c:ptCount val="1999"/>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41.719699999999996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41.719699999999996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41.719699999999996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41.719699999999996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41.719699999999996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41.719699999999996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41.719699999999996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41.719699999999996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41.719699999999996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41.719699999999996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41.719699999999996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41.719699999999996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41.719699999999996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41.719699999999996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41.719699999999996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41.719699999999996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41.719699999999996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41.719699999999996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41.719699999999996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41.719699999999996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41.719699999999996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41.719699999999996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41.719699999999996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41.719699999999996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FT!$L$2:$L$2000</c:f>
              <c:numCache>
                <c:formatCode>General</c:formatCode>
                <c:ptCount val="1999"/>
                <c:pt idx="0">
                  <c:v>12.175104475521207</c:v>
                </c:pt>
                <c:pt idx="1">
                  <c:v>12.261665087636191</c:v>
                </c:pt>
                <c:pt idx="2">
                  <c:v>12.538923058369514</c:v>
                </c:pt>
                <c:pt idx="3">
                  <c:v>12.951345927745257</c:v>
                </c:pt>
                <c:pt idx="4">
                  <c:v>13.387643345739864</c:v>
                </c:pt>
                <c:pt idx="5">
                  <c:v>13.960792383549137</c:v>
                </c:pt>
                <c:pt idx="6">
                  <c:v>14.578725056088848</c:v>
                </c:pt>
                <c:pt idx="7">
                  <c:v>15.205051985957741</c:v>
                </c:pt>
                <c:pt idx="8">
                  <c:v>15.911375952466097</c:v>
                </c:pt>
                <c:pt idx="9">
                  <c:v>16.62240168539326</c:v>
                </c:pt>
                <c:pt idx="10">
                  <c:v>17.327647069364062</c:v>
                </c:pt>
                <c:pt idx="11">
                  <c:v>17.999612731630325</c:v>
                </c:pt>
                <c:pt idx="12">
                  <c:v>18.639797270142743</c:v>
                </c:pt>
                <c:pt idx="13">
                  <c:v>19.236553074042806</c:v>
                </c:pt>
                <c:pt idx="14">
                  <c:v>19.832532384517044</c:v>
                </c:pt>
                <c:pt idx="15">
                  <c:v>20.429926386761373</c:v>
                </c:pt>
                <c:pt idx="16">
                  <c:v>21.007342635066255</c:v>
                </c:pt>
                <c:pt idx="17">
                  <c:v>21.525003939378024</c:v>
                </c:pt>
                <c:pt idx="18">
                  <c:v>21.934881478242747</c:v>
                </c:pt>
                <c:pt idx="19">
                  <c:v>22.230092798628629</c:v>
                </c:pt>
                <c:pt idx="20">
                  <c:v>22.504650699265852</c:v>
                </c:pt>
                <c:pt idx="21">
                  <c:v>22.74112481706042</c:v>
                </c:pt>
                <c:pt idx="22">
                  <c:v>22.929167630300867</c:v>
                </c:pt>
                <c:pt idx="23">
                  <c:v>23.065017831894824</c:v>
                </c:pt>
                <c:pt idx="24">
                  <c:v>23.139721150993768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1.0970505386856651E-2</c:v>
                </c:pt>
                <c:pt idx="16">
                  <c:v>8.6473617470258553E-3</c:v>
                </c:pt>
                <c:pt idx="17">
                  <c:v>5.9499065890985116E-2</c:v>
                </c:pt>
                <c:pt idx="18">
                  <c:v>0.11796586872138383</c:v>
                </c:pt>
                <c:pt idx="19">
                  <c:v>0.14945744238047762</c:v>
                </c:pt>
                <c:pt idx="20">
                  <c:v>0.17772270998093062</c:v>
                </c:pt>
                <c:pt idx="21">
                  <c:v>0.14197198640943981</c:v>
                </c:pt>
                <c:pt idx="22">
                  <c:v>0.13874471236218261</c:v>
                </c:pt>
                <c:pt idx="23">
                  <c:v>0.28174954262537871</c:v>
                </c:pt>
                <c:pt idx="24">
                  <c:v>0.101573949490354</c:v>
                </c:pt>
                <c:pt idx="25">
                  <c:v>0.16868847222356664</c:v>
                </c:pt>
                <c:pt idx="26">
                  <c:v>0.24444906927894525</c:v>
                </c:pt>
                <c:pt idx="27">
                  <c:v>0.17565799026203452</c:v>
                </c:pt>
                <c:pt idx="28">
                  <c:v>0.30033492406129303</c:v>
                </c:pt>
                <c:pt idx="29">
                  <c:v>0.52684426031149867</c:v>
                </c:pt>
                <c:pt idx="30">
                  <c:v>0.32924487208030434</c:v>
                </c:pt>
                <c:pt idx="31">
                  <c:v>0.61809267523013922</c:v>
                </c:pt>
                <c:pt idx="32">
                  <c:v>0.77490683109566638</c:v>
                </c:pt>
                <c:pt idx="33">
                  <c:v>0.52452108763200944</c:v>
                </c:pt>
                <c:pt idx="34">
                  <c:v>0.6928213964203781</c:v>
                </c:pt>
                <c:pt idx="35">
                  <c:v>0.68933663740114415</c:v>
                </c:pt>
                <c:pt idx="36">
                  <c:v>0.75399827698026267</c:v>
                </c:pt>
                <c:pt idx="37">
                  <c:v>0.75219201022195981</c:v>
                </c:pt>
                <c:pt idx="38">
                  <c:v>0.51277551375995811</c:v>
                </c:pt>
                <c:pt idx="39">
                  <c:v>0.58698829701762711</c:v>
                </c:pt>
                <c:pt idx="40">
                  <c:v>0.68081833757635013</c:v>
                </c:pt>
                <c:pt idx="41">
                  <c:v>0.42178458381329437</c:v>
                </c:pt>
                <c:pt idx="42">
                  <c:v>0.49509423369181182</c:v>
                </c:pt>
                <c:pt idx="43">
                  <c:v>0.53432971628253645</c:v>
                </c:pt>
                <c:pt idx="44">
                  <c:v>0.35079907460288268</c:v>
                </c:pt>
                <c:pt idx="45">
                  <c:v>0.44708199831569978</c:v>
                </c:pt>
                <c:pt idx="46">
                  <c:v>0.52723145575808028</c:v>
                </c:pt>
                <c:pt idx="47">
                  <c:v>0.31698432826429962</c:v>
                </c:pt>
                <c:pt idx="48">
                  <c:v>0.42914129729834372</c:v>
                </c:pt>
                <c:pt idx="49">
                  <c:v>0.45869786171314625</c:v>
                </c:pt>
                <c:pt idx="50">
                  <c:v>0.58479386682412615</c:v>
                </c:pt>
                <c:pt idx="51">
                  <c:v>0.28871906066384662</c:v>
                </c:pt>
                <c:pt idx="52">
                  <c:v>0.61551201757867324</c:v>
                </c:pt>
                <c:pt idx="53">
                  <c:v>0.63409739901458761</c:v>
                </c:pt>
                <c:pt idx="54">
                  <c:v>0.43094853204526312</c:v>
                </c:pt>
                <c:pt idx="55">
                  <c:v>0.56737007172795639</c:v>
                </c:pt>
                <c:pt idx="56">
                  <c:v>0.67655918766395307</c:v>
                </c:pt>
                <c:pt idx="57">
                  <c:v>0.4656673797516141</c:v>
                </c:pt>
                <c:pt idx="58">
                  <c:v>0.65694193036289894</c:v>
                </c:pt>
                <c:pt idx="59">
                  <c:v>0.82137028468545203</c:v>
                </c:pt>
                <c:pt idx="60">
                  <c:v>0.57782434878565825</c:v>
                </c:pt>
                <c:pt idx="61">
                  <c:v>0.84253729176144898</c:v>
                </c:pt>
                <c:pt idx="62">
                  <c:v>0.57150047915436508</c:v>
                </c:pt>
                <c:pt idx="63">
                  <c:v>0.76380787361940627</c:v>
                </c:pt>
                <c:pt idx="64">
                  <c:v>0.89971347536952961</c:v>
                </c:pt>
                <c:pt idx="65">
                  <c:v>0.61770547978355772</c:v>
                </c:pt>
                <c:pt idx="66">
                  <c:v>0.75619270717376363</c:v>
                </c:pt>
                <c:pt idx="67">
                  <c:v>0.90397262528192668</c:v>
                </c:pt>
                <c:pt idx="68">
                  <c:v>0.58879553176454646</c:v>
                </c:pt>
                <c:pt idx="69">
                  <c:v>0.78523236566737975</c:v>
                </c:pt>
                <c:pt idx="70">
                  <c:v>0.77981162941523796</c:v>
                </c:pt>
                <c:pt idx="71">
                  <c:v>0.87493296678831056</c:v>
                </c:pt>
                <c:pt idx="72">
                  <c:v>0.85828356258530392</c:v>
                </c:pt>
                <c:pt idx="73">
                  <c:v>1</c:v>
                </c:pt>
                <c:pt idx="74">
                  <c:v>0.65164993659674564</c:v>
                </c:pt>
                <c:pt idx="75">
                  <c:v>0.78858838220062533</c:v>
                </c:pt>
                <c:pt idx="76">
                  <c:v>0.97638107775852556</c:v>
                </c:pt>
                <c:pt idx="77">
                  <c:v>0.63680776714065834</c:v>
                </c:pt>
                <c:pt idx="78">
                  <c:v>0.78084447326899431</c:v>
                </c:pt>
                <c:pt idx="79">
                  <c:v>0.91816914633083901</c:v>
                </c:pt>
                <c:pt idx="80">
                  <c:v>0.59576504980301437</c:v>
                </c:pt>
                <c:pt idx="81">
                  <c:v>0.65694193036289894</c:v>
                </c:pt>
                <c:pt idx="82">
                  <c:v>0.80291461372414263</c:v>
                </c:pt>
                <c:pt idx="83">
                  <c:v>0.49496452321720696</c:v>
                </c:pt>
                <c:pt idx="84">
                  <c:v>0.61783519025816258</c:v>
                </c:pt>
                <c:pt idx="85">
                  <c:v>0.3088532238860871</c:v>
                </c:pt>
                <c:pt idx="86">
                  <c:v>0.93882021547426597</c:v>
                </c:pt>
                <c:pt idx="87">
                  <c:v>0.45753627537340164</c:v>
                </c:pt>
                <c:pt idx="88">
                  <c:v>0.54930159621322849</c:v>
                </c:pt>
                <c:pt idx="89">
                  <c:v>0.62299747354971102</c:v>
                </c:pt>
                <c:pt idx="90">
                  <c:v>0.37958028013590561</c:v>
                </c:pt>
                <c:pt idx="91">
                  <c:v>0.49496452321720696</c:v>
                </c:pt>
                <c:pt idx="92">
                  <c:v>0.5427192736213422</c:v>
                </c:pt>
                <c:pt idx="93">
                  <c:v>0.35105752756347586</c:v>
                </c:pt>
                <c:pt idx="94">
                  <c:v>0.40668396139661395</c:v>
                </c:pt>
                <c:pt idx="95">
                  <c:v>0.500902165390535</c:v>
                </c:pt>
                <c:pt idx="96">
                  <c:v>0.32821299621516453</c:v>
                </c:pt>
                <c:pt idx="97">
                  <c:v>0.40526489008489264</c:v>
                </c:pt>
                <c:pt idx="98">
                  <c:v>0.33040645842004901</c:v>
                </c:pt>
                <c:pt idx="99">
                  <c:v>0.39171304945453839</c:v>
                </c:pt>
                <c:pt idx="100">
                  <c:v>0.28910625611042817</c:v>
                </c:pt>
                <c:pt idx="101">
                  <c:v>0.35621981085502435</c:v>
                </c:pt>
                <c:pt idx="102">
                  <c:v>0.18456348553341012</c:v>
                </c:pt>
                <c:pt idx="103">
                  <c:v>0.3753211302235086</c:v>
                </c:pt>
                <c:pt idx="104">
                  <c:v>0.39519780847377234</c:v>
                </c:pt>
                <c:pt idx="105">
                  <c:v>0.27826478360614482</c:v>
                </c:pt>
                <c:pt idx="106">
                  <c:v>0.27865197905272632</c:v>
                </c:pt>
                <c:pt idx="107">
                  <c:v>0.27103681260708373</c:v>
                </c:pt>
                <c:pt idx="108">
                  <c:v>0.2756831579660623</c:v>
                </c:pt>
                <c:pt idx="109">
                  <c:v>0.31866185253661417</c:v>
                </c:pt>
                <c:pt idx="110">
                  <c:v>0.21373188651301461</c:v>
                </c:pt>
                <c:pt idx="111">
                  <c:v>0.23464044062841821</c:v>
                </c:pt>
                <c:pt idx="112">
                  <c:v>0.3224050645164413</c:v>
                </c:pt>
                <c:pt idx="113">
                  <c:v>0.16894595719554339</c:v>
                </c:pt>
                <c:pt idx="114">
                  <c:v>0.18224031285392084</c:v>
                </c:pt>
                <c:pt idx="115">
                  <c:v>0.25503305681125188</c:v>
                </c:pt>
                <c:pt idx="116">
                  <c:v>0.17836835838810536</c:v>
                </c:pt>
                <c:pt idx="117">
                  <c:v>0.20495513372762736</c:v>
                </c:pt>
                <c:pt idx="118">
                  <c:v>0.2181197789114</c:v>
                </c:pt>
                <c:pt idx="119">
                  <c:v>0.14919898941988444</c:v>
                </c:pt>
                <c:pt idx="120">
                  <c:v>0.16881721470955502</c:v>
                </c:pt>
                <c:pt idx="121">
                  <c:v>0.11357700833438199</c:v>
                </c:pt>
                <c:pt idx="122">
                  <c:v>0.18249779782589756</c:v>
                </c:pt>
                <c:pt idx="123">
                  <c:v>0.15616850745835228</c:v>
                </c:pt>
                <c:pt idx="124">
                  <c:v>4.8270397940120224E-2</c:v>
                </c:pt>
                <c:pt idx="125">
                  <c:v>0.15745980427270176</c:v>
                </c:pt>
                <c:pt idx="126">
                  <c:v>4.9302854598429924E-2</c:v>
                </c:pt>
                <c:pt idx="127">
                  <c:v>1.2261221408036241E-2</c:v>
                </c:pt>
                <c:pt idx="128">
                  <c:v>6.169310888903947E-2</c:v>
                </c:pt>
                <c:pt idx="129">
                  <c:v>2.4522346017210837E-3</c:v>
                </c:pt>
                <c:pt idx="130">
                  <c:v>3.2266254948841798E-2</c:v>
                </c:pt>
                <c:pt idx="131">
                  <c:v>3.3298808406013139E-2</c:v>
                </c:pt>
                <c:pt idx="132">
                  <c:v>0</c:v>
                </c:pt>
                <c:pt idx="133">
                  <c:v>2.2070140455148247E-2</c:v>
                </c:pt>
                <c:pt idx="134">
                  <c:v>0</c:v>
                </c:pt>
                <c:pt idx="135">
                  <c:v>1.4326231523517282E-2</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1.3759668607678658E-4</c:v>
                </c:pt>
                <c:pt idx="4">
                  <c:v>1.5929001225633186E-4</c:v>
                </c:pt>
                <c:pt idx="5">
                  <c:v>0</c:v>
                </c:pt>
                <c:pt idx="6">
                  <c:v>0.12584393765271024</c:v>
                </c:pt>
                <c:pt idx="7">
                  <c:v>0.11021060148996759</c:v>
                </c:pt>
                <c:pt idx="8">
                  <c:v>0</c:v>
                </c:pt>
                <c:pt idx="9">
                  <c:v>0.30067974622336607</c:v>
                </c:pt>
                <c:pt idx="10">
                  <c:v>0.34408900441638879</c:v>
                </c:pt>
                <c:pt idx="11">
                  <c:v>0</c:v>
                </c:pt>
                <c:pt idx="12">
                  <c:v>1</c:v>
                </c:pt>
                <c:pt idx="13">
                  <c:v>0.74989385856715551</c:v>
                </c:pt>
                <c:pt idx="14">
                  <c:v>0.22080859947677933</c:v>
                </c:pt>
                <c:pt idx="15">
                  <c:v>0.57240532813416201</c:v>
                </c:pt>
                <c:pt idx="16">
                  <c:v>0.57241213777556177</c:v>
                </c:pt>
                <c:pt idx="17">
                  <c:v>0.27717427773128728</c:v>
                </c:pt>
                <c:pt idx="18">
                  <c:v>0.25880447166916776</c:v>
                </c:pt>
                <c:pt idx="19">
                  <c:v>0.1726404646007888</c:v>
                </c:pt>
                <c:pt idx="20">
                  <c:v>0.21029795307265023</c:v>
                </c:pt>
                <c:pt idx="21">
                  <c:v>0.10788262314694221</c:v>
                </c:pt>
                <c:pt idx="22">
                  <c:v>0.10791918109890107</c:v>
                </c:pt>
                <c:pt idx="23">
                  <c:v>0.1748791901096246</c:v>
                </c:pt>
                <c:pt idx="24">
                  <c:v>6.6889340561374036E-2</c:v>
                </c:pt>
                <c:pt idx="25">
                  <c:v>6.1974294428831053E-2</c:v>
                </c:pt>
                <c:pt idx="26">
                  <c:v>8.541717362833072E-2</c:v>
                </c:pt>
                <c:pt idx="27">
                  <c:v>5.1971262188346995E-2</c:v>
                </c:pt>
                <c:pt idx="28">
                  <c:v>5.5329361375661919E-2</c:v>
                </c:pt>
                <c:pt idx="29">
                  <c:v>5.6992300535706676E-2</c:v>
                </c:pt>
                <c:pt idx="30">
                  <c:v>4.8717903829771335E-2</c:v>
                </c:pt>
                <c:pt idx="31">
                  <c:v>2.8609574330706013E-2</c:v>
                </c:pt>
                <c:pt idx="32">
                  <c:v>4.2882442318864893E-2</c:v>
                </c:pt>
                <c:pt idx="33">
                  <c:v>2.8599037492586746E-2</c:v>
                </c:pt>
                <c:pt idx="34">
                  <c:v>3.2588720344311539E-2</c:v>
                </c:pt>
                <c:pt idx="35">
                  <c:v>2.1728498867569977E-2</c:v>
                </c:pt>
                <c:pt idx="36">
                  <c:v>3.2684793046681634E-2</c:v>
                </c:pt>
                <c:pt idx="37">
                  <c:v>2.333937116269107E-2</c:v>
                </c:pt>
                <c:pt idx="38">
                  <c:v>1.8875538962965389E-2</c:v>
                </c:pt>
                <c:pt idx="39">
                  <c:v>2.2844148603305317E-2</c:v>
                </c:pt>
                <c:pt idx="40">
                  <c:v>2.636340093638264E-2</c:v>
                </c:pt>
                <c:pt idx="41">
                  <c:v>1.6895261402558349E-2</c:v>
                </c:pt>
                <c:pt idx="42">
                  <c:v>2.4486012227696859E-2</c:v>
                </c:pt>
                <c:pt idx="43">
                  <c:v>1.9157550343884801E-2</c:v>
                </c:pt>
                <c:pt idx="44">
                  <c:v>1.5057539122317228E-2</c:v>
                </c:pt>
                <c:pt idx="45">
                  <c:v>1.8051816866620374E-2</c:v>
                </c:pt>
                <c:pt idx="46">
                  <c:v>2.1595861705289654E-2</c:v>
                </c:pt>
                <c:pt idx="47">
                  <c:v>1.3614634262895019E-2</c:v>
                </c:pt>
                <c:pt idx="48">
                  <c:v>1.9508978323222612E-2</c:v>
                </c:pt>
                <c:pt idx="49">
                  <c:v>1.2714677094512097E-2</c:v>
                </c:pt>
                <c:pt idx="50">
                  <c:v>1.8748478650154197E-2</c:v>
                </c:pt>
                <c:pt idx="51">
                  <c:v>8.9772540591719682E-3</c:v>
                </c:pt>
                <c:pt idx="52">
                  <c:v>1.7970624130200681E-2</c:v>
                </c:pt>
                <c:pt idx="53">
                  <c:v>1.7092359358289965E-2</c:v>
                </c:pt>
                <c:pt idx="54">
                  <c:v>1.3237792733463228E-2</c:v>
                </c:pt>
                <c:pt idx="55">
                  <c:v>1.107653369403499E-2</c:v>
                </c:pt>
                <c:pt idx="56">
                  <c:v>1.5404631411482614E-2</c:v>
                </c:pt>
                <c:pt idx="57">
                  <c:v>9.4445867929680294E-3</c:v>
                </c:pt>
                <c:pt idx="58">
                  <c:v>1.1796127173923048E-2</c:v>
                </c:pt>
                <c:pt idx="59">
                  <c:v>1.3558852287447288E-2</c:v>
                </c:pt>
                <c:pt idx="60">
                  <c:v>1.0844726509386837E-2</c:v>
                </c:pt>
                <c:pt idx="61">
                  <c:v>9.5474751798356166E-3</c:v>
                </c:pt>
                <c:pt idx="62">
                  <c:v>7.782270071986311E-3</c:v>
                </c:pt>
                <c:pt idx="63">
                  <c:v>9.9336128529436355E-3</c:v>
                </c:pt>
                <c:pt idx="64">
                  <c:v>9.8065534698397842E-3</c:v>
                </c:pt>
                <c:pt idx="65">
                  <c:v>6.5934844436254759E-3</c:v>
                </c:pt>
                <c:pt idx="66">
                  <c:v>9.2065821792023904E-3</c:v>
                </c:pt>
                <c:pt idx="67">
                  <c:v>7.0732134302175153E-3</c:v>
                </c:pt>
                <c:pt idx="68">
                  <c:v>6.1125161571514066E-3</c:v>
                </c:pt>
                <c:pt idx="69">
                  <c:v>5.2677217791288703E-3</c:v>
                </c:pt>
                <c:pt idx="70">
                  <c:v>5.2565657559222601E-3</c:v>
                </c:pt>
                <c:pt idx="71">
                  <c:v>4.7954304512436846E-3</c:v>
                </c:pt>
                <c:pt idx="72">
                  <c:v>6.4490702136365203E-3</c:v>
                </c:pt>
                <c:pt idx="73">
                  <c:v>3.5713159440252966E-3</c:v>
                </c:pt>
                <c:pt idx="74">
                  <c:v>3.0692739813126969E-3</c:v>
                </c:pt>
                <c:pt idx="75">
                  <c:v>3.4392970371249811E-3</c:v>
                </c:pt>
                <c:pt idx="76">
                  <c:v>4.0572428245884912E-3</c:v>
                </c:pt>
                <c:pt idx="77">
                  <c:v>2.295137825858936E-3</c:v>
                </c:pt>
                <c:pt idx="78">
                  <c:v>3.034564752396158E-3</c:v>
                </c:pt>
                <c:pt idx="79">
                  <c:v>2.5833466358958332E-3</c:v>
                </c:pt>
                <c:pt idx="80">
                  <c:v>1.7435113168160908E-3</c:v>
                </c:pt>
                <c:pt idx="81">
                  <c:v>1.9579636545791388E-3</c:v>
                </c:pt>
                <c:pt idx="82">
                  <c:v>2.310632793213657E-3</c:v>
                </c:pt>
                <c:pt idx="83">
                  <c:v>1.2984915591405899E-3</c:v>
                </c:pt>
                <c:pt idx="84">
                  <c:v>1.7323543639021417E-3</c:v>
                </c:pt>
                <c:pt idx="85">
                  <c:v>4.2270678155494111E-4</c:v>
                </c:pt>
                <c:pt idx="86">
                  <c:v>2.0329598915886865E-3</c:v>
                </c:pt>
                <c:pt idx="87">
                  <c:v>9.2970733835666614E-4</c:v>
                </c:pt>
                <c:pt idx="88">
                  <c:v>1.1522174496212513E-3</c:v>
                </c:pt>
                <c:pt idx="89">
                  <c:v>1.2829961269321991E-3</c:v>
                </c:pt>
                <c:pt idx="90">
                  <c:v>9.1111319158953283E-4</c:v>
                </c:pt>
                <c:pt idx="91">
                  <c:v>7.1835371515236097E-4</c:v>
                </c:pt>
                <c:pt idx="92">
                  <c:v>9.4706172038810075E-4</c:v>
                </c:pt>
                <c:pt idx="93">
                  <c:v>5.559649883372863E-4</c:v>
                </c:pt>
                <c:pt idx="94">
                  <c:v>6.7310811297022623E-4</c:v>
                </c:pt>
                <c:pt idx="95">
                  <c:v>7.4252610594963424E-4</c:v>
                </c:pt>
                <c:pt idx="96">
                  <c:v>5.4604826501270496E-4</c:v>
                </c:pt>
                <c:pt idx="97">
                  <c:v>4.2022771693721312E-4</c:v>
                </c:pt>
                <c:pt idx="98">
                  <c:v>4.2084736687822785E-4</c:v>
                </c:pt>
                <c:pt idx="99">
                  <c:v>4.7910933665102501E-4</c:v>
                </c:pt>
                <c:pt idx="100">
                  <c:v>3.1052225101112652E-4</c:v>
                </c:pt>
                <c:pt idx="101">
                  <c:v>4.0845157893591835E-4</c:v>
                </c:pt>
                <c:pt idx="102">
                  <c:v>3.9605532613993974E-4</c:v>
                </c:pt>
                <c:pt idx="103">
                  <c:v>1.2705984795752132E-4</c:v>
                </c:pt>
                <c:pt idx="104">
                  <c:v>3.1362143042353843E-4</c:v>
                </c:pt>
                <c:pt idx="105">
                  <c:v>2.1321303788101849E-4</c:v>
                </c:pt>
                <c:pt idx="106">
                  <c:v>2.181711671164746E-4</c:v>
                </c:pt>
                <c:pt idx="107">
                  <c:v>1.9090006176045851E-4</c:v>
                </c:pt>
                <c:pt idx="108">
                  <c:v>2.3552601400157847E-4</c:v>
                </c:pt>
                <c:pt idx="109">
                  <c:v>1.5495106810822128E-4</c:v>
                </c:pt>
                <c:pt idx="110">
                  <c:v>1.1652347469192521E-4</c:v>
                </c:pt>
                <c:pt idx="111">
                  <c:v>1.1280464533849855E-4</c:v>
                </c:pt>
                <c:pt idx="112">
                  <c:v>1.6238872681507461E-4</c:v>
                </c:pt>
                <c:pt idx="113">
                  <c:v>7.0038107774091906E-5</c:v>
                </c:pt>
                <c:pt idx="114">
                  <c:v>8.9251904482239949E-5</c:v>
                </c:pt>
                <c:pt idx="115">
                  <c:v>7.871506636297468E-5</c:v>
                </c:pt>
                <c:pt idx="116">
                  <c:v>5.5782440301399963E-5</c:v>
                </c:pt>
                <c:pt idx="117">
                  <c:v>7.3136822332834679E-5</c:v>
                </c:pt>
                <c:pt idx="118">
                  <c:v>6.8798343038393292E-5</c:v>
                </c:pt>
                <c:pt idx="119">
                  <c:v>3.5328878857553313E-5</c:v>
                </c:pt>
                <c:pt idx="120">
                  <c:v>4.8964431535561355E-5</c:v>
                </c:pt>
                <c:pt idx="121">
                  <c:v>2.2932626061574707E-5</c:v>
                </c:pt>
                <c:pt idx="122">
                  <c:v>4.0907122887693307E-5</c:v>
                </c:pt>
                <c:pt idx="123">
                  <c:v>3.1610049504126652E-5</c:v>
                </c:pt>
                <c:pt idx="124">
                  <c:v>9.2970733835666617E-6</c:v>
                </c:pt>
                <c:pt idx="125">
                  <c:v>2.8510870091714701E-5</c:v>
                </c:pt>
                <c:pt idx="126">
                  <c:v>1.0536838119265276E-5</c:v>
                </c:pt>
                <c:pt idx="127">
                  <c:v>1.2397647356986144E-6</c:v>
                </c:pt>
                <c:pt idx="128">
                  <c:v>1.1776138001294711E-5</c:v>
                </c:pt>
                <c:pt idx="129">
                  <c:v>6.1964994101471801E-7</c:v>
                </c:pt>
                <c:pt idx="130">
                  <c:v>5.5782440301399968E-6</c:v>
                </c:pt>
                <c:pt idx="131">
                  <c:v>5.5782440301399968E-6</c:v>
                </c:pt>
                <c:pt idx="132">
                  <c:v>0</c:v>
                </c:pt>
                <c:pt idx="133">
                  <c:v>3.0991794124119466E-6</c:v>
                </c:pt>
                <c:pt idx="134">
                  <c:v>0</c:v>
                </c:pt>
                <c:pt idx="135">
                  <c:v>1.8594146767133322E-6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(63.1 , 20.9)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63.09009598171528</c:v>
                </c:pt>
              </c:numCache>
            </c:numRef>
          </c:xVal>
          <c:yVal>
            <c:numRef>
              <c:f>info!$W$20:$W$21</c:f>
              <c:numCache>
                <c:formatCode>General</c:formatCode>
                <c:ptCount val="2"/>
                <c:pt idx="0">
                  <c:v>50</c:v>
                </c:pt>
                <c:pt idx="1">
                  <c:v>20.920271389783579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61.207599999999992</c:v>
                      </c:pt>
                    </c:numCache>
                  </c:numRef>
                </c:xVal>
                <c:yVal>
                  <c:numRef>
                    <c:extLst>
                      <c:ext uri="{02D57815-91ED-43cb-92C2-25804820EDAC}">
                        <c15:formulaRef>
                          <c15:sqref>info!$W$18</c15:sqref>
                        </c15:formulaRef>
                      </c:ext>
                    </c:extLst>
                    <c:numCache>
                      <c:formatCode>General</c:formatCode>
                      <c:ptCount val="1"/>
                      <c:pt idx="0">
                        <c:v>34.602100000000007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(63.1 , 20.9)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63.09009598171528</c:v>
                </c:pt>
              </c:numCache>
            </c:numRef>
          </c:xVal>
          <c:yVal>
            <c:numRef>
              <c:f>info!$W$20:$W$21</c:f>
              <c:numCache>
                <c:formatCode>General</c:formatCode>
                <c:ptCount val="2"/>
                <c:pt idx="0">
                  <c:v>50</c:v>
                </c:pt>
                <c:pt idx="1">
                  <c:v>20.920271389783579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34.831800000000001</c:v>
                </c:pt>
                <c:pt idx="1">
                  <c:v>25.743400000000001</c:v>
                </c:pt>
                <c:pt idx="2">
                  <c:v>35.123800000000003</c:v>
                </c:pt>
                <c:pt idx="3">
                  <c:v>32.863900000000001</c:v>
                </c:pt>
                <c:pt idx="4">
                  <c:v>73.835300000000004</c:v>
                </c:pt>
                <c:pt idx="5">
                  <c:v>80.698899999999995</c:v>
                </c:pt>
                <c:pt idx="6">
                  <c:v>17.912099999999999</c:v>
                </c:pt>
                <c:pt idx="7">
                  <c:v>76.976200000000006</c:v>
                </c:pt>
                <c:pt idx="8">
                  <c:v>19.178100000000001</c:v>
                </c:pt>
                <c:pt idx="9">
                  <c:v>23.195399999999999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0.5390210411028058</c:v>
                </c:pt>
                <c:pt idx="1">
                  <c:v>0.27783422989183382</c:v>
                </c:pt>
                <c:pt idx="2">
                  <c:v>0.18314472900536033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1.0970505386856651E-2</c:v>
                </c:pt>
                <c:pt idx="16">
                  <c:v>8.6473617470258553E-3</c:v>
                </c:pt>
                <c:pt idx="17">
                  <c:v>5.9499065890985116E-2</c:v>
                </c:pt>
                <c:pt idx="18">
                  <c:v>0.11796586872138383</c:v>
                </c:pt>
                <c:pt idx="19">
                  <c:v>0.14945744238047762</c:v>
                </c:pt>
                <c:pt idx="20">
                  <c:v>0.17772270998093062</c:v>
                </c:pt>
                <c:pt idx="21">
                  <c:v>0.14197198640943981</c:v>
                </c:pt>
                <c:pt idx="22">
                  <c:v>0.13874471236218261</c:v>
                </c:pt>
                <c:pt idx="23">
                  <c:v>0.28174954262537871</c:v>
                </c:pt>
                <c:pt idx="24">
                  <c:v>0.101573949490354</c:v>
                </c:pt>
                <c:pt idx="25">
                  <c:v>0.16868847222356664</c:v>
                </c:pt>
                <c:pt idx="26">
                  <c:v>0.24444906927894525</c:v>
                </c:pt>
                <c:pt idx="27">
                  <c:v>0.17565799026203452</c:v>
                </c:pt>
                <c:pt idx="28">
                  <c:v>0.30033492406129303</c:v>
                </c:pt>
                <c:pt idx="29">
                  <c:v>0.52684426031149867</c:v>
                </c:pt>
                <c:pt idx="30">
                  <c:v>0.32924487208030434</c:v>
                </c:pt>
                <c:pt idx="31">
                  <c:v>0.61809267523013922</c:v>
                </c:pt>
                <c:pt idx="32">
                  <c:v>0.77490683109566638</c:v>
                </c:pt>
                <c:pt idx="33">
                  <c:v>0.52452108763200944</c:v>
                </c:pt>
                <c:pt idx="34">
                  <c:v>0.6928213964203781</c:v>
                </c:pt>
                <c:pt idx="35">
                  <c:v>0.68933663740114415</c:v>
                </c:pt>
                <c:pt idx="36">
                  <c:v>0.75399827698026267</c:v>
                </c:pt>
                <c:pt idx="37">
                  <c:v>0.75219201022195981</c:v>
                </c:pt>
                <c:pt idx="38">
                  <c:v>0.51277551375995811</c:v>
                </c:pt>
                <c:pt idx="39">
                  <c:v>0.58698829701762711</c:v>
                </c:pt>
                <c:pt idx="40">
                  <c:v>0.68081833757635013</c:v>
                </c:pt>
                <c:pt idx="41">
                  <c:v>0.42178458381329437</c:v>
                </c:pt>
                <c:pt idx="42">
                  <c:v>0.49509423369181182</c:v>
                </c:pt>
                <c:pt idx="43">
                  <c:v>0.53432971628253645</c:v>
                </c:pt>
                <c:pt idx="44">
                  <c:v>0.35079907460288268</c:v>
                </c:pt>
                <c:pt idx="45">
                  <c:v>0.44708199831569978</c:v>
                </c:pt>
                <c:pt idx="46">
                  <c:v>0.52723145575808028</c:v>
                </c:pt>
                <c:pt idx="47">
                  <c:v>0.31698432826429962</c:v>
                </c:pt>
                <c:pt idx="48">
                  <c:v>0.42914129729834372</c:v>
                </c:pt>
                <c:pt idx="49">
                  <c:v>0.45869786171314625</c:v>
                </c:pt>
                <c:pt idx="50">
                  <c:v>0.58479386682412615</c:v>
                </c:pt>
                <c:pt idx="51">
                  <c:v>0.28871906066384662</c:v>
                </c:pt>
                <c:pt idx="52">
                  <c:v>0.61551201757867324</c:v>
                </c:pt>
                <c:pt idx="53">
                  <c:v>0.63409739901458761</c:v>
                </c:pt>
                <c:pt idx="54">
                  <c:v>0.43094853204526312</c:v>
                </c:pt>
                <c:pt idx="55">
                  <c:v>0.56737007172795639</c:v>
                </c:pt>
                <c:pt idx="56">
                  <c:v>0.67655918766395307</c:v>
                </c:pt>
                <c:pt idx="57">
                  <c:v>0.4656673797516141</c:v>
                </c:pt>
                <c:pt idx="58">
                  <c:v>0.65694193036289894</c:v>
                </c:pt>
                <c:pt idx="59">
                  <c:v>0.82137028468545203</c:v>
                </c:pt>
                <c:pt idx="60">
                  <c:v>0.57782434878565825</c:v>
                </c:pt>
                <c:pt idx="61">
                  <c:v>0.84253729176144898</c:v>
                </c:pt>
                <c:pt idx="62">
                  <c:v>0.57150047915436508</c:v>
                </c:pt>
                <c:pt idx="63">
                  <c:v>0.76380787361940627</c:v>
                </c:pt>
                <c:pt idx="64">
                  <c:v>0.89971347536952961</c:v>
                </c:pt>
                <c:pt idx="65">
                  <c:v>0.61770547978355772</c:v>
                </c:pt>
                <c:pt idx="66">
                  <c:v>0.75619270717376363</c:v>
                </c:pt>
                <c:pt idx="67">
                  <c:v>0.90397262528192668</c:v>
                </c:pt>
                <c:pt idx="68">
                  <c:v>0.58879553176454646</c:v>
                </c:pt>
                <c:pt idx="69">
                  <c:v>0.78523236566737975</c:v>
                </c:pt>
                <c:pt idx="70">
                  <c:v>0.77981162941523796</c:v>
                </c:pt>
                <c:pt idx="71">
                  <c:v>0.87493296678831056</c:v>
                </c:pt>
                <c:pt idx="72">
                  <c:v>0.85828356258530392</c:v>
                </c:pt>
                <c:pt idx="73">
                  <c:v>1</c:v>
                </c:pt>
                <c:pt idx="74">
                  <c:v>0.65164993659674564</c:v>
                </c:pt>
                <c:pt idx="75">
                  <c:v>0.78858838220062533</c:v>
                </c:pt>
                <c:pt idx="76">
                  <c:v>0.97638107775852556</c:v>
                </c:pt>
                <c:pt idx="77">
                  <c:v>0.63680776714065834</c:v>
                </c:pt>
                <c:pt idx="78">
                  <c:v>0.78084447326899431</c:v>
                </c:pt>
                <c:pt idx="79">
                  <c:v>0.91816914633083901</c:v>
                </c:pt>
                <c:pt idx="80">
                  <c:v>0.59576504980301437</c:v>
                </c:pt>
                <c:pt idx="81">
                  <c:v>0.65694193036289894</c:v>
                </c:pt>
                <c:pt idx="82">
                  <c:v>0.80291461372414263</c:v>
                </c:pt>
                <c:pt idx="83">
                  <c:v>0.49496452321720696</c:v>
                </c:pt>
                <c:pt idx="84">
                  <c:v>0.61783519025816258</c:v>
                </c:pt>
                <c:pt idx="85">
                  <c:v>0.3088532238860871</c:v>
                </c:pt>
                <c:pt idx="86">
                  <c:v>0.93882021547426597</c:v>
                </c:pt>
                <c:pt idx="87">
                  <c:v>0.45753627537340164</c:v>
                </c:pt>
                <c:pt idx="88">
                  <c:v>0.54930159621322849</c:v>
                </c:pt>
                <c:pt idx="89">
                  <c:v>0.62299747354971102</c:v>
                </c:pt>
                <c:pt idx="90">
                  <c:v>0.37958028013590561</c:v>
                </c:pt>
                <c:pt idx="91">
                  <c:v>0.49496452321720696</c:v>
                </c:pt>
                <c:pt idx="92">
                  <c:v>0.5427192736213422</c:v>
                </c:pt>
                <c:pt idx="93">
                  <c:v>0.35105752756347586</c:v>
                </c:pt>
                <c:pt idx="94">
                  <c:v>0.40668396139661395</c:v>
                </c:pt>
                <c:pt idx="95">
                  <c:v>0.500902165390535</c:v>
                </c:pt>
                <c:pt idx="96">
                  <c:v>0.32821299621516453</c:v>
                </c:pt>
                <c:pt idx="97">
                  <c:v>0.40526489008489264</c:v>
                </c:pt>
                <c:pt idx="98">
                  <c:v>0.33040645842004901</c:v>
                </c:pt>
                <c:pt idx="99">
                  <c:v>0.39171304945453839</c:v>
                </c:pt>
                <c:pt idx="100">
                  <c:v>0.28910625611042817</c:v>
                </c:pt>
                <c:pt idx="101">
                  <c:v>0.35621981085502435</c:v>
                </c:pt>
                <c:pt idx="102">
                  <c:v>0.18456348553341012</c:v>
                </c:pt>
                <c:pt idx="103">
                  <c:v>0.3753211302235086</c:v>
                </c:pt>
                <c:pt idx="104">
                  <c:v>0.39519780847377234</c:v>
                </c:pt>
                <c:pt idx="105">
                  <c:v>0.27826478360614482</c:v>
                </c:pt>
                <c:pt idx="106">
                  <c:v>0.27865197905272632</c:v>
                </c:pt>
                <c:pt idx="107">
                  <c:v>0.27103681260708373</c:v>
                </c:pt>
                <c:pt idx="108">
                  <c:v>0.2756831579660623</c:v>
                </c:pt>
                <c:pt idx="109">
                  <c:v>0.31866185253661417</c:v>
                </c:pt>
                <c:pt idx="110">
                  <c:v>0.21373188651301461</c:v>
                </c:pt>
                <c:pt idx="111">
                  <c:v>0.23464044062841821</c:v>
                </c:pt>
                <c:pt idx="112">
                  <c:v>0.3224050645164413</c:v>
                </c:pt>
                <c:pt idx="113">
                  <c:v>0.16894595719554339</c:v>
                </c:pt>
                <c:pt idx="114">
                  <c:v>0.18224031285392084</c:v>
                </c:pt>
                <c:pt idx="115">
                  <c:v>0.25503305681125188</c:v>
                </c:pt>
                <c:pt idx="116">
                  <c:v>0.17836835838810536</c:v>
                </c:pt>
                <c:pt idx="117">
                  <c:v>0.20495513372762736</c:v>
                </c:pt>
                <c:pt idx="118">
                  <c:v>0.2181197789114</c:v>
                </c:pt>
                <c:pt idx="119">
                  <c:v>0.14919898941988444</c:v>
                </c:pt>
                <c:pt idx="120">
                  <c:v>0.16881721470955502</c:v>
                </c:pt>
                <c:pt idx="121">
                  <c:v>0.11357700833438199</c:v>
                </c:pt>
                <c:pt idx="122">
                  <c:v>0.18249779782589756</c:v>
                </c:pt>
                <c:pt idx="123">
                  <c:v>0.15616850745835228</c:v>
                </c:pt>
                <c:pt idx="124">
                  <c:v>4.8270397940120224E-2</c:v>
                </c:pt>
                <c:pt idx="125">
                  <c:v>0.15745980427270176</c:v>
                </c:pt>
                <c:pt idx="126">
                  <c:v>4.9302854598429924E-2</c:v>
                </c:pt>
                <c:pt idx="127">
                  <c:v>1.2261221408036241E-2</c:v>
                </c:pt>
                <c:pt idx="128">
                  <c:v>6.169310888903947E-2</c:v>
                </c:pt>
                <c:pt idx="129">
                  <c:v>2.4522346017210837E-3</c:v>
                </c:pt>
                <c:pt idx="130">
                  <c:v>3.2266254948841798E-2</c:v>
                </c:pt>
                <c:pt idx="131">
                  <c:v>3.3298808406013139E-2</c:v>
                </c:pt>
                <c:pt idx="132">
                  <c:v>0</c:v>
                </c:pt>
                <c:pt idx="133">
                  <c:v>2.2070140455148247E-2</c:v>
                </c:pt>
                <c:pt idx="134">
                  <c:v>0</c:v>
                </c:pt>
                <c:pt idx="135">
                  <c:v>1.4326231523517282E-2</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numCache>
              <c:extLst xmlns:c15="http://schemas.microsoft.com/office/drawing/2012/chart"/>
            </c:numRef>
          </c:xVal>
          <c:yVal>
            <c:numRef>
              <c:f>[0]!FT_PH</c:f>
              <c:numCache>
                <c:formatCode>0.00</c:formatCode>
                <c:ptCount val="25"/>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3.4266400000000004</c:v>
                </c:pt>
              </c:numCache>
            </c:numRef>
          </c:xVal>
          <c:yVal>
            <c:numRef>
              <c:f>[0]!FT_PH01</c:f>
              <c:numCache>
                <c:formatCode>0.00</c:formatCode>
                <c:ptCount val="1"/>
                <c:pt idx="0">
                  <c:v>41.719699999999996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3.4266400000000004</c:v>
                </c:pt>
              </c:numCache>
            </c:numRef>
          </c:xVal>
          <c:yVal>
            <c:numRef>
              <c:f>[0]!FT_PH02</c:f>
              <c:numCache>
                <c:formatCode>0.00</c:formatCode>
                <c:ptCount val="1"/>
                <c:pt idx="0">
                  <c:v>41.719699999999996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3.4266400000000004</c:v>
                </c:pt>
              </c:numCache>
            </c:numRef>
          </c:xVal>
          <c:yVal>
            <c:numRef>
              <c:f>[0]!FT_PH03</c:f>
              <c:numCache>
                <c:formatCode>0.00</c:formatCode>
                <c:ptCount val="1"/>
                <c:pt idx="0">
                  <c:v>41.719699999999996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3.4266400000000004</c:v>
                </c:pt>
              </c:numCache>
            </c:numRef>
          </c:xVal>
          <c:yVal>
            <c:numRef>
              <c:f>[0]!FT_PH04</c:f>
              <c:numCache>
                <c:formatCode>0.00</c:formatCode>
                <c:ptCount val="1"/>
                <c:pt idx="0">
                  <c:v>41.719699999999996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3.4266400000000004</c:v>
                </c:pt>
              </c:numCache>
            </c:numRef>
          </c:xVal>
          <c:yVal>
            <c:numRef>
              <c:f>[0]!FT_PH05</c:f>
              <c:numCache>
                <c:formatCode>0.00</c:formatCode>
                <c:ptCount val="1"/>
                <c:pt idx="0">
                  <c:v>41.719699999999996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3.4266400000000004</c:v>
                </c:pt>
              </c:numCache>
            </c:numRef>
          </c:xVal>
          <c:yVal>
            <c:numRef>
              <c:f>[0]!FT_PH06</c:f>
              <c:numCache>
                <c:formatCode>0.00</c:formatCode>
                <c:ptCount val="1"/>
                <c:pt idx="0">
                  <c:v>41.719699999999996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3.4266400000000004</c:v>
                </c:pt>
              </c:numCache>
            </c:numRef>
          </c:xVal>
          <c:yVal>
            <c:numRef>
              <c:f>[0]!FT_PH07</c:f>
              <c:numCache>
                <c:formatCode>0.00</c:formatCode>
                <c:ptCount val="1"/>
                <c:pt idx="0">
                  <c:v>41.719699999999996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3.4266400000000004</c:v>
                </c:pt>
              </c:numCache>
            </c:numRef>
          </c:xVal>
          <c:yVal>
            <c:numRef>
              <c:f>[0]!FT_PH08</c:f>
              <c:numCache>
                <c:formatCode>0.00</c:formatCode>
                <c:ptCount val="1"/>
                <c:pt idx="0">
                  <c:v>41.719699999999996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3.4266400000000004</c:v>
                </c:pt>
              </c:numCache>
            </c:numRef>
          </c:xVal>
          <c:yVal>
            <c:numRef>
              <c:f>[0]!FT_PH09</c:f>
              <c:numCache>
                <c:formatCode>0.00</c:formatCode>
                <c:ptCount val="1"/>
                <c:pt idx="0">
                  <c:v>41.719699999999996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3.4266400000000004</c:v>
                </c:pt>
              </c:numCache>
            </c:numRef>
          </c:xVal>
          <c:yVal>
            <c:numRef>
              <c:f>[0]!FT_PH10</c:f>
              <c:numCache>
                <c:formatCode>0.00</c:formatCode>
                <c:ptCount val="1"/>
                <c:pt idx="0">
                  <c:v>41.719699999999996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3.4266400000000004</c:v>
                </c:pt>
              </c:numCache>
            </c:numRef>
          </c:xVal>
          <c:yVal>
            <c:numRef>
              <c:f>[0]!FT_PH11</c:f>
              <c:numCache>
                <c:formatCode>0.00</c:formatCode>
                <c:ptCount val="1"/>
                <c:pt idx="0">
                  <c:v>41.719699999999996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3.4266400000000004</c:v>
                </c:pt>
              </c:numCache>
            </c:numRef>
          </c:xVal>
          <c:yVal>
            <c:numRef>
              <c:f>[0]!FT_PH12</c:f>
              <c:numCache>
                <c:formatCode>0.00</c:formatCode>
                <c:ptCount val="1"/>
                <c:pt idx="0">
                  <c:v>41.719699999999996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3.4266400000000004</c:v>
                </c:pt>
              </c:numCache>
            </c:numRef>
          </c:xVal>
          <c:yVal>
            <c:numRef>
              <c:f>[0]!FT_PH13</c:f>
              <c:numCache>
                <c:formatCode>0.00</c:formatCode>
                <c:ptCount val="1"/>
                <c:pt idx="0">
                  <c:v>41.719699999999996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3.4266400000000004</c:v>
                </c:pt>
              </c:numCache>
            </c:numRef>
          </c:xVal>
          <c:yVal>
            <c:numRef>
              <c:f>[0]!FT_PH14</c:f>
              <c:numCache>
                <c:formatCode>0.00</c:formatCode>
                <c:ptCount val="1"/>
                <c:pt idx="0">
                  <c:v>41.719699999999996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3.4266400000000004</c:v>
                </c:pt>
              </c:numCache>
            </c:numRef>
          </c:xVal>
          <c:yVal>
            <c:numRef>
              <c:f>[0]!FT_PH15</c:f>
              <c:numCache>
                <c:formatCode>0.00</c:formatCode>
                <c:ptCount val="1"/>
                <c:pt idx="0">
                  <c:v>41.719699999999996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3.4266400000000004</c:v>
                </c:pt>
              </c:numCache>
            </c:numRef>
          </c:xVal>
          <c:yVal>
            <c:numRef>
              <c:f>[0]!FT_PH16</c:f>
              <c:numCache>
                <c:formatCode>0.00</c:formatCode>
                <c:ptCount val="1"/>
                <c:pt idx="0">
                  <c:v>41.719699999999996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3.4266400000000004</c:v>
                </c:pt>
              </c:numCache>
            </c:numRef>
          </c:xVal>
          <c:yVal>
            <c:numRef>
              <c:f>[0]!FT_PH17</c:f>
              <c:numCache>
                <c:formatCode>0.00</c:formatCode>
                <c:ptCount val="1"/>
                <c:pt idx="0">
                  <c:v>41.719699999999996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3.4266400000000004</c:v>
                </c:pt>
              </c:numCache>
            </c:numRef>
          </c:xVal>
          <c:yVal>
            <c:numRef>
              <c:f>[0]!FT_PH18</c:f>
              <c:numCache>
                <c:formatCode>0.00</c:formatCode>
                <c:ptCount val="1"/>
                <c:pt idx="0">
                  <c:v>41.719699999999996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3.4266400000000004</c:v>
                </c:pt>
              </c:numCache>
            </c:numRef>
          </c:xVal>
          <c:yVal>
            <c:numRef>
              <c:f>[0]!FT_PH19</c:f>
              <c:numCache>
                <c:formatCode>0.00</c:formatCode>
                <c:ptCount val="1"/>
                <c:pt idx="0">
                  <c:v>41.719699999999996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3.4266400000000004</c:v>
                </c:pt>
              </c:numCache>
            </c:numRef>
          </c:xVal>
          <c:yVal>
            <c:numRef>
              <c:f>[0]!FT_PH20</c:f>
              <c:numCache>
                <c:formatCode>0.00</c:formatCode>
                <c:ptCount val="1"/>
                <c:pt idx="0">
                  <c:v>41.719699999999996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3.4266400000000004</c:v>
                </c:pt>
              </c:numCache>
            </c:numRef>
          </c:xVal>
          <c:yVal>
            <c:numRef>
              <c:f>[0]!FT_PH21</c:f>
              <c:numCache>
                <c:formatCode>0.00</c:formatCode>
                <c:ptCount val="1"/>
                <c:pt idx="0">
                  <c:v>41.719699999999996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3.4266400000000004</c:v>
                </c:pt>
              </c:numCache>
            </c:numRef>
          </c:xVal>
          <c:yVal>
            <c:numRef>
              <c:f>[0]!FT_PH22</c:f>
              <c:numCache>
                <c:formatCode>0.00</c:formatCode>
                <c:ptCount val="1"/>
                <c:pt idx="0">
                  <c:v>41.719699999999996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3.4266400000000004</c:v>
                </c:pt>
              </c:numCache>
            </c:numRef>
          </c:xVal>
          <c:yVal>
            <c:numRef>
              <c:f>[0]!FT_PH23</c:f>
              <c:numCache>
                <c:formatCode>0.00</c:formatCode>
                <c:ptCount val="1"/>
                <c:pt idx="0">
                  <c:v>41.719699999999996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3.4266400000000004</c:v>
                </c:pt>
              </c:numCache>
            </c:numRef>
          </c:xVal>
          <c:yVal>
            <c:numRef>
              <c:f>[0]!FT_PH24</c:f>
              <c:numCache>
                <c:formatCode>0.00</c:formatCode>
                <c:ptCount val="1"/>
                <c:pt idx="0">
                  <c:v>41.719699999999996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3.4266400000000004</c:v>
                </c:pt>
              </c:numCache>
            </c:numRef>
          </c:xVal>
          <c:yVal>
            <c:numRef>
              <c:f>info!$H$2</c:f>
              <c:numCache>
                <c:formatCode>0.00</c:formatCode>
                <c:ptCount val="1"/>
                <c:pt idx="0">
                  <c:v>41.719699999999996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0.17984092862495588</c:v>
                </c:pt>
                <c:pt idx="1">
                  <c:v>0.16540261324182115</c:v>
                </c:pt>
                <c:pt idx="2">
                  <c:v>0.65475645813322303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[0]!FT_E</c:f>
              <c:numCache>
                <c:formatCode>0.00</c:formatCode>
                <c:ptCount val="25"/>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3.4266400000000004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3.4266400000000004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3.4266400000000004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3.4266400000000004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3.4266400000000004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3.4266400000000004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3.4266400000000004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3.4266400000000004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3.4266400000000004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3.4266400000000004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3.4266400000000004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3.4266400000000004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3.4266400000000004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3.4266400000000004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3.4266400000000004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3.4266400000000004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3.4266400000000004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3.4266400000000004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3.4266400000000004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3.4266400000000004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3.4266400000000004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3.4266400000000004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3.4266400000000004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3.4266400000000004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[0]!FT_PH</c:f>
              <c:numCache>
                <c:formatCode>0.00</c:formatCode>
                <c:ptCount val="25"/>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41.719699999999996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41.719699999999996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41.719699999999996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41.719699999999996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41.719699999999996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41.719699999999996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41.719699999999996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41.719699999999996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41.719699999999996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41.719699999999996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41.719699999999996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41.719699999999996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41.719699999999996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41.719699999999996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41.719699999999996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41.719699999999996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41.719699999999996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41.719699999999996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41.719699999999996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41.719699999999996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41.719699999999996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41.719699999999996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41.719699999999996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41.719699999999996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89.13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1.8316833353379833</c:v>
                </c:pt>
                <c:pt idx="1">
                  <c:v>1.8316833353379833</c:v>
                </c:pt>
                <c:pt idx="2">
                  <c:v>-7</c:v>
                </c:pt>
              </c:numCache>
            </c:numRef>
          </c:xVal>
          <c:yVal>
            <c:numRef>
              <c:f>'R'!$I$5:$I$7</c:f>
              <c:numCache>
                <c:formatCode>0.0_ </c:formatCode>
                <c:ptCount val="3"/>
                <c:pt idx="0">
                  <c:v>0</c:v>
                </c:pt>
                <c:pt idx="1">
                  <c:v>89.125042784352829</c:v>
                </c:pt>
                <c:pt idx="2">
                  <c:v>89.125042784352829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1.8316833353379833</c:v>
                </c:pt>
                <c:pt idx="1">
                  <c:v>1.8316833353379833</c:v>
                </c:pt>
                <c:pt idx="2">
                  <c:v>-7</c:v>
                </c:pt>
              </c:numCache>
            </c:numRef>
          </c:xVal>
          <c:yVal>
            <c:numRef>
              <c:f>'R'!$I$5:$I$7</c:f>
              <c:numCache>
                <c:formatCode>0.0_ </c:formatCode>
                <c:ptCount val="3"/>
                <c:pt idx="0">
                  <c:v>0</c:v>
                </c:pt>
                <c:pt idx="1">
                  <c:v>89.125042784352829</c:v>
                </c:pt>
                <c:pt idx="2">
                  <c:v>89.125042784352829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1.8316833353379833</c:v>
                </c:pt>
              </c:numCache>
            </c:numRef>
          </c:xVal>
          <c:yVal>
            <c:numRef>
              <c:f>'R'!$I$4</c:f>
              <c:numCache>
                <c:formatCode>0.00_ </c:formatCode>
                <c:ptCount val="1"/>
                <c:pt idx="0">
                  <c:v>89.125042784352829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57.10347999999999</c:v>
                </c:pt>
                <c:pt idx="1">
                  <c:v>57.10347999999999</c:v>
                </c:pt>
                <c:pt idx="2">
                  <c:v>0</c:v>
                </c:pt>
              </c:numCache>
            </c:numRef>
          </c:xVal>
          <c:yVal>
            <c:numRef>
              <c:f>'R2'!$I$5:$I$7</c:f>
              <c:numCache>
                <c:formatCode>0.0_ </c:formatCode>
                <c:ptCount val="3"/>
                <c:pt idx="0">
                  <c:v>0</c:v>
                </c:pt>
                <c:pt idx="1">
                  <c:v>62.550695649754282</c:v>
                </c:pt>
                <c:pt idx="2">
                  <c:v>62.550695649754282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1.3231200000000001</c:v>
                </c:pt>
                <c:pt idx="1">
                  <c:v>1.3231200000000001</c:v>
                </c:pt>
                <c:pt idx="2">
                  <c:v>0</c:v>
                </c:pt>
              </c:numCache>
            </c:numRef>
          </c:xVal>
          <c:yVal>
            <c:numRef>
              <c:f>'R3'!$I$6:$I$8</c:f>
              <c:numCache>
                <c:formatCode>0.0_ </c:formatCode>
                <c:ptCount val="3"/>
                <c:pt idx="0">
                  <c:v>0</c:v>
                </c:pt>
                <c:pt idx="1">
                  <c:v>20.920271389783579</c:v>
                </c:pt>
                <c:pt idx="2">
                  <c:v>20.920271389783579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1.3231200000000001</c:v>
                </c:pt>
                <c:pt idx="1">
                  <c:v>1.3231200000000001</c:v>
                </c:pt>
                <c:pt idx="2">
                  <c:v>0</c:v>
                </c:pt>
              </c:numCache>
            </c:numRef>
          </c:xVal>
          <c:yVal>
            <c:numRef>
              <c:f>'R4'!$I$5:$I$7</c:f>
              <c:numCache>
                <c:formatCode>0.0_ </c:formatCode>
                <c:ptCount val="3"/>
                <c:pt idx="0">
                  <c:v>0</c:v>
                </c:pt>
                <c:pt idx="1">
                  <c:v>4.259206744111927E-2</c:v>
                </c:pt>
                <c:pt idx="2">
                  <c:v>4.259206744111927E-2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nFQ6%5e1%5e1%5e\2025-06-11%2018_30_3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nFQ6%5e1%5e1%5e\2025-06-11%2018_30_3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5A4171D-9755-3115-EF08-3B6E17FA2B9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1C5885B-7376-0A52-A3CE-A44422E26EA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45819.77140046296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nFQ6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45819.77140046296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nFQ6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( 47 , 44 )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1.8316833353379833</v>
      </c>
      <c r="I20" s="862"/>
      <c r="J20" s="311" t="str">
        <f>lang!B174</f>
        <v>정보량</v>
      </c>
      <c r="K20" s="236">
        <f ca="1">info!N9</f>
        <v>48.966043999999989</v>
      </c>
      <c r="L20" s="312" t="str">
        <f>lang!B175</f>
        <v>에너지</v>
      </c>
      <c r="M20" s="863">
        <f ca="1">info!M9</f>
        <v>2.7681647999999996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30.696000000000002</v>
      </c>
      <c r="N32" s="816"/>
      <c r="O32" s="817">
        <f>Measurement!N7</f>
        <v>34.831800000000001</v>
      </c>
      <c r="P32" s="818"/>
      <c r="Q32" s="819">
        <f>Measurement!T7</f>
        <v>41.437800000000003</v>
      </c>
      <c r="R32" s="820"/>
    </row>
    <row r="33" spans="3:18" ht="12.75" customHeight="1">
      <c r="C33" s="77"/>
      <c r="I33" s="502">
        <f>Measurement!L8</f>
        <v>3</v>
      </c>
      <c r="J33" s="139" t="str">
        <f>lang!B15</f>
        <v>스트레스</v>
      </c>
      <c r="K33" s="90" t="s">
        <v>226</v>
      </c>
      <c r="L33" s="504" t="str">
        <f>Measurement!Y8</f>
        <v>보통</v>
      </c>
      <c r="M33" s="792">
        <f>Measurement!R8</f>
        <v>23.333600000000001</v>
      </c>
      <c r="N33" s="793"/>
      <c r="O33" s="806">
        <f>Measurement!N8</f>
        <v>25.743400000000001</v>
      </c>
      <c r="P33" s="807"/>
      <c r="Q33" s="792">
        <f>Measurement!T8</f>
        <v>28.023199999999999</v>
      </c>
      <c r="R33" s="808"/>
    </row>
    <row r="34" spans="3:18" ht="12.75" customHeight="1">
      <c r="C34" s="77"/>
      <c r="I34" s="502">
        <f>Measurement!L9</f>
        <v>4</v>
      </c>
      <c r="J34" s="139" t="str">
        <f>lang!B16</f>
        <v>불안</v>
      </c>
      <c r="K34" s="90" t="s">
        <v>227</v>
      </c>
      <c r="L34" s="504" t="str">
        <f>Measurement!Y9</f>
        <v>높음</v>
      </c>
      <c r="M34" s="792">
        <f>Measurement!R9</f>
        <v>25.253</v>
      </c>
      <c r="N34" s="793"/>
      <c r="O34" s="806">
        <f>Measurement!N9</f>
        <v>35.123800000000003</v>
      </c>
      <c r="P34" s="807"/>
      <c r="Q34" s="792">
        <f>Measurement!T9</f>
        <v>41.757199999999997</v>
      </c>
      <c r="R34" s="808"/>
    </row>
    <row r="35" spans="3:18" ht="12.75" customHeight="1">
      <c r="C35" s="77"/>
      <c r="I35" s="502">
        <f>Measurement!L10</f>
        <v>3</v>
      </c>
      <c r="J35" s="139" t="str">
        <f>lang!B17</f>
        <v>의심</v>
      </c>
      <c r="K35" s="90" t="s">
        <v>225</v>
      </c>
      <c r="L35" s="504" t="str">
        <f>Measurement!Y10</f>
        <v>보통</v>
      </c>
      <c r="M35" s="792">
        <f>Measurement!R10</f>
        <v>30.9482</v>
      </c>
      <c r="N35" s="793"/>
      <c r="O35" s="806">
        <f>Measurement!N10</f>
        <v>32.863900000000001</v>
      </c>
      <c r="P35" s="807"/>
      <c r="Q35" s="792">
        <f>Measurement!T10</f>
        <v>33.414400000000001</v>
      </c>
      <c r="R35" s="808"/>
    </row>
    <row r="36" spans="3:18" ht="12.75" customHeight="1">
      <c r="C36" s="77"/>
      <c r="I36" s="502">
        <f>Measurement!L11</f>
        <v>4</v>
      </c>
      <c r="J36" s="139" t="str">
        <f>lang!B18</f>
        <v>밸런스</v>
      </c>
      <c r="K36" s="90" t="s">
        <v>2171</v>
      </c>
      <c r="L36" s="504" t="str">
        <f>Measurement!Y11</f>
        <v>높음</v>
      </c>
      <c r="M36" s="792">
        <f>Measurement!R11</f>
        <v>68.428899999999999</v>
      </c>
      <c r="N36" s="793"/>
      <c r="O36" s="806">
        <f>Measurement!N11</f>
        <v>73.835300000000004</v>
      </c>
      <c r="P36" s="807"/>
      <c r="Q36" s="792">
        <f>Measurement!T11</f>
        <v>76.4285</v>
      </c>
      <c r="R36" s="808"/>
    </row>
    <row r="37" spans="3:18" ht="12.75" customHeight="1">
      <c r="C37" s="77"/>
      <c r="I37" s="502">
        <f>Measurement!L12</f>
        <v>5</v>
      </c>
      <c r="J37" s="139" t="str">
        <f>lang!B19</f>
        <v>카리스마</v>
      </c>
      <c r="K37" s="90" t="s">
        <v>229</v>
      </c>
      <c r="L37" s="504" t="str">
        <f>Measurement!Y12</f>
        <v>매우 높음</v>
      </c>
      <c r="M37" s="792">
        <f>Measurement!R12</f>
        <v>79.599699999999999</v>
      </c>
      <c r="N37" s="793"/>
      <c r="O37" s="806">
        <f>Measurement!N12</f>
        <v>80.698899999999995</v>
      </c>
      <c r="P37" s="807"/>
      <c r="Q37" s="792">
        <f>Measurement!T12</f>
        <v>81.763300000000001</v>
      </c>
      <c r="R37" s="808"/>
    </row>
    <row r="38" spans="3:18" ht="12.75" customHeight="1">
      <c r="C38" s="77"/>
      <c r="I38" s="502">
        <f>Measurement!L13</f>
        <v>2</v>
      </c>
      <c r="J38" s="139" t="str">
        <f>lang!B20</f>
        <v>에너지</v>
      </c>
      <c r="K38" s="90" t="s">
        <v>2170</v>
      </c>
      <c r="L38" s="504" t="str">
        <f>Measurement!Y13</f>
        <v>낮음</v>
      </c>
      <c r="M38" s="792">
        <f>Measurement!R13</f>
        <v>14.2041</v>
      </c>
      <c r="N38" s="793"/>
      <c r="O38" s="806">
        <f>Measurement!N13</f>
        <v>17.912099999999999</v>
      </c>
      <c r="P38" s="807"/>
      <c r="Q38" s="792">
        <f>Measurement!T13</f>
        <v>24.2989</v>
      </c>
      <c r="R38" s="808"/>
    </row>
    <row r="39" spans="3:18" ht="12.75" customHeight="1">
      <c r="C39" s="77"/>
      <c r="I39" s="502">
        <f>Measurement!L14</f>
        <v>4</v>
      </c>
      <c r="J39" s="139" t="str">
        <f>lang!B21</f>
        <v>자기조절</v>
      </c>
      <c r="K39" s="90" t="s">
        <v>230</v>
      </c>
      <c r="L39" s="504" t="str">
        <f>Measurement!Y14</f>
        <v>높음</v>
      </c>
      <c r="M39" s="792">
        <f>Measurement!R14</f>
        <v>75.096100000000007</v>
      </c>
      <c r="N39" s="793"/>
      <c r="O39" s="806">
        <f>Measurement!N14</f>
        <v>76.976200000000006</v>
      </c>
      <c r="P39" s="807"/>
      <c r="Q39" s="792">
        <f>Measurement!T14</f>
        <v>78.551500000000004</v>
      </c>
      <c r="R39" s="808"/>
    </row>
    <row r="40" spans="3:18" ht="12.75" customHeight="1">
      <c r="C40" s="77"/>
      <c r="I40" s="502">
        <f>Measurement!L15</f>
        <v>3</v>
      </c>
      <c r="J40" s="139" t="str">
        <f>lang!B22</f>
        <v>억제</v>
      </c>
      <c r="K40" s="91" t="s">
        <v>248</v>
      </c>
      <c r="L40" s="504" t="str">
        <f>Measurement!Y15</f>
        <v>보통</v>
      </c>
      <c r="M40" s="792">
        <f>Measurement!R15</f>
        <v>16.1266</v>
      </c>
      <c r="N40" s="793"/>
      <c r="O40" s="806">
        <f>Measurement!N15</f>
        <v>19.178100000000001</v>
      </c>
      <c r="P40" s="807"/>
      <c r="Q40" s="792">
        <f>Measurement!T15</f>
        <v>23.642800000000001</v>
      </c>
      <c r="R40" s="808"/>
    </row>
    <row r="41" spans="3:18" ht="12.75" customHeight="1" thickBot="1">
      <c r="C41" s="77"/>
      <c r="I41" s="502">
        <f>Measurement!L16</f>
        <v>3</v>
      </c>
      <c r="J41" s="140" t="str">
        <f>lang!B23</f>
        <v>신경성</v>
      </c>
      <c r="K41" s="92" t="s">
        <v>231</v>
      </c>
      <c r="L41" s="504" t="str">
        <f>Measurement!Y16</f>
        <v>보통</v>
      </c>
      <c r="M41" s="794">
        <f>Measurement!R16</f>
        <v>1.48817</v>
      </c>
      <c r="N41" s="795"/>
      <c r="O41" s="796">
        <f>Measurement!N16</f>
        <v>23.195399999999999</v>
      </c>
      <c r="P41" s="797"/>
      <c r="Q41" s="794">
        <f>Measurement!T16</f>
        <v>23.523399999999999</v>
      </c>
      <c r="R41" s="798"/>
    </row>
    <row r="42" spans="3:18" ht="29.25" customHeight="1" thickBot="1">
      <c r="C42" s="77"/>
      <c r="I42" s="84"/>
      <c r="J42" s="780" t="str">
        <f>lang!B215</f>
        <v>감정변이도</v>
      </c>
      <c r="K42" s="781"/>
      <c r="L42" s="319" t="str">
        <f>info!V43</f>
        <v>낮음</v>
      </c>
      <c r="M42" s="782">
        <f>info!W43</f>
        <v>8.0263299999999997</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1.3231200000000001</v>
      </c>
      <c r="E44" s="249" t="s">
        <v>1072</v>
      </c>
      <c r="G44" s="289"/>
      <c r="H44" s="289"/>
      <c r="I44" s="290"/>
      <c r="J44" s="802">
        <f>info!$W$36</f>
        <v>57.10347999999999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45819.77140046296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nFQ6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( 47 , 44 )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1.8316833353379833</v>
      </c>
      <c r="I20" s="862"/>
      <c r="J20" s="311" t="str">
        <f>lang!B174</f>
        <v>정보량</v>
      </c>
      <c r="K20" s="236">
        <f ca="1">info!N9</f>
        <v>48.966043999999989</v>
      </c>
      <c r="L20" s="312" t="str">
        <f>lang!B175</f>
        <v>에너지</v>
      </c>
      <c r="M20" s="863">
        <f ca="1">info!M9</f>
        <v>2.7681647999999996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30.696000000000002</v>
      </c>
      <c r="N32" s="816"/>
      <c r="O32" s="817">
        <f>Measurement!N7</f>
        <v>34.831800000000001</v>
      </c>
      <c r="P32" s="818"/>
      <c r="Q32" s="819">
        <f>Measurement!T7</f>
        <v>41.437800000000003</v>
      </c>
      <c r="R32" s="820"/>
    </row>
    <row r="33" spans="3:18" ht="12.75" customHeight="1">
      <c r="C33" s="77"/>
      <c r="I33" s="502">
        <f>Measurement!L8</f>
        <v>3</v>
      </c>
      <c r="J33" s="139" t="str">
        <f>lang!B15</f>
        <v>스트레스</v>
      </c>
      <c r="K33" s="90" t="s">
        <v>226</v>
      </c>
      <c r="L33" s="504" t="str">
        <f>Measurement!Y8</f>
        <v>보통</v>
      </c>
      <c r="M33" s="792">
        <f>Measurement!R8</f>
        <v>23.333600000000001</v>
      </c>
      <c r="N33" s="793"/>
      <c r="O33" s="806">
        <f>Measurement!N8</f>
        <v>25.743400000000001</v>
      </c>
      <c r="P33" s="807"/>
      <c r="Q33" s="792">
        <f>Measurement!T8</f>
        <v>28.023199999999999</v>
      </c>
      <c r="R33" s="808"/>
    </row>
    <row r="34" spans="3:18" ht="12.75" customHeight="1">
      <c r="C34" s="77"/>
      <c r="I34" s="502">
        <f>Measurement!L9</f>
        <v>4</v>
      </c>
      <c r="J34" s="139" t="str">
        <f>lang!B16</f>
        <v>불안</v>
      </c>
      <c r="K34" s="90" t="s">
        <v>227</v>
      </c>
      <c r="L34" s="504" t="str">
        <f>Measurement!Y9</f>
        <v>높음</v>
      </c>
      <c r="M34" s="792">
        <f>Measurement!R9</f>
        <v>25.253</v>
      </c>
      <c r="N34" s="793"/>
      <c r="O34" s="806">
        <f>Measurement!N9</f>
        <v>35.123800000000003</v>
      </c>
      <c r="P34" s="807"/>
      <c r="Q34" s="792">
        <f>Measurement!T9</f>
        <v>41.757199999999997</v>
      </c>
      <c r="R34" s="808"/>
    </row>
    <row r="35" spans="3:18" ht="12.75" customHeight="1">
      <c r="C35" s="77"/>
      <c r="I35" s="502">
        <f>Measurement!L10</f>
        <v>3</v>
      </c>
      <c r="J35" s="139" t="str">
        <f>lang!B17</f>
        <v>의심</v>
      </c>
      <c r="K35" s="90" t="s">
        <v>225</v>
      </c>
      <c r="L35" s="504" t="str">
        <f>Measurement!Y10</f>
        <v>보통</v>
      </c>
      <c r="M35" s="792">
        <f>Measurement!R10</f>
        <v>30.9482</v>
      </c>
      <c r="N35" s="793"/>
      <c r="O35" s="806">
        <f>Measurement!N10</f>
        <v>32.863900000000001</v>
      </c>
      <c r="P35" s="807"/>
      <c r="Q35" s="792">
        <f>Measurement!T10</f>
        <v>33.414400000000001</v>
      </c>
      <c r="R35" s="808"/>
    </row>
    <row r="36" spans="3:18" ht="12.75" customHeight="1">
      <c r="C36" s="77"/>
      <c r="I36" s="502">
        <f>Measurement!L11</f>
        <v>4</v>
      </c>
      <c r="J36" s="139" t="str">
        <f>lang!B18</f>
        <v>밸런스</v>
      </c>
      <c r="K36" s="90" t="s">
        <v>2171</v>
      </c>
      <c r="L36" s="504" t="str">
        <f>Measurement!Y11</f>
        <v>높음</v>
      </c>
      <c r="M36" s="792">
        <f>Measurement!R11</f>
        <v>68.428899999999999</v>
      </c>
      <c r="N36" s="793"/>
      <c r="O36" s="806">
        <f>Measurement!N11</f>
        <v>73.835300000000004</v>
      </c>
      <c r="P36" s="807"/>
      <c r="Q36" s="792">
        <f>Measurement!T11</f>
        <v>76.4285</v>
      </c>
      <c r="R36" s="808"/>
    </row>
    <row r="37" spans="3:18" ht="12.75" customHeight="1">
      <c r="C37" s="77"/>
      <c r="I37" s="502">
        <f>Measurement!L12</f>
        <v>5</v>
      </c>
      <c r="J37" s="139" t="str">
        <f>lang!B19</f>
        <v>카리스마</v>
      </c>
      <c r="K37" s="90" t="s">
        <v>229</v>
      </c>
      <c r="L37" s="504" t="str">
        <f>Measurement!Y12</f>
        <v>매우 높음</v>
      </c>
      <c r="M37" s="792">
        <f>Measurement!R12</f>
        <v>79.599699999999999</v>
      </c>
      <c r="N37" s="793"/>
      <c r="O37" s="806">
        <f>Measurement!N12</f>
        <v>80.698899999999995</v>
      </c>
      <c r="P37" s="807"/>
      <c r="Q37" s="792">
        <f>Measurement!T12</f>
        <v>81.763300000000001</v>
      </c>
      <c r="R37" s="808"/>
    </row>
    <row r="38" spans="3:18" ht="12.75" customHeight="1">
      <c r="C38" s="77"/>
      <c r="I38" s="502">
        <f>Measurement!L13</f>
        <v>2</v>
      </c>
      <c r="J38" s="139" t="str">
        <f>lang!B20</f>
        <v>에너지</v>
      </c>
      <c r="K38" s="90" t="s">
        <v>2170</v>
      </c>
      <c r="L38" s="504" t="str">
        <f>Measurement!Y13</f>
        <v>낮음</v>
      </c>
      <c r="M38" s="792">
        <f>Measurement!R13</f>
        <v>14.2041</v>
      </c>
      <c r="N38" s="793"/>
      <c r="O38" s="806">
        <f>Measurement!N13</f>
        <v>17.912099999999999</v>
      </c>
      <c r="P38" s="807"/>
      <c r="Q38" s="792">
        <f>Measurement!T13</f>
        <v>24.2989</v>
      </c>
      <c r="R38" s="808"/>
    </row>
    <row r="39" spans="3:18" ht="12.75" customHeight="1">
      <c r="C39" s="77"/>
      <c r="I39" s="502">
        <f>Measurement!L14</f>
        <v>4</v>
      </c>
      <c r="J39" s="139" t="str">
        <f>lang!B21</f>
        <v>자기조절</v>
      </c>
      <c r="K39" s="90" t="s">
        <v>230</v>
      </c>
      <c r="L39" s="504" t="str">
        <f>Measurement!Y14</f>
        <v>높음</v>
      </c>
      <c r="M39" s="792">
        <f>Measurement!R14</f>
        <v>75.096100000000007</v>
      </c>
      <c r="N39" s="793"/>
      <c r="O39" s="806">
        <f>Measurement!N14</f>
        <v>76.976200000000006</v>
      </c>
      <c r="P39" s="807"/>
      <c r="Q39" s="792">
        <f>Measurement!T14</f>
        <v>78.551500000000004</v>
      </c>
      <c r="R39" s="808"/>
    </row>
    <row r="40" spans="3:18" ht="12.75" customHeight="1">
      <c r="C40" s="77"/>
      <c r="I40" s="502">
        <f>Measurement!L15</f>
        <v>3</v>
      </c>
      <c r="J40" s="139" t="str">
        <f>lang!B22</f>
        <v>억제</v>
      </c>
      <c r="K40" s="91" t="s">
        <v>248</v>
      </c>
      <c r="L40" s="504" t="str">
        <f>Measurement!Y15</f>
        <v>보통</v>
      </c>
      <c r="M40" s="792">
        <f>Measurement!R15</f>
        <v>16.1266</v>
      </c>
      <c r="N40" s="793"/>
      <c r="O40" s="806">
        <f>Measurement!N15</f>
        <v>19.178100000000001</v>
      </c>
      <c r="P40" s="807"/>
      <c r="Q40" s="792">
        <f>Measurement!T15</f>
        <v>23.642800000000001</v>
      </c>
      <c r="R40" s="808"/>
    </row>
    <row r="41" spans="3:18" ht="12.75" customHeight="1" thickBot="1">
      <c r="C41" s="77"/>
      <c r="I41" s="502">
        <f>Measurement!L16</f>
        <v>3</v>
      </c>
      <c r="J41" s="140" t="str">
        <f>lang!B23</f>
        <v>신경성</v>
      </c>
      <c r="K41" s="92" t="s">
        <v>231</v>
      </c>
      <c r="L41" s="504" t="str">
        <f>Measurement!Y16</f>
        <v>보통</v>
      </c>
      <c r="M41" s="794">
        <f>Measurement!R16</f>
        <v>1.48817</v>
      </c>
      <c r="N41" s="795"/>
      <c r="O41" s="796">
        <f>Measurement!N16</f>
        <v>23.195399999999999</v>
      </c>
      <c r="P41" s="797"/>
      <c r="Q41" s="794">
        <f>Measurement!T16</f>
        <v>23.523399999999999</v>
      </c>
      <c r="R41" s="798"/>
    </row>
    <row r="42" spans="3:18" ht="29.25" customHeight="1" thickBot="1">
      <c r="C42" s="77"/>
      <c r="I42" s="84"/>
      <c r="J42" s="780" t="str">
        <f>lang!B215</f>
        <v>감정변이도</v>
      </c>
      <c r="K42" s="781"/>
      <c r="L42" s="319" t="str">
        <f>info!V43</f>
        <v>낮음</v>
      </c>
      <c r="M42" s="782">
        <f>info!W43</f>
        <v>8.0263299999999997</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1.3231200000000001</v>
      </c>
      <c r="E44" s="249" t="s">
        <v>1195</v>
      </c>
      <c r="G44" s="289"/>
      <c r="H44" s="289"/>
      <c r="I44" s="290"/>
      <c r="J44" s="802">
        <f>info!$W$36</f>
        <v>57.10347999999999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45819.77140046296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nFQ6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(-0.07,-0.19)</v>
      </c>
      <c r="S18" s="966"/>
      <c r="T18" s="967"/>
    </row>
    <row r="19" spans="2:22" ht="16.5" customHeight="1">
      <c r="C19" s="136" t="str">
        <f>lang!B328</f>
        <v>최소값</v>
      </c>
      <c r="D19" s="105">
        <f ca="1">info!M7</f>
        <v>41.414999999999999</v>
      </c>
      <c r="E19" s="94" t="str">
        <f>lang!B330</f>
        <v>평균값</v>
      </c>
      <c r="F19" s="971">
        <f ca="1">info!N9</f>
        <v>48.966043999999989</v>
      </c>
      <c r="G19" s="972"/>
      <c r="H19" s="912" t="str">
        <f>lang!B329</f>
        <v>최대값</v>
      </c>
      <c r="I19" s="913"/>
      <c r="J19" s="105">
        <f ca="1">info!M8</f>
        <v>54.649099999999997</v>
      </c>
      <c r="K19" s="137" t="str">
        <f>lang!B328</f>
        <v>최소값</v>
      </c>
      <c r="L19" s="105">
        <f ca="1">info!M5</f>
        <v>2.3597000000000001</v>
      </c>
      <c r="M19" s="94" t="str">
        <f>lang!B330</f>
        <v>평균값</v>
      </c>
      <c r="N19" s="971">
        <f ca="1">info!M9</f>
        <v>2.7681647999999996</v>
      </c>
      <c r="O19" s="972">
        <f>info!T9</f>
        <v>1</v>
      </c>
      <c r="P19" s="94" t="str">
        <f>lang!B329</f>
        <v>최대값</v>
      </c>
      <c r="Q19" s="105">
        <f ca="1">info!M6</f>
        <v>3.4266400000000004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18.165444034230276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1.3231250000000001</v>
      </c>
      <c r="N47" s="986"/>
      <c r="O47" s="451"/>
      <c r="P47" s="491" t="s">
        <v>1101</v>
      </c>
      <c r="Q47" s="987">
        <f>hist!M3</f>
        <v>0.36806299999999997</v>
      </c>
      <c r="R47" s="986"/>
      <c r="S47" s="451"/>
      <c r="T47" s="452"/>
    </row>
    <row r="48" spans="3:20" ht="18" customHeight="1">
      <c r="C48" s="931"/>
      <c r="D48" s="910"/>
      <c r="E48" s="910"/>
      <c r="F48" s="355"/>
      <c r="G48" s="355"/>
      <c r="H48" s="356"/>
      <c r="I48" s="356"/>
      <c r="J48" s="951"/>
      <c r="K48" s="951"/>
      <c r="L48" s="936"/>
      <c r="M48" s="988">
        <f>hist!N2</f>
        <v>0.492118</v>
      </c>
      <c r="N48" s="989"/>
      <c r="O48" s="451"/>
      <c r="P48" s="491" t="s">
        <v>1102</v>
      </c>
      <c r="Q48" s="986">
        <f>hist!N3</f>
        <v>0.241032</v>
      </c>
      <c r="R48" s="989"/>
      <c r="S48" s="451"/>
      <c r="T48" s="452"/>
    </row>
    <row r="49" spans="3:20" ht="22.5" customHeight="1" thickBot="1">
      <c r="C49" s="932"/>
      <c r="D49" s="934" t="str">
        <f>lang!B353</f>
        <v>저활력도 (0%)</v>
      </c>
      <c r="E49" s="934"/>
      <c r="F49" s="934"/>
      <c r="G49" s="934"/>
      <c r="H49" s="934"/>
      <c r="I49" s="934"/>
      <c r="J49" s="934"/>
      <c r="K49" s="934"/>
      <c r="L49" s="937"/>
      <c r="M49" s="990">
        <f>hist!O2</f>
        <v>0.24218000000000001</v>
      </c>
      <c r="N49" s="991"/>
      <c r="O49" s="453"/>
      <c r="P49" s="454" t="s">
        <v>1588</v>
      </c>
      <c r="Q49" s="992">
        <f>hist!O3</f>
        <v>5.8096000000000002E-2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vision^nFQ6^1^1^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2</v>
      </c>
      <c r="CH4" s="305">
        <f>IF(SUM($AY$7:$AY$13)&gt;0,HLOOKUP(2,$BV$6:$CE$8,3,FALSE),"")</f>
        <v>1</v>
      </c>
      <c r="CI4" t="s">
        <v>1570</v>
      </c>
      <c r="CJ4" s="426">
        <f>DK17*100</f>
        <v>63.09009598171528</v>
      </c>
      <c r="CK4" s="422">
        <f>info!W21</f>
        <v>20.920271389783579</v>
      </c>
      <c r="CL4">
        <f>100-M!B19*100</f>
        <v>34.602100000000007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45819.77140046296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8.0263299999999997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1</v>
      </c>
      <c r="BX6" s="220">
        <f t="shared" si="0"/>
        <v>3</v>
      </c>
      <c r="BY6" s="220">
        <f t="shared" si="0"/>
        <v>4</v>
      </c>
      <c r="BZ6" s="220">
        <f t="shared" si="0"/>
        <v>8</v>
      </c>
      <c r="CA6" s="220">
        <f t="shared" si="0"/>
        <v>7</v>
      </c>
      <c r="CB6" s="220">
        <f t="shared" si="0"/>
        <v>5</v>
      </c>
      <c r="CC6" s="220">
        <f t="shared" si="0"/>
        <v>6</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34.831800000000001</v>
      </c>
      <c r="O7" s="48">
        <f>M!C5*1</f>
        <v>3.30694</v>
      </c>
      <c r="P7" s="48">
        <f>M!D5*1</f>
        <v>9.4940200000000008</v>
      </c>
      <c r="Q7" s="48">
        <f>M!E5*1</f>
        <v>20</v>
      </c>
      <c r="R7" s="48">
        <f>IF(M!B5="","",M!F5*1)</f>
        <v>30.696000000000002</v>
      </c>
      <c r="S7" s="48">
        <f>M!G5*1</f>
        <v>50</v>
      </c>
      <c r="T7" s="48">
        <f>IF(M!B5="","",M!H5*1)</f>
        <v>41.437800000000003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-1.1331639617961626</v>
      </c>
      <c r="AI7" s="98">
        <v>2.5024862326905418E-2</v>
      </c>
      <c r="AJ7" s="98">
        <v>-7.7313821231156016E-2</v>
      </c>
      <c r="AK7" s="98">
        <v>0.50012525104428274</v>
      </c>
      <c r="AL7" s="98">
        <v>-8.545985269705475E-2</v>
      </c>
      <c r="AM7" s="98">
        <f>$AH7*AI7+$AH8*AI8+$AH9*AI9+$AH10*AI10+$AH11*AI11+$AH12*AI12+$AH13*AI13+$AH14*AI14+$AH15*AI15+$AH16*AI16</f>
        <v>0.3450953140101618</v>
      </c>
      <c r="AN7" s="98">
        <f t="shared" ref="AN7:AP7" si="2">$AH7*AJ7+$AH8*AJ8+$AH9*AJ9+$AH10*AJ10+$AH11*AJ11+$AH12*AJ12+$AH13*AJ13+$AH14*AJ14+$AH15*AJ15+$AH16*AJ16</f>
        <v>1.8683202172902158</v>
      </c>
      <c r="AO7" s="98">
        <f t="shared" si="2"/>
        <v>-0.55875587737544297</v>
      </c>
      <c r="AP7" s="98">
        <f t="shared" si="2"/>
        <v>0.85968579975858295</v>
      </c>
      <c r="AQ7" s="335">
        <f>IF(SUM(N7:N16)&gt;0, 0.8608*AM7+0.333*AN7+0.104*AO7+1.129*AP7,"")</f>
        <v>1.8316833353379833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34.831800000000001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325.13727553519993</v>
      </c>
      <c r="BL7" s="56">
        <f t="shared" ref="BL7:BT7" si="3">BB7*$AY7+BB8*$AY8+BB9*$AY9+BB10*$AY10+BB11*$AY11+BB12*$AY12+BB13*$AY13+BB14</f>
        <v>325.18908931920004</v>
      </c>
      <c r="BM7" s="56">
        <f t="shared" si="3"/>
        <v>322.75084751520001</v>
      </c>
      <c r="BN7" s="56">
        <f t="shared" si="3"/>
        <v>322.55488265260004</v>
      </c>
      <c r="BO7" s="56">
        <f t="shared" si="3"/>
        <v>314.39424081880009</v>
      </c>
      <c r="BP7" s="56">
        <f t="shared" si="3"/>
        <v>317.17049944399992</v>
      </c>
      <c r="BQ7" s="56">
        <f t="shared" si="3"/>
        <v>321.77839157760002</v>
      </c>
      <c r="BR7" s="56">
        <f t="shared" si="3"/>
        <v>317.64753625020001</v>
      </c>
      <c r="BS7" s="56">
        <f t="shared" si="3"/>
        <v>313.19572441180009</v>
      </c>
      <c r="BT7" s="56">
        <f t="shared" si="3"/>
        <v>305.43039093140004</v>
      </c>
      <c r="BU7" s="56">
        <f>EXP(BK7)+EXP(BL7)+EXP(BM7)+EXP(BN7)+EXP(BO7)+EXP(BP7)+EXP(BQ7)+EXP(BR7)+EXP(BS7)+EXP(BT7)</f>
        <v>3.620328640996529E+141</v>
      </c>
      <c r="BV7" s="56">
        <f>IF(SUM($AY$7:$AY$13)&gt;0,EXP(BK7)/$BU$7,"")</f>
        <v>0.44317640468931663</v>
      </c>
      <c r="BW7" s="56">
        <f t="shared" ref="BW7:CE7" si="4">IF(SUM($AY$7:$AY$13)&gt;0,EXP(BL7)/$BU$7,"")</f>
        <v>0.46674435099498673</v>
      </c>
      <c r="BX7" s="56">
        <f t="shared" si="4"/>
        <v>4.0753424603238636E-2</v>
      </c>
      <c r="BY7" s="56">
        <f t="shared" si="4"/>
        <v>3.3500990745930062E-2</v>
      </c>
      <c r="BZ7" s="56">
        <f t="shared" si="4"/>
        <v>9.57052878214707E-6</v>
      </c>
      <c r="CA7" s="56">
        <f t="shared" si="4"/>
        <v>1.5369145954889288E-4</v>
      </c>
      <c r="CB7" s="56">
        <f t="shared" si="4"/>
        <v>1.5411036951705042E-2</v>
      </c>
      <c r="CC7" s="56">
        <f t="shared" si="4"/>
        <v>2.4764193428153175E-4</v>
      </c>
      <c r="CD7" s="56">
        <f t="shared" si="4"/>
        <v>2.886867635240589E-6</v>
      </c>
      <c r="CE7" s="56">
        <f t="shared" si="4"/>
        <v>1.2245750056812334E-9</v>
      </c>
      <c r="CF7" s="418" t="s">
        <v>1870</v>
      </c>
      <c r="CG7" s="221">
        <f>IF(SUM($AY$7:$AY$13)&gt;0,HLOOKUP(1,$BV$6:$CE$7,2,FALSE),"")</f>
        <v>0.46674435099498673</v>
      </c>
      <c r="CH7" s="221">
        <f>IF(SUM($AY$7:$AY$13)&gt;0,HLOOKUP(2,$BV$6:$CE$7,2,FALSE),"")</f>
        <v>0.44317640468931663</v>
      </c>
      <c r="CI7" s="425" t="str">
        <f>"( "&amp;IF(CG7&lt;&gt;"",ROUND(CG7*100,0),"")&amp;" , "&amp;IF(CH7&lt;&gt;"",ROUND(CH7*100,0),"")&amp;" )"</f>
        <v>( 47 , 44 )</v>
      </c>
      <c r="CJ7" s="420">
        <f>CG7</f>
        <v>0.46674435099498673</v>
      </c>
      <c r="CK7" s="420">
        <f>CH7</f>
        <v>0.44317640468931663</v>
      </c>
      <c r="CL7" s="425" t="str">
        <f>CI7</f>
        <v>( 47 , 44 )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34.831800000000001</v>
      </c>
      <c r="DJ7" s="265">
        <f>(DI7-$DB7)/$DC7</f>
        <v>-0.22009856575405026</v>
      </c>
      <c r="DK7" s="266">
        <f>IF(DH7=1,(DJ7-DF7)^2,0)</f>
        <v>1.867246702936342</v>
      </c>
      <c r="DL7" s="267">
        <f>IF(DH7=1,(DJ7-DG7)^2,0)</f>
        <v>5.073448846446027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25.743400000000001</v>
      </c>
      <c r="O8" s="48">
        <f>M!C6*1</f>
        <v>0.84301800000000005</v>
      </c>
      <c r="P8" s="48">
        <f>M!D6*1</f>
        <v>3.2747000000000002</v>
      </c>
      <c r="Q8" s="48">
        <f>M!E6*1</f>
        <v>20</v>
      </c>
      <c r="R8" s="48">
        <f>IF(M!B6="","",M!F6*1)</f>
        <v>23.333600000000001</v>
      </c>
      <c r="S8" s="48">
        <f>M!G6*1</f>
        <v>40</v>
      </c>
      <c r="T8" s="48">
        <f>IF(M!B6="","",M!H6*1)</f>
        <v>28.023199999999999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-0.82124406835129338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25.743400000000001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1</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25.743400000000001</v>
      </c>
      <c r="DJ8" s="265">
        <f t="shared" ref="DJ8:DJ14" si="8">(DI8-$DB8)/$DC8</f>
        <v>-0.87576347776306995</v>
      </c>
      <c r="DK8" s="273">
        <f t="shared" ref="DK8:DK14" si="9">IF(DH8=1,(DJ8-DF8)^2,0)</f>
        <v>0.36829861796607571</v>
      </c>
      <c r="DL8" s="274">
        <f t="shared" ref="DL8:DL14" si="10">IF(DH8=1,(DJ8-DG8)^2,0)</f>
        <v>1.316216214320248</v>
      </c>
    </row>
    <row r="9" spans="2:119" s="5" customFormat="1" ht="24.75" customHeight="1" thickBot="1">
      <c r="B9" s="62" t="str">
        <f>CONCATENATE(M7,"
(20 ~ 50)")</f>
        <v>적극/공격성
(20 ~ 50)</v>
      </c>
      <c r="C9" s="63">
        <f>R7</f>
        <v>30.696000000000002</v>
      </c>
      <c r="D9" s="64">
        <f>N7</f>
        <v>34.831800000000001</v>
      </c>
      <c r="E9" s="65">
        <f>T7</f>
        <v>41.437800000000003</v>
      </c>
      <c r="F9" s="65">
        <f>P7</f>
        <v>9.4940200000000008</v>
      </c>
      <c r="G9" s="66" t="str">
        <f>CONCATENATE(M8,"
(20 ~ 40)")</f>
        <v>스트레스
(20 ~ 40)</v>
      </c>
      <c r="H9" s="63">
        <f>R8</f>
        <v>23.333600000000001</v>
      </c>
      <c r="I9" s="67">
        <f>N8</f>
        <v>25.743400000000001</v>
      </c>
      <c r="J9" s="63">
        <f>T8</f>
        <v>28.023199999999999</v>
      </c>
      <c r="K9" s="68">
        <f>P8</f>
        <v>3.2747000000000002</v>
      </c>
      <c r="L9" s="1">
        <f>IF(M!B7="","",IF(N9&lt;U9,1,IF(N9&lt;V9,2,IF(N9&lt;W9,3,IF(N9&lt;X9,4,5)))))</f>
        <v>4</v>
      </c>
      <c r="M9" s="162" t="str">
        <f>lang!B16</f>
        <v>불안</v>
      </c>
      <c r="N9" s="48">
        <f>IF(M!B7="","",M!B7*1)</f>
        <v>35.123800000000003</v>
      </c>
      <c r="O9" s="48">
        <f>M!C7*1</f>
        <v>1.6735899999999999</v>
      </c>
      <c r="P9" s="48">
        <f>M!D7*1</f>
        <v>4.76485</v>
      </c>
      <c r="Q9" s="48">
        <f>M!E7*1</f>
        <v>15</v>
      </c>
      <c r="R9" s="48">
        <f>IF(M!B7="","",M!F7*1)</f>
        <v>25.253</v>
      </c>
      <c r="S9" s="48">
        <f>M!G7*1</f>
        <v>40</v>
      </c>
      <c r="T9" s="48">
        <f>IF(M!B7="","",M!H7*1)</f>
        <v>41.757199999999997</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1.8660846423598125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35.123800000000003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35.123800000000003</v>
      </c>
      <c r="DJ9" s="265">
        <f t="shared" si="8"/>
        <v>0.87745285406702744</v>
      </c>
      <c r="DK9" s="273">
        <f t="shared" si="9"/>
        <v>4.3917002862235055</v>
      </c>
      <c r="DL9" s="274">
        <f t="shared" si="10"/>
        <v>0.51720290672139657</v>
      </c>
      <c r="DM9"/>
      <c r="DN9"/>
    </row>
    <row r="10" spans="2:119" s="4" customFormat="1" ht="30.3" thickBot="1">
      <c r="B10" s="57" t="str">
        <f>CONCATENATE(M9,"
(15 ~ 40)")</f>
        <v>불안
(15 ~ 40)</v>
      </c>
      <c r="C10" s="17">
        <f>R9</f>
        <v>25.253</v>
      </c>
      <c r="D10" s="41">
        <f>N9</f>
        <v>35.123800000000003</v>
      </c>
      <c r="E10" s="43">
        <f>T9</f>
        <v>41.757199999999997</v>
      </c>
      <c r="F10" s="43">
        <f>P9</f>
        <v>4.76485</v>
      </c>
      <c r="G10" s="59" t="str">
        <f>CONCATENATE(M10,"
(20 ~ 50)")</f>
        <v>의심
(20 ~ 50)</v>
      </c>
      <c r="H10" s="17">
        <f>R10</f>
        <v>30.9482</v>
      </c>
      <c r="I10" s="42">
        <f>N10</f>
        <v>32.863900000000001</v>
      </c>
      <c r="J10" s="17">
        <f>T10</f>
        <v>33.414400000000001</v>
      </c>
      <c r="K10" s="18">
        <f>P10</f>
        <v>2.2037499999999999</v>
      </c>
      <c r="L10" s="1">
        <f>IF(M!B8="","",IF(N10&lt;U10,1,IF(N10&lt;V10,2,IF(N10&lt;W10,3,IF(N10&lt;X10,4,5)))))</f>
        <v>3</v>
      </c>
      <c r="M10" s="162" t="str">
        <f>lang!B17</f>
        <v>의심</v>
      </c>
      <c r="N10" s="48">
        <f>IF(M!B8="","",M!B8*1)</f>
        <v>32.863900000000001</v>
      </c>
      <c r="O10" s="48">
        <f>M!C8*1</f>
        <v>0.72423800000000005</v>
      </c>
      <c r="P10" s="48">
        <f>M!D8*1</f>
        <v>2.2037499999999999</v>
      </c>
      <c r="Q10" s="48">
        <f>M!E8*1</f>
        <v>20</v>
      </c>
      <c r="R10" s="48">
        <f>IF(M!B8="","",M!F8*1)</f>
        <v>30.9482</v>
      </c>
      <c r="S10" s="48">
        <f>M!G8*1</f>
        <v>50</v>
      </c>
      <c r="T10" s="48">
        <f>IF(M!B8="","",M!H8*1)</f>
        <v>33.414400000000001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0.89166751083492635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73.835300000000004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최상의 상태</v>
      </c>
      <c r="CI10" s="363"/>
      <c r="CJ10" s="516" t="str">
        <f>IF(CJ8&lt;&gt;"",HLOOKUP(CJ8,$CN$8:$CY$12,3,FALSE),"")</f>
        <v>균형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73.835300000000004</v>
      </c>
      <c r="DJ10" s="265">
        <f t="shared" si="8"/>
        <v>0.88336792401240583</v>
      </c>
      <c r="DK10" s="273">
        <f t="shared" si="9"/>
        <v>1.3015195363890031</v>
      </c>
      <c r="DL10" s="274">
        <f t="shared" si="10"/>
        <v>5.9907487623416866</v>
      </c>
      <c r="DM10"/>
      <c r="DN10"/>
    </row>
    <row r="11" spans="2:119" s="4" customFormat="1" ht="24.75" customHeight="1" thickBot="1">
      <c r="B11" s="57" t="str">
        <f>CONCATENATE(M11,"
(50 ~ 100)")</f>
        <v>밸런스
(50 ~ 100)</v>
      </c>
      <c r="C11" s="17">
        <f>R11</f>
        <v>68.428899999999999</v>
      </c>
      <c r="D11" s="42">
        <f>N11</f>
        <v>73.835300000000004</v>
      </c>
      <c r="E11" s="17">
        <f>T11</f>
        <v>76.4285</v>
      </c>
      <c r="F11" s="17">
        <f>P11</f>
        <v>2.67807</v>
      </c>
      <c r="G11" s="59" t="str">
        <f>CONCATENATE(M12,"
(40 ~ 100)")</f>
        <v>카리스마
(40 ~ 100)</v>
      </c>
      <c r="H11" s="17">
        <f>R12</f>
        <v>79.599699999999999</v>
      </c>
      <c r="I11" s="42">
        <f>N12</f>
        <v>80.698899999999995</v>
      </c>
      <c r="J11" s="17">
        <f>T12</f>
        <v>81.763300000000001</v>
      </c>
      <c r="K11" s="18">
        <f>P12</f>
        <v>0.81023900000000004</v>
      </c>
      <c r="L11" s="1">
        <f>IF(M!B9="","",IF(N11&lt;U11,1,IF(N11&lt;V11,2,IF(N11&lt;W11,3,IF(N11&lt;X11,4,5)))))</f>
        <v>4</v>
      </c>
      <c r="M11" s="162" t="str">
        <f>lang!B18</f>
        <v>밸런스</v>
      </c>
      <c r="N11" s="48">
        <f>IF(M!B9="","",M!B9*1)</f>
        <v>73.835300000000004</v>
      </c>
      <c r="O11" s="48">
        <f>M!C9*1</f>
        <v>1.97736</v>
      </c>
      <c r="P11" s="48">
        <f>M!D9*1</f>
        <v>2.67807</v>
      </c>
      <c r="Q11" s="48">
        <f>M!E9*1</f>
        <v>50</v>
      </c>
      <c r="R11" s="48">
        <f>IF(M!B9="","",M!F9*1)</f>
        <v>68.428899999999999</v>
      </c>
      <c r="S11" s="48">
        <f>M!G9*1</f>
        <v>100</v>
      </c>
      <c r="T11" s="48">
        <f>IF(M!B9="","",M!H9*1)</f>
        <v>76.4285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0.6579604547991893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80.698899999999995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최상의 상태입니다.</v>
      </c>
      <c r="CI11" s="364" t="s">
        <v>1566</v>
      </c>
      <c r="CJ11" s="516" t="str">
        <f>IF(CJ8&lt;&gt;"",HLOOKUP(CJ8,$CN$8:$CY$12,4,FALSE),"")</f>
        <v>균형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80.698899999999995</v>
      </c>
      <c r="DJ11" s="265">
        <f t="shared" si="8"/>
        <v>1.0260130760834245</v>
      </c>
      <c r="DK11" s="273">
        <f t="shared" si="9"/>
        <v>2.4310842999479066E-4</v>
      </c>
      <c r="DL11" s="274">
        <f t="shared" si="10"/>
        <v>1.9666826679931397</v>
      </c>
      <c r="DM11"/>
      <c r="DN11"/>
    </row>
    <row r="12" spans="2:119" s="4" customFormat="1" ht="24.75" customHeight="1" thickBot="1">
      <c r="B12" s="57" t="str">
        <f>CONCATENATE(M13,"
(10 ~ 50)")</f>
        <v>에너지
(10 ~ 50)</v>
      </c>
      <c r="C12" s="17">
        <f>R13</f>
        <v>14.2041</v>
      </c>
      <c r="D12" s="41">
        <f>N13</f>
        <v>17.912099999999999</v>
      </c>
      <c r="E12" s="43">
        <f>T13</f>
        <v>24.2989</v>
      </c>
      <c r="F12" s="43">
        <f>P13</f>
        <v>16.918099999999999</v>
      </c>
      <c r="G12" s="59" t="str">
        <f>CONCATENATE(M14,"
(50 ~ 100)")</f>
        <v>자기조절
(50 ~ 100)</v>
      </c>
      <c r="H12" s="17">
        <f>R14</f>
        <v>75.096100000000007</v>
      </c>
      <c r="I12" s="42">
        <f>N14</f>
        <v>76.976200000000006</v>
      </c>
      <c r="J12" s="17">
        <f>T14</f>
        <v>78.551500000000004</v>
      </c>
      <c r="K12" s="18">
        <f>P14</f>
        <v>1.05382</v>
      </c>
      <c r="L12" s="1">
        <f>IF(M!B10="","",IF(N12&lt;U12,1,IF(N12&lt;V12,2,IF(N12&lt;W12,3,IF(N12&lt;X12,4,5)))))</f>
        <v>5</v>
      </c>
      <c r="M12" s="162" t="str">
        <f>lang!B19</f>
        <v>카리스마</v>
      </c>
      <c r="N12" s="48">
        <f>IF(M!B10="","",M!B10*1)</f>
        <v>80.698899999999995</v>
      </c>
      <c r="O12" s="48">
        <f>M!C10*1</f>
        <v>0.65385400000000005</v>
      </c>
      <c r="P12" s="48">
        <f>M!D10*1</f>
        <v>0.81023900000000004</v>
      </c>
      <c r="Q12" s="48">
        <f>M!E10*1</f>
        <v>40</v>
      </c>
      <c r="R12" s="48">
        <f>IF(M!B10="","",M!F10*1)</f>
        <v>79.599699999999999</v>
      </c>
      <c r="S12" s="48">
        <f>M!G10*1</f>
        <v>100</v>
      </c>
      <c r="T12" s="48">
        <f>IF(M!B10="","",M!H10*1)</f>
        <v>81.763300000000001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1.1413834866983135</v>
      </c>
      <c r="AI12" s="98">
        <v>0.31913434649697919</v>
      </c>
      <c r="AJ12" s="98">
        <v>3.8587997439955973E-2</v>
      </c>
      <c r="AK12" s="98">
        <v>1.0272327081707585E-2</v>
      </c>
      <c r="AL12" s="98">
        <v>1.9404033844491575E-2</v>
      </c>
      <c r="AM12" s="101"/>
      <c r="AN12" s="101"/>
      <c r="AO12" s="101"/>
      <c r="AP12" s="101"/>
      <c r="AX12" s="171"/>
      <c r="AY12" s="219">
        <f>N13</f>
        <v>17.912099999999999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17.912099999999999</v>
      </c>
      <c r="DJ12" s="265">
        <f t="shared" si="8"/>
        <v>-8.2695071145813485E-3</v>
      </c>
      <c r="DK12" s="273">
        <f t="shared" si="9"/>
        <v>3.595068822708849</v>
      </c>
      <c r="DL12" s="274">
        <f t="shared" si="10"/>
        <v>0.12225550135234634</v>
      </c>
      <c r="DM12"/>
      <c r="DN12"/>
    </row>
    <row r="13" spans="2:119" ht="24.75" customHeight="1" thickBot="1">
      <c r="B13" s="58" t="str">
        <f>CONCATENATE(M15,"
(10 ~ 25)")</f>
        <v>억제
(10 ~ 25)</v>
      </c>
      <c r="C13" s="44">
        <f>R15</f>
        <v>16.1266</v>
      </c>
      <c r="D13" s="45">
        <f>N15</f>
        <v>19.178100000000001</v>
      </c>
      <c r="E13" s="46">
        <f>T15</f>
        <v>23.642800000000001</v>
      </c>
      <c r="F13" s="46">
        <f>P15</f>
        <v>12.0947</v>
      </c>
      <c r="G13" s="60" t="str">
        <f>CONCATENATE(M16,"
(10 ~ 50)")</f>
        <v>신경성
(10 ~ 50)</v>
      </c>
      <c r="H13" s="44">
        <f>R16</f>
        <v>1.48817</v>
      </c>
      <c r="I13" s="45">
        <f>N16</f>
        <v>23.195399999999999</v>
      </c>
      <c r="J13" s="46">
        <f>T16</f>
        <v>23.523399999999999</v>
      </c>
      <c r="K13" s="47">
        <f>P16</f>
        <v>26.971</v>
      </c>
      <c r="L13" s="1">
        <f>IF(M!B11="","",IF(N13&lt;U13,1,IF(N13&lt;V13,2,IF(N13&lt;W13,3,IF(N13&lt;X13,4,5)))))</f>
        <v>2</v>
      </c>
      <c r="M13" s="162" t="str">
        <f>lang!B20</f>
        <v>에너지</v>
      </c>
      <c r="N13" s="48">
        <f>IF(M!B11="","",M!B11*1)</f>
        <v>17.912099999999999</v>
      </c>
      <c r="O13" s="48">
        <f>M!C11*1</f>
        <v>3.0303900000000001</v>
      </c>
      <c r="P13" s="48">
        <f>M!D11*1</f>
        <v>16.918099999999999</v>
      </c>
      <c r="Q13" s="48">
        <f>M!E11*1</f>
        <v>10</v>
      </c>
      <c r="R13" s="48">
        <f>IF(M!B11="","",M!F11*1)</f>
        <v>14.2041</v>
      </c>
      <c r="S13" s="48">
        <f>M!G11*1</f>
        <v>50</v>
      </c>
      <c r="T13" s="48">
        <f>IF(M!B11="","",M!H11*1)</f>
        <v>24.2989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-1.7522082467810536</v>
      </c>
      <c r="AI13" s="98">
        <v>0.16093442074971984</v>
      </c>
      <c r="AJ13" s="98">
        <v>-1.0988594420247608E-2</v>
      </c>
      <c r="AK13" s="98">
        <v>0.37151940745754808</v>
      </c>
      <c r="AL13" s="98">
        <v>8.9062029657998948E-2</v>
      </c>
      <c r="AM13" s="96"/>
      <c r="AN13" s="96"/>
      <c r="AO13" s="96"/>
      <c r="AP13" s="96"/>
      <c r="AX13" s="171"/>
      <c r="AY13" s="219">
        <f>info!W36</f>
        <v>57.10347999999999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23.195399999999999</v>
      </c>
      <c r="DJ13" s="265">
        <f t="shared" si="8"/>
        <v>-0.53331468870063659</v>
      </c>
      <c r="DK13" s="273">
        <f>IF(DH13=1,(DJ13-DF13)^2,0)</f>
        <v>0.94701863222041038</v>
      </c>
      <c r="DL13" s="274">
        <f t="shared" si="10"/>
        <v>2.7355663859434623E-2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76.976200000000006</v>
      </c>
      <c r="O14" s="48">
        <f>M!C12*1</f>
        <v>0.81118800000000002</v>
      </c>
      <c r="P14" s="48">
        <f>M!D12*1</f>
        <v>1.05382</v>
      </c>
      <c r="Q14" s="48">
        <f>M!E12*1</f>
        <v>50</v>
      </c>
      <c r="R14" s="48">
        <f>IF(M!B12="","",M!F12*1)</f>
        <v>75.096100000000007</v>
      </c>
      <c r="S14" s="48">
        <f>M!G12*1</f>
        <v>100</v>
      </c>
      <c r="T14" s="48">
        <f>IF(M!B12="","",M!H12*1)</f>
        <v>78.551500000000004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1.3005031642803182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61.207599999999992</v>
      </c>
      <c r="DJ14" s="265">
        <f t="shared" si="8"/>
        <v>0.4673089059607215</v>
      </c>
      <c r="DK14" s="279">
        <f t="shared" si="9"/>
        <v>0.28833405499709513</v>
      </c>
      <c r="DL14" s="280">
        <f t="shared" si="10"/>
        <v>6.7957817068136519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19.178100000000001</v>
      </c>
      <c r="O15" s="48">
        <f>M!C13*1</f>
        <v>2.3195399999999999</v>
      </c>
      <c r="P15" s="48">
        <f>M!D13*1</f>
        <v>12.0947</v>
      </c>
      <c r="Q15" s="48">
        <f>M!E13*1</f>
        <v>10</v>
      </c>
      <c r="R15" s="48">
        <f>IF(M!B13="","",M!F13*1)</f>
        <v>16.1266</v>
      </c>
      <c r="S15" s="48">
        <f>M!G13*1</f>
        <v>25</v>
      </c>
      <c r="T15" s="48">
        <f>IF(M!B13="","",M!H13*1)</f>
        <v>23.642800000000001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-0.22602107108752426</v>
      </c>
      <c r="AI15" s="98">
        <v>-8.3250321124619289E-2</v>
      </c>
      <c r="AJ15" s="98">
        <v>-0.44690513063775733</v>
      </c>
      <c r="AK15" s="98">
        <v>0.12052818186953573</v>
      </c>
      <c r="AL15" s="98">
        <v>-2.4174505446491225E-2</v>
      </c>
      <c r="AM15" s="96"/>
      <c r="AN15" s="96"/>
      <c r="AO15" s="96"/>
      <c r="AP15" s="96"/>
      <c r="AX15" s="171"/>
      <c r="AY15" s="50">
        <f>SUM(AY7:AY14)</f>
        <v>325.24878000000001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12.759429761871278</v>
      </c>
      <c r="DL15" s="281">
        <f>IF(SUM($DI$7:$DI$14)&gt;0,SUM(DL7:DL14),0)</f>
        <v>21.809692269847933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23.195399999999999</v>
      </c>
      <c r="O16" s="48">
        <f>M!C14*1</f>
        <v>6.25603</v>
      </c>
      <c r="P16" s="48">
        <f>M!D14*1</f>
        <v>26.971</v>
      </c>
      <c r="Q16" s="48">
        <f>M!E14*1</f>
        <v>10</v>
      </c>
      <c r="R16" s="48">
        <f>IF(M!B14="","",M!F14*1)</f>
        <v>1.48817</v>
      </c>
      <c r="S16" s="48">
        <f>M!G14*1</f>
        <v>50</v>
      </c>
      <c r="T16" s="48">
        <f>IF(M!B14="","",M!H14*1)</f>
        <v>23.523399999999999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-1.8578506380639705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7.8373408425216451E-2</v>
      </c>
      <c r="DL16" s="281">
        <f>IF(DL15&gt;0,1/DL15,0)</f>
        <v>4.5851174222320767E-2</v>
      </c>
      <c r="DM16" t="s">
        <v>1207</v>
      </c>
    </row>
    <row r="17" spans="2:117" ht="21" customHeight="1" thickBot="1">
      <c r="B17" s="20"/>
      <c r="C17"/>
      <c r="D17"/>
      <c r="E17"/>
      <c r="F17"/>
      <c r="G17" s="1071"/>
      <c r="H17" s="827"/>
      <c r="I17" s="827"/>
      <c r="J17" s="827"/>
      <c r="K17" s="828"/>
      <c r="M17" s="163" t="str">
        <f>lang!B7</f>
        <v>긍정감정</v>
      </c>
      <c r="N17" s="54">
        <f>SUM(N11:N14)/4</f>
        <v>62.355625000000003</v>
      </c>
      <c r="O17" s="16">
        <f>N17/(N17+N18+N19)</f>
        <v>0.5390210411028058</v>
      </c>
      <c r="P17" s="54">
        <f>SUM(P11:P14)/4</f>
        <v>5.3650572499999996</v>
      </c>
      <c r="Q17" s="16">
        <f>P17/(P17+P18+P19)</f>
        <v>0.17984092862495588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0.63090095981715277</v>
      </c>
      <c r="DL17" s="283"/>
      <c r="DM17" s="284" t="s">
        <v>1208</v>
      </c>
    </row>
    <row r="18" spans="2:117" ht="21" customHeight="1">
      <c r="B18" s="20"/>
      <c r="C18"/>
      <c r="D18"/>
      <c r="E18"/>
      <c r="F18"/>
      <c r="G18" s="1071"/>
      <c r="H18" s="827"/>
      <c r="I18" s="827"/>
      <c r="J18" s="827"/>
      <c r="K18" s="828"/>
      <c r="M18" s="163" t="str">
        <f>lang!B8</f>
        <v>부정감정</v>
      </c>
      <c r="N18" s="14">
        <f>SUM(N7:N10)/4</f>
        <v>32.140725000000003</v>
      </c>
      <c r="O18" s="16">
        <f>N18/(N17+N18+N19)</f>
        <v>0.27783422989183382</v>
      </c>
      <c r="P18" s="14">
        <f>SUM(P7:P10)/4</f>
        <v>4.9343300000000001</v>
      </c>
      <c r="Q18" s="16">
        <f>P18/(P17+P18+P19)</f>
        <v>0.16540261324182115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21.18675</v>
      </c>
      <c r="O19" s="16">
        <f>N19/(N17+N18+N19)</f>
        <v>0.18314472900536033</v>
      </c>
      <c r="P19" s="14">
        <f>(P15+P16)/2</f>
        <v>19.53285</v>
      </c>
      <c r="Q19" s="16">
        <f>P19/(P17+P18+P19)</f>
        <v>0.65475645813322303</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1.3231200000000001</v>
      </c>
      <c r="D24" s="34" t="str">
        <f>lang!B11</f>
        <v>편차</v>
      </c>
      <c r="E24" s="1077">
        <f>FH_info!G2*1</f>
        <v>0.492118</v>
      </c>
      <c r="F24" s="1078"/>
      <c r="G24" s="1075" t="str">
        <f>lang!B12</f>
        <v>정보(I)변화량</v>
      </c>
      <c r="H24" s="1076"/>
      <c r="I24" s="51" t="str">
        <f ca="1">CONCATENATE(info!N7,"-",info!N8)</f>
        <v>41.4-54.6</v>
      </c>
      <c r="J24" s="32" t="str">
        <f>lang!B13</f>
        <v>Kcal/분</v>
      </c>
      <c r="K24" s="31" t="str">
        <f ca="1">CONCATENATE(info!N5,"-",info!N6)</f>
        <v>2.4-3.4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61.207599999999992</v>
      </c>
      <c r="F27" s="1043"/>
      <c r="G27" s="1055" t="str">
        <f>lang!B33</f>
        <v>정서안정성</v>
      </c>
      <c r="H27" s="1056"/>
      <c r="I27" s="1057"/>
      <c r="J27" s="993">
        <f>M!B19*100</f>
        <v>65.397899999999993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3.4266400000000004</v>
      </c>
      <c r="H2" s="50">
        <f>IF(FT!B2&lt;&gt;"",FT!B2*100,"")</f>
        <v>41.719699999999996</v>
      </c>
      <c r="I2" s="50">
        <f>(IF(G2&lt;&gt;"",1,""))</f>
        <v>1</v>
      </c>
      <c r="J2" t="str">
        <f>IF(FT!B2&lt;&gt;"",FT!E2,"")</f>
        <v>0 [0.000000]</v>
      </c>
      <c r="K2">
        <f>IF(FT!B2&lt;&gt;"",IF(FT!C2&lt;&gt;"",FT!C2,F2/$M$3*$M$4),"")</f>
        <v>0</v>
      </c>
      <c r="L2" t="s">
        <v>52</v>
      </c>
      <c r="M2">
        <f>FH_info!E2</f>
        <v>4.9668900000000002</v>
      </c>
      <c r="N2" s="75">
        <f>LOOKUP(O3,A2:A1000,B2:B1000)</f>
        <v>1.421894</v>
      </c>
      <c r="O2" s="50">
        <f>MAX(C2:C1000)</f>
        <v>1</v>
      </c>
      <c r="P2" t="s">
        <v>60</v>
      </c>
      <c r="Q2" t="s">
        <v>61</v>
      </c>
      <c r="R2" t="s">
        <v>62</v>
      </c>
      <c r="S2" t="s">
        <v>63</v>
      </c>
      <c r="T2" t="s">
        <v>64</v>
      </c>
      <c r="V2" s="50">
        <f>FT!G2*10</f>
        <v>3.3776000000000002</v>
      </c>
      <c r="W2" s="50">
        <f>FT!H2*100</f>
        <v>41.414999999999999</v>
      </c>
      <c r="Y2">
        <f>IF(I2=1,H2/G2,"")</f>
        <v>12.175104475521207</v>
      </c>
      <c r="Z2">
        <f>AVERAGE(Y2:Y2000)</f>
        <v>18.165444034230276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3.3776000000000002</v>
      </c>
      <c r="H3" s="50">
        <f>IF(FT!B3&lt;&gt;"",FT!B3*100,"")</f>
        <v>41.414999999999999</v>
      </c>
      <c r="I3" s="50">
        <f t="shared" ref="I3:I66" si="2">(IF(G3&lt;&gt;"",1,""))</f>
        <v>1</v>
      </c>
      <c r="J3" t="str">
        <f>IF(FT!B3&lt;&gt;"",FT!E3,"")</f>
        <v>0 [0.369648]</v>
      </c>
      <c r="K3">
        <f>IF(FT!B3&lt;&gt;"",IF(FT!C3&lt;&gt;"",FT!C3,F3/$M$3*$M$4),"")</f>
        <v>0.36964799999999998</v>
      </c>
      <c r="L3" t="s">
        <v>53</v>
      </c>
      <c r="M3">
        <f>SUM(I2:I2005)</f>
        <v>25</v>
      </c>
      <c r="O3" s="104">
        <f>MATCH(O2,C2:C1000,0)-1</f>
        <v>73</v>
      </c>
      <c r="P3">
        <v>0</v>
      </c>
      <c r="Q3">
        <v>0</v>
      </c>
      <c r="R3">
        <f>IF(S4=0,M3,0)</f>
        <v>25</v>
      </c>
      <c r="S3">
        <f t="array" ref="S3">MAX(IF(ft_nq=0,row_n))</f>
        <v>1998</v>
      </c>
      <c r="T3">
        <f>R3-Q3</f>
        <v>25</v>
      </c>
      <c r="V3" s="50">
        <f>FT!G3*10</f>
        <v>2.3915000000000002</v>
      </c>
      <c r="W3" s="50">
        <f>FT!H3*100</f>
        <v>54.385399999999997</v>
      </c>
      <c r="Y3" s="75">
        <f t="shared" ref="Y3:Y66" si="3">IF(I3=1,H3/G3,"")</f>
        <v>12.261665087636191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3.3167999999999997</v>
      </c>
      <c r="H4" s="50">
        <f>IF(FT!B4&lt;&gt;"",FT!B4*100,"")</f>
        <v>41.589100000000002</v>
      </c>
      <c r="I4" s="50">
        <f t="shared" si="2"/>
        <v>1</v>
      </c>
      <c r="J4" t="str">
        <f>IF(FT!B4&lt;&gt;"",FT!E4,"")</f>
        <v>0 [0.789065]</v>
      </c>
      <c r="K4">
        <f>IF(FT!B4&lt;&gt;"",IF(FT!C4&lt;&gt;"",FT!C4,F4/$M$3*$M$4),"")</f>
        <v>0.78906500000000002</v>
      </c>
      <c r="L4" t="s">
        <v>246</v>
      </c>
      <c r="M4">
        <f>IF(M2&lt;&gt;0,M3/M2*2,0)</f>
        <v>10.066661432002721</v>
      </c>
      <c r="P4">
        <f>P3+1</f>
        <v>1</v>
      </c>
      <c r="Q4">
        <v>0</v>
      </c>
      <c r="R4">
        <f>IF(S4=1998,0,S4)</f>
        <v>0</v>
      </c>
      <c r="S4">
        <f t="array" ref="S4">MAX(IF(ft_nq=P4,row_n))</f>
        <v>0</v>
      </c>
      <c r="T4">
        <f>R4-Q4+1</f>
        <v>1</v>
      </c>
      <c r="V4" t="s">
        <v>209</v>
      </c>
      <c r="W4" s="23">
        <f>IF(ISERROR(V3-V2)=FALSE,(V3-V2)*10,0)</f>
        <v>-9.8610000000000007</v>
      </c>
      <c r="Y4" s="75">
        <f t="shared" si="3"/>
        <v>12.538923058369514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1.3759668607678658E-4</v>
      </c>
      <c r="E5" s="50">
        <f t="shared" si="1"/>
        <v>2.2813776089770628E-5</v>
      </c>
      <c r="F5">
        <f t="shared" si="6"/>
        <v>3</v>
      </c>
      <c r="G5" s="50">
        <f>IF(FT!A5&lt;&gt;"",FT!A5*10,"")</f>
        <v>3.2490599999999996</v>
      </c>
      <c r="H5" s="50">
        <f>IF(FT!B5&lt;&gt;"",FT!B5*100,"")</f>
        <v>42.079699999999995</v>
      </c>
      <c r="I5" s="50">
        <f t="shared" si="2"/>
        <v>1</v>
      </c>
      <c r="J5" t="str">
        <f>IF(FT!B5&lt;&gt;"",FT!E5,"")</f>
        <v>0 [1.186807]</v>
      </c>
      <c r="K5">
        <f>IF(FT!B5&lt;&gt;"",IF(FT!C5&lt;&gt;"",FT!C5,F5/$M$3*$M$4),"")</f>
        <v>1.1868099999999999</v>
      </c>
      <c r="L5" t="s">
        <v>54</v>
      </c>
      <c r="M5" s="52">
        <f ca="1">IF(M3&gt;0,MIN(FT_E),0)</f>
        <v>2.3597000000000001</v>
      </c>
      <c r="N5" s="52">
        <f ca="1">IF(M3&gt;0,ROUND(M5,1),0)</f>
        <v>2.4</v>
      </c>
      <c r="P5">
        <f t="shared" ref="P5:P27" si="10">P4+1</f>
        <v>2</v>
      </c>
      <c r="Q5">
        <f>IF(S5=1998,0,R4)</f>
        <v>0</v>
      </c>
      <c r="R5">
        <f>IF(S5=1998,0,S5)</f>
        <v>0</v>
      </c>
      <c r="S5">
        <f t="array" ref="S5">MAX(IF(ft_nq=P5,row_n))</f>
        <v>0</v>
      </c>
      <c r="T5">
        <f t="shared" ref="T5:T27" si="11">R5-Q5+1</f>
        <v>1</v>
      </c>
      <c r="V5" t="s">
        <v>210</v>
      </c>
      <c r="W5" s="23">
        <f>IF(ISERROR(W3-W2)=FALSE,W3-W2,0)</f>
        <v>12.970399999999998</v>
      </c>
      <c r="Y5" s="75">
        <f t="shared" si="3"/>
        <v>12.951345927745257</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1.5929001225633186E-4</v>
      </c>
      <c r="E6" s="50">
        <f t="shared" si="1"/>
        <v>2.8209640730419747E-5</v>
      </c>
      <c r="F6">
        <f t="shared" si="6"/>
        <v>4</v>
      </c>
      <c r="G6" s="50">
        <f>IF(FT!A6&lt;&gt;"",FT!A6*10,"")</f>
        <v>3.1811199999999999</v>
      </c>
      <c r="H6" s="50">
        <f>IF(FT!B6&lt;&gt;"",FT!B6*100,"")</f>
        <v>42.587699999999998</v>
      </c>
      <c r="I6" s="50">
        <f t="shared" si="2"/>
        <v>1</v>
      </c>
      <c r="J6" t="str">
        <f>IF(FT!B6&lt;&gt;"",FT!E6,"")</f>
        <v>0 [1.586442]</v>
      </c>
      <c r="K6">
        <f>IF(FT!B6&lt;&gt;"",IF(FT!C6&lt;&gt;"",FT!C6,F6/$M$3*$M$4),"")</f>
        <v>1.5864400000000001</v>
      </c>
      <c r="L6" t="s">
        <v>55</v>
      </c>
      <c r="M6" s="52">
        <f ca="1">IF(M3&gt;0,MAX(FT_E),0)</f>
        <v>3.4266400000000004</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-1.3153229895548115</v>
      </c>
      <c r="Y6" s="75">
        <f t="shared" si="3"/>
        <v>13.387643345739864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3.1101099999999997</v>
      </c>
      <c r="H7" s="50">
        <f>IF(FT!B7&lt;&gt;"",FT!B7*100,"")</f>
        <v>43.419600000000003</v>
      </c>
      <c r="I7" s="50">
        <f t="shared" si="2"/>
        <v>1</v>
      </c>
      <c r="J7" t="str">
        <f>IF(FT!B7&lt;&gt;"",FT!E7,"")</f>
        <v>0 [2.006870]</v>
      </c>
      <c r="K7">
        <f>IF(FT!B7&lt;&gt;"",IF(FT!C7&lt;&gt;"",FT!C7,F7/$M$3*$M$4),"")</f>
        <v>2.0068700000000002</v>
      </c>
      <c r="L7" t="s">
        <v>56</v>
      </c>
      <c r="M7" s="366">
        <f ca="1">IF(M3&gt;0,MIN(FT_PH),0)</f>
        <v>41.414999999999999</v>
      </c>
      <c r="N7" s="52">
        <f ca="1">IF(M3&gt;0,ROUND(M7,1),0)</f>
        <v>41.4</v>
      </c>
      <c r="P7">
        <f t="shared" si="10"/>
        <v>4</v>
      </c>
      <c r="Q7">
        <f t="shared" si="12"/>
        <v>0</v>
      </c>
      <c r="R7">
        <f t="shared" si="13"/>
        <v>0</v>
      </c>
      <c r="S7">
        <f t="array" ref="S7">MAX(IF(ft_nq=P7,row_n))</f>
        <v>0</v>
      </c>
      <c r="T7">
        <f t="shared" si="11"/>
        <v>1</v>
      </c>
      <c r="V7" t="s">
        <v>212</v>
      </c>
      <c r="W7" s="23">
        <f>DEGREES(ATAN(W6))</f>
        <v>-52.75537816636993</v>
      </c>
      <c r="X7" s="106">
        <v>0.05</v>
      </c>
      <c r="Y7" s="75">
        <f t="shared" si="3"/>
        <v>13.960792383549137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0</v>
      </c>
      <c r="D8" s="50">
        <f>IF(hist!$D$2&gt;0,hist!B8/hist!$D$2,0)</f>
        <v>0.12584393765271024</v>
      </c>
      <c r="E8" s="50">
        <f t="shared" si="1"/>
        <v>4.2855782985520911E-5</v>
      </c>
      <c r="F8">
        <f t="shared" si="6"/>
        <v>6</v>
      </c>
      <c r="G8" s="50">
        <f>IF(FT!A8&lt;&gt;"",FT!A8*10,"")</f>
        <v>3.0398199999999997</v>
      </c>
      <c r="H8" s="50">
        <f>IF(FT!B8&lt;&gt;"",FT!B8*100,"")</f>
        <v>44.316699999999997</v>
      </c>
      <c r="I8" s="50">
        <f t="shared" si="2"/>
        <v>1</v>
      </c>
      <c r="J8" t="str">
        <f>IF(FT!B8&lt;&gt;"",FT!E8,"")</f>
        <v>0 [2.411293]</v>
      </c>
      <c r="K8">
        <f>IF(FT!B8&lt;&gt;"",IF(FT!C8&lt;&gt;"",FT!C8,F8/$M$3*$M$4),"")</f>
        <v>2.4112900000000002</v>
      </c>
      <c r="L8" t="s">
        <v>57</v>
      </c>
      <c r="M8" s="52">
        <f ca="1">IF(M3&gt;0,MAX(FT_PH),0)</f>
        <v>54.649099999999997</v>
      </c>
      <c r="N8" s="52">
        <f ca="1">IF(M3&gt;0,ROUND(M8,1),0)</f>
        <v>54.6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14.578725056088848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0.11021060148996759</v>
      </c>
      <c r="E9" s="50">
        <f t="shared" si="1"/>
        <v>5.265273471798961E-5</v>
      </c>
      <c r="F9">
        <f t="shared" si="6"/>
        <v>7</v>
      </c>
      <c r="G9" s="50">
        <f>IF(FT!A9&lt;&gt;"",FT!A9*10,"")</f>
        <v>2.9738799999999999</v>
      </c>
      <c r="H9" s="50">
        <f>IF(FT!B9&lt;&gt;"",FT!B9*100,"")</f>
        <v>45.218000000000004</v>
      </c>
      <c r="I9" s="50">
        <f t="shared" si="2"/>
        <v>1</v>
      </c>
      <c r="J9" t="str">
        <f>IF(FT!B9&lt;&gt;"",FT!E9,"")</f>
        <v>0 [2.815203]</v>
      </c>
      <c r="K9">
        <f>IF(FT!B9&lt;&gt;"",IF(FT!C9&lt;&gt;"",FT!C9,F9/$M$3*$M$4),"")</f>
        <v>2.8151999999999999</v>
      </c>
      <c r="L9" t="s">
        <v>222</v>
      </c>
      <c r="M9" s="74">
        <f ca="1">IF(M3&gt;0,IF(COUNT(FT_E)&gt;0,AVERAGE(FT_E),0),0)</f>
        <v>2.7681647999999996</v>
      </c>
      <c r="N9" s="365">
        <f ca="1">IF(M3&gt;0,IF(COUNT(FT_PH)&gt;0,AVERAGE(FT_PH),0),0)</f>
        <v>48.966043999999989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15.205051985957741</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v>
      </c>
      <c r="E10" s="50">
        <f t="shared" si="1"/>
        <v>6.4550974680172344E-5</v>
      </c>
      <c r="F10">
        <f t="shared" si="6"/>
        <v>8</v>
      </c>
      <c r="G10" s="50">
        <f>IF(FT!A10&lt;&gt;"",FT!A10*10,"")</f>
        <v>2.9082400000000002</v>
      </c>
      <c r="H10" s="50">
        <f>IF(FT!B10&lt;&gt;"",FT!B10*100,"")</f>
        <v>46.274100000000004</v>
      </c>
      <c r="I10" s="50">
        <f t="shared" si="2"/>
        <v>1</v>
      </c>
      <c r="J10" t="str">
        <f>IF(FT!B10&lt;&gt;"",FT!E10,"")</f>
        <v>0 [3.231624]</v>
      </c>
      <c r="K10">
        <f>IF(FT!B10&lt;&gt;"",IF(FT!C10&lt;&gt;"",FT!C10,F10/$M$3*$M$4),"")</f>
        <v>3.2316199999999999</v>
      </c>
      <c r="M10">
        <v>2</v>
      </c>
      <c r="P10">
        <f t="shared" si="10"/>
        <v>7</v>
      </c>
      <c r="Q10">
        <f t="shared" si="12"/>
        <v>0</v>
      </c>
      <c r="R10">
        <f t="shared" si="13"/>
        <v>0</v>
      </c>
      <c r="S10">
        <f t="array" ref="S10">MAX(IF(ft_nq=P10,row_n))</f>
        <v>0</v>
      </c>
      <c r="T10">
        <f t="shared" si="11"/>
        <v>1</v>
      </c>
      <c r="V10" t="s">
        <v>215</v>
      </c>
      <c r="X10" s="71" t="s">
        <v>270</v>
      </c>
      <c r="Y10" s="75">
        <f t="shared" si="3"/>
        <v>15.911375952466097</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0.30067974622336607</v>
      </c>
      <c r="E11" s="50">
        <f t="shared" si="1"/>
        <v>7.8968710868873728E-5</v>
      </c>
      <c r="F11">
        <f t="shared" si="6"/>
        <v>9</v>
      </c>
      <c r="G11" s="50">
        <f>IF(FT!A11&lt;&gt;"",FT!A11*10,"")</f>
        <v>2.8479999999999999</v>
      </c>
      <c r="H11" s="50">
        <f>IF(FT!B11&lt;&gt;"",FT!B11*100,"")</f>
        <v>47.340600000000002</v>
      </c>
      <c r="I11" s="50">
        <f t="shared" si="2"/>
        <v>1</v>
      </c>
      <c r="J11" t="str">
        <f>IF(FT!B11&lt;&gt;"",FT!E11,"")</f>
        <v>0 [3.619615]</v>
      </c>
      <c r="K11">
        <f>IF(FT!B11&lt;&gt;"",IF(FT!C11&lt;&gt;"",FT!C11,F11/$M$3*$M$4),"")</f>
        <v>3.6196199999999998</v>
      </c>
      <c r="M11" s="49">
        <f>MAX(IF(ft_nq=1,row_n))</f>
        <v>0</v>
      </c>
      <c r="P11">
        <f t="shared" si="10"/>
        <v>8</v>
      </c>
      <c r="Q11">
        <f t="shared" si="12"/>
        <v>0</v>
      </c>
      <c r="R11">
        <f t="shared" si="13"/>
        <v>0</v>
      </c>
      <c r="S11">
        <f t="array" ref="S11">MAX(IF(ft_nq=P11,row_n))</f>
        <v>0</v>
      </c>
      <c r="T11">
        <f t="shared" si="11"/>
        <v>1</v>
      </c>
      <c r="V11" s="71" t="s">
        <v>216</v>
      </c>
      <c r="W11" s="23">
        <f>FT!H11*100</f>
        <v>41.414999999999999</v>
      </c>
      <c r="Y11" s="75">
        <f t="shared" si="3"/>
        <v>16.62240168539326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0.34408900441638879</v>
      </c>
      <c r="E12" s="50">
        <f t="shared" si="1"/>
        <v>9.6400140154098625E-5</v>
      </c>
      <c r="F12">
        <f t="shared" si="6"/>
        <v>10</v>
      </c>
      <c r="G12" s="50">
        <f>IF(FT!A12&lt;&gt;"",FT!A12*10,"")</f>
        <v>2.7903499999999997</v>
      </c>
      <c r="H12" s="50">
        <f>IF(FT!B12&lt;&gt;"",FT!B12*100,"")</f>
        <v>48.350200000000001</v>
      </c>
      <c r="I12" s="50">
        <f t="shared" si="2"/>
        <v>1</v>
      </c>
      <c r="J12" t="str">
        <f>IF(FT!B12&lt;&gt;"",FT!E12,"")</f>
        <v>0 [4.052417]</v>
      </c>
      <c r="K12">
        <f>IF(FT!B12&lt;&gt;"",IF(FT!C12&lt;&gt;"",FT!C12,F12/$M$3*$M$4),"")</f>
        <v>4.0524199999999997</v>
      </c>
      <c r="M12">
        <f>M11+1</f>
        <v>1</v>
      </c>
      <c r="P12">
        <f t="shared" si="10"/>
        <v>9</v>
      </c>
      <c r="Q12">
        <f t="shared" si="12"/>
        <v>0</v>
      </c>
      <c r="R12">
        <f t="shared" si="13"/>
        <v>0</v>
      </c>
      <c r="S12">
        <f t="array" ref="S12">MAX(IF(ft_nq=P12,row_n))</f>
        <v>0</v>
      </c>
      <c r="T12">
        <f t="shared" si="11"/>
        <v>1</v>
      </c>
      <c r="V12" s="71" t="s">
        <v>217</v>
      </c>
      <c r="W12" s="23">
        <f>FT!H12*100</f>
        <v>54.649099999999997</v>
      </c>
      <c r="Y12" s="75">
        <f t="shared" si="3"/>
        <v>17.327647069364062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v>
      </c>
      <c r="D13" s="50">
        <f>IF(hist!$D$2&gt;0,hist!B13/hist!$D$2,0)</f>
        <v>0</v>
      </c>
      <c r="E13" s="50">
        <f t="shared" si="1"/>
        <v>1.1742772713153448E-4</v>
      </c>
      <c r="F13">
        <f t="shared" si="6"/>
        <v>11</v>
      </c>
      <c r="G13" s="50">
        <f>IF(FT!A13&lt;&gt;"",FT!A13*10,"")</f>
        <v>2.73712</v>
      </c>
      <c r="H13" s="50">
        <f>IF(FT!B13&lt;&gt;"",FT!B13*100,"")</f>
        <v>49.267099999999999</v>
      </c>
      <c r="I13" s="50">
        <f t="shared" si="2"/>
        <v>1</v>
      </c>
      <c r="J13" t="str">
        <f>IF(FT!B13&lt;&gt;"",FT!E13,"")</f>
        <v>0 [4.431819]</v>
      </c>
      <c r="K13">
        <f>IF(FT!B13&lt;&gt;"",IF(FT!C13&lt;&gt;"",FT!C13,F13/$M$3*$M$4),"")</f>
        <v>4.4318200000000001</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17.999612731630325</v>
      </c>
    </row>
    <row r="14" spans="1:104">
      <c r="A14" s="50">
        <f t="shared" si="5"/>
        <v>12</v>
      </c>
      <c r="B14" s="50">
        <f t="shared" si="0"/>
        <v>0.233736</v>
      </c>
      <c r="C14" s="50">
        <f>IF(FH!$C$2&gt;0,FH!A14/FH!$C$2,0)</f>
        <v>0</v>
      </c>
      <c r="D14" s="50">
        <f>IF(hist!$D$2&gt;0,hist!B14/hist!$D$2,0)</f>
        <v>1</v>
      </c>
      <c r="E14" s="50">
        <f t="shared" si="1"/>
        <v>1.42736162818265E-4</v>
      </c>
      <c r="F14">
        <f t="shared" si="6"/>
        <v>12</v>
      </c>
      <c r="G14" s="50">
        <f>IF(FT!A14&lt;&gt;"",FT!A14*10,"")</f>
        <v>2.6873200000000002</v>
      </c>
      <c r="H14" s="50">
        <f>IF(FT!B14&lt;&gt;"",FT!B14*100,"")</f>
        <v>50.091099999999997</v>
      </c>
      <c r="I14" s="50">
        <f t="shared" si="2"/>
        <v>1</v>
      </c>
      <c r="J14" t="str">
        <f>IF(FT!B14&lt;&gt;"",FT!E14,"")</f>
        <v>0 [4.840320]</v>
      </c>
      <c r="K14">
        <f>IF(FT!B14&lt;&gt;"",IF(FT!C14&lt;&gt;"",FT!C14,F14/$M$3*$M$4),"")</f>
        <v>4.8403200000000002</v>
      </c>
      <c r="M14">
        <f>M13+1</f>
        <v>1</v>
      </c>
      <c r="P14">
        <f t="shared" si="10"/>
        <v>11</v>
      </c>
      <c r="Q14">
        <f t="shared" si="12"/>
        <v>0</v>
      </c>
      <c r="R14">
        <f t="shared" si="13"/>
        <v>0</v>
      </c>
      <c r="S14">
        <f t="array" ref="S14">MAX(IF(ft_nq=P14,row_n))</f>
        <v>0</v>
      </c>
      <c r="T14">
        <f t="shared" si="11"/>
        <v>1</v>
      </c>
      <c r="V14" s="71" t="s">
        <v>221</v>
      </c>
      <c r="W14">
        <f>FT!H14</f>
        <v>24</v>
      </c>
      <c r="Y14" s="75">
        <f t="shared" si="3"/>
        <v>18.639797270142743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v>
      </c>
      <c r="D15" s="50">
        <f>IF(hist!$D$2&gt;0,hist!B15/hist!$D$2,0)</f>
        <v>0.74989385856715551</v>
      </c>
      <c r="E15" s="50">
        <f t="shared" si="1"/>
        <v>1.7312817563669867E-4</v>
      </c>
      <c r="F15">
        <f t="shared" si="6"/>
        <v>13</v>
      </c>
      <c r="G15" s="50">
        <f>IF(FT!A15&lt;&gt;"",FT!A15*10,"")</f>
        <v>2.6413099999999998</v>
      </c>
      <c r="H15" s="50">
        <f>IF(FT!B15&lt;&gt;"",FT!B15*100,"")</f>
        <v>50.809699999999999</v>
      </c>
      <c r="I15" s="50">
        <f t="shared" si="2"/>
        <v>1</v>
      </c>
      <c r="J15" t="str">
        <f>IF(FT!B15&lt;&gt;"",FT!E15,"")</f>
        <v>0 [5.265138]</v>
      </c>
      <c r="K15">
        <f>IF(FT!B15&lt;&gt;"",IF(FT!C15&lt;&gt;"",FT!C15,F15/$M$3*$M$4),"")</f>
        <v>5.2651399999999997</v>
      </c>
      <c r="M15">
        <f t="array" ref="M15">MAX(IF(ft_nq=3,row_n))</f>
        <v>0</v>
      </c>
      <c r="P15">
        <f t="shared" si="10"/>
        <v>12</v>
      </c>
      <c r="Q15">
        <f t="shared" si="12"/>
        <v>0</v>
      </c>
      <c r="R15">
        <f t="shared" si="13"/>
        <v>0</v>
      </c>
      <c r="S15">
        <f t="array" ref="S15">MAX(IF(ft_nq=P15,row_n))</f>
        <v>0</v>
      </c>
      <c r="T15">
        <f t="shared" si="11"/>
        <v>1</v>
      </c>
      <c r="V15" s="23">
        <f>FT!G15*10</f>
        <v>3.3776000000000002</v>
      </c>
      <c r="W15" s="23">
        <f>FT!H15*100</f>
        <v>41.414999999999999</v>
      </c>
      <c r="Y15" s="75">
        <f t="shared" si="3"/>
        <v>19.236553074042806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0.22080859947677933</v>
      </c>
      <c r="E16" s="50">
        <f t="shared" si="1"/>
        <v>2.0954237430671343E-4</v>
      </c>
      <c r="F16">
        <f t="shared" si="6"/>
        <v>14</v>
      </c>
      <c r="G16" s="50">
        <f>IF(FT!A16&lt;&gt;"",FT!A16*10,"")</f>
        <v>2.5969199999999999</v>
      </c>
      <c r="H16" s="50">
        <f>IF(FT!B16&lt;&gt;"",FT!B16*100,"")</f>
        <v>51.503500000000003</v>
      </c>
      <c r="I16" s="50">
        <f t="shared" si="2"/>
        <v>1</v>
      </c>
      <c r="J16" t="str">
        <f>IF(FT!B16&lt;&gt;"",FT!E16,"")</f>
        <v>0 [5.652024]</v>
      </c>
      <c r="K16">
        <f>IF(FT!B16&lt;&gt;"",IF(FT!C16&lt;&gt;"",FT!C16,F16/$M$3*$M$4),"")</f>
        <v>5.6520200000000003</v>
      </c>
      <c r="M16">
        <f>M15+1</f>
        <v>1</v>
      </c>
      <c r="P16">
        <f t="shared" si="10"/>
        <v>13</v>
      </c>
      <c r="Q16">
        <f t="shared" si="12"/>
        <v>0</v>
      </c>
      <c r="R16">
        <f t="shared" si="13"/>
        <v>0</v>
      </c>
      <c r="S16">
        <f t="array" ref="S16">MAX(IF(ft_nq=P16,row_n))</f>
        <v>0</v>
      </c>
      <c r="T16">
        <f t="shared" si="11"/>
        <v>1</v>
      </c>
      <c r="V16" s="23">
        <f>FT!G16*10</f>
        <v>2.3693499999999998</v>
      </c>
      <c r="W16" s="23">
        <f>FT!H16*100</f>
        <v>54.649099999999997</v>
      </c>
      <c r="Y16" s="75">
        <f t="shared" si="3"/>
        <v>19.832532384517044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1.0970505386856651E-2</v>
      </c>
      <c r="D17" s="50">
        <f>IF(hist!$D$2&gt;0,hist!B17/hist!$D$2,0)</f>
        <v>0.57240532813416201</v>
      </c>
      <c r="E17" s="50">
        <f t="shared" si="1"/>
        <v>2.530733076141184E-4</v>
      </c>
      <c r="F17">
        <f t="shared" si="6"/>
        <v>15</v>
      </c>
      <c r="G17" s="50">
        <f>IF(FT!A17&lt;&gt;"",FT!A17*10,"")</f>
        <v>2.55253</v>
      </c>
      <c r="H17" s="50">
        <f>IF(FT!B17&lt;&gt;"",FT!B17*100,"")</f>
        <v>52.148000000000003</v>
      </c>
      <c r="I17" s="50">
        <f t="shared" si="2"/>
        <v>1</v>
      </c>
      <c r="J17" t="str">
        <f>IF(FT!B17&lt;&gt;"",FT!E17,"")</f>
        <v>0 [6.061156]</v>
      </c>
      <c r="K17">
        <f>IF(FT!B17&lt;&gt;"",IF(FT!C17&lt;&gt;"",FT!C17,F17/$M$3*$M$4),"")</f>
        <v>6.0611600000000001</v>
      </c>
      <c r="M17">
        <f>M3+1</f>
        <v>26</v>
      </c>
      <c r="P17">
        <f t="shared" si="10"/>
        <v>14</v>
      </c>
      <c r="Q17">
        <f t="shared" si="12"/>
        <v>0</v>
      </c>
      <c r="R17">
        <f t="shared" si="13"/>
        <v>0</v>
      </c>
      <c r="S17">
        <f t="array" ref="S17">MAX(IF(ft_nq=P17,row_n))</f>
        <v>0</v>
      </c>
      <c r="T17">
        <f t="shared" si="11"/>
        <v>1</v>
      </c>
      <c r="V17" t="s">
        <v>1522</v>
      </c>
      <c r="Y17" s="75">
        <f t="shared" si="3"/>
        <v>20.429926386761373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8.6473617470258553E-3</v>
      </c>
      <c r="D18" s="50">
        <f>IF(hist!$D$2&gt;0,hist!B18/hist!$D$2,0)</f>
        <v>0.57241213777556177</v>
      </c>
      <c r="E18" s="50">
        <f t="shared" si="1"/>
        <v>3.0499392903580183E-4</v>
      </c>
      <c r="F18">
        <f t="shared" si="6"/>
        <v>16</v>
      </c>
      <c r="G18" s="50">
        <f>IF(FT!A18&lt;&gt;"",FT!A18*10,"")</f>
        <v>2.5113600000000003</v>
      </c>
      <c r="H18" s="50">
        <f>IF(FT!B18&lt;&gt;"",FT!B18*100,"")</f>
        <v>52.756999999999998</v>
      </c>
      <c r="I18" s="50">
        <f t="shared" si="2"/>
        <v>1</v>
      </c>
      <c r="J18" t="str">
        <f>IF(FT!B18&lt;&gt;"",FT!E18,"")</f>
        <v>0 [6.477302]</v>
      </c>
      <c r="K18">
        <f>IF(FT!B18&lt;&gt;"",IF(FT!C18&lt;&gt;"",FT!C18,F18/$M$3*$M$4),"")</f>
        <v>6.4772999999999996</v>
      </c>
      <c r="P18">
        <f t="shared" si="10"/>
        <v>15</v>
      </c>
      <c r="Q18">
        <f t="shared" si="12"/>
        <v>0</v>
      </c>
      <c r="R18">
        <f t="shared" si="13"/>
        <v>0</v>
      </c>
      <c r="S18">
        <f t="array" ref="S18">MAX(IF(ft_nq=P18,row_n))</f>
        <v>0</v>
      </c>
      <c r="T18">
        <f t="shared" si="11"/>
        <v>1</v>
      </c>
      <c r="V18" s="288">
        <f>M!B18*100</f>
        <v>61.207599999999992</v>
      </c>
      <c r="W18" s="287">
        <f>100-M!B19*100</f>
        <v>34.602100000000007</v>
      </c>
      <c r="X18" t="str">
        <f>"(" &amp; ROUND(V18,1) &amp; " , " &amp; ROUND(100-W18,1) &amp; ")"</f>
        <v>(61.2 , 65.4)</v>
      </c>
      <c r="Y18" s="75">
        <f t="shared" si="3"/>
        <v>21.007342635066255</v>
      </c>
      <c r="Z18">
        <f>M!B18*100</f>
        <v>61.207599999999992</v>
      </c>
      <c r="AA18">
        <f>100-M!B19*100</f>
        <v>34.602100000000007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5.9499065890985116E-2</v>
      </c>
      <c r="D19" s="50">
        <f>IF(hist!$D$2&gt;0,hist!B19/hist!$D$2,0)</f>
        <v>0.27717427773128728</v>
      </c>
      <c r="E19" s="50">
        <f t="shared" si="1"/>
        <v>3.667806543151835E-4</v>
      </c>
      <c r="F19">
        <f t="shared" si="6"/>
        <v>17</v>
      </c>
      <c r="G19" s="50">
        <f>IF(FT!A19&lt;&gt;"",FT!A19*10,"")</f>
        <v>2.4750100000000002</v>
      </c>
      <c r="H19" s="50">
        <f>IF(FT!B19&lt;&gt;"",FT!B19*100,"")</f>
        <v>53.274600000000007</v>
      </c>
      <c r="I19" s="50">
        <f t="shared" si="2"/>
        <v>1</v>
      </c>
      <c r="J19" t="str">
        <f>IF(FT!B19&lt;&gt;"",FT!E19,"")</f>
        <v>0 [6.871627]</v>
      </c>
      <c r="K19">
        <f>IF(FT!B19&lt;&gt;"",IF(FT!C19&lt;&gt;"",FT!C19,F19/$M$3*$M$4),"")</f>
        <v>6.8716299999999997</v>
      </c>
      <c r="P19">
        <f t="shared" si="10"/>
        <v>16</v>
      </c>
      <c r="Q19">
        <f t="shared" si="12"/>
        <v>0</v>
      </c>
      <c r="R19">
        <f t="shared" si="13"/>
        <v>0</v>
      </c>
      <c r="S19">
        <f t="array" ref="S19">MAX(IF(ft_nq=P19,row_n))</f>
        <v>0</v>
      </c>
      <c r="T19">
        <f t="shared" si="11"/>
        <v>1</v>
      </c>
      <c r="V19" t="s">
        <v>1521</v>
      </c>
      <c r="Y19" s="75">
        <f t="shared" si="3"/>
        <v>21.525003939378024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0.11796586872138383</v>
      </c>
      <c r="D20" s="50">
        <f>IF(hist!$D$2&gt;0,hist!B20/hist!$D$2,0)</f>
        <v>0.25880447166916776</v>
      </c>
      <c r="E20" s="50">
        <f t="shared" si="1"/>
        <v>4.401411966807476E-4</v>
      </c>
      <c r="F20">
        <f t="shared" si="6"/>
        <v>18</v>
      </c>
      <c r="G20" s="50">
        <f>IF(FT!A20&lt;&gt;"",FT!A20*10,"")</f>
        <v>2.4472299999999998</v>
      </c>
      <c r="H20" s="50">
        <f>IF(FT!B20&lt;&gt;"",FT!B20*100,"")</f>
        <v>53.679699999999997</v>
      </c>
      <c r="I20" s="50">
        <f t="shared" si="2"/>
        <v>1</v>
      </c>
      <c r="J20" t="str">
        <f>IF(FT!B20&lt;&gt;"",FT!E20,"")</f>
        <v>0 [7.296397]</v>
      </c>
      <c r="K20">
        <f>IF(FT!B20&lt;&gt;"",IF(FT!C20&lt;&gt;"",FT!C20,F20/$M$3*$M$4),"")</f>
        <v>7.2964000000000002</v>
      </c>
      <c r="P20">
        <f t="shared" si="10"/>
        <v>17</v>
      </c>
      <c r="Q20">
        <f t="shared" si="12"/>
        <v>0</v>
      </c>
      <c r="R20">
        <f t="shared" si="13"/>
        <v>0</v>
      </c>
      <c r="S20">
        <f t="array" ref="S20">MAX(IF(ft_nq=P20,row_n))</f>
        <v>0</v>
      </c>
      <c r="T20">
        <f t="shared" si="11"/>
        <v>1</v>
      </c>
      <c r="V20" s="56">
        <v>50</v>
      </c>
      <c r="W20">
        <v>50</v>
      </c>
      <c r="Y20" s="75">
        <f t="shared" si="3"/>
        <v>21.934881478242747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0.14945744238047762</v>
      </c>
      <c r="D21" s="50">
        <f>IF(hist!$D$2&gt;0,hist!B21/hist!$D$2,0)</f>
        <v>0.1726404646007888</v>
      </c>
      <c r="E21" s="50">
        <f t="shared" si="1"/>
        <v>5.2704535682443585E-4</v>
      </c>
      <c r="F21">
        <f t="shared" si="6"/>
        <v>19</v>
      </c>
      <c r="G21" s="50">
        <f>IF(FT!A21&lt;&gt;"",FT!A21*10,"")</f>
        <v>2.4267599999999998</v>
      </c>
      <c r="H21" s="50">
        <f>IF(FT!B21&lt;&gt;"",FT!B21*100,"")</f>
        <v>53.947100000000006</v>
      </c>
      <c r="I21" s="50">
        <f t="shared" si="2"/>
        <v>1</v>
      </c>
      <c r="J21" t="str">
        <f>IF(FT!B21&lt;&gt;"",FT!E21,"")</f>
        <v>0 [7.690983]</v>
      </c>
      <c r="K21">
        <f>IF(FT!B21&lt;&gt;"",IF(FT!C21&lt;&gt;"",FT!C21,F21/$M$3*$M$4),"")</f>
        <v>7.6909799999999997</v>
      </c>
      <c r="P21">
        <f t="shared" si="10"/>
        <v>18</v>
      </c>
      <c r="Q21">
        <f t="shared" si="12"/>
        <v>0</v>
      </c>
      <c r="R21">
        <f t="shared" si="13"/>
        <v>0</v>
      </c>
      <c r="S21">
        <f t="array" ref="S21">MAX(IF(ft_nq=P21,row_n))</f>
        <v>0</v>
      </c>
      <c r="T21">
        <f t="shared" si="11"/>
        <v>1</v>
      </c>
      <c r="V21" s="288">
        <f>Measurement!DK17*100</f>
        <v>63.09009598171528</v>
      </c>
      <c r="W21" s="287">
        <f>'R3'!I3</f>
        <v>20.920271389783579</v>
      </c>
      <c r="X21" t="str">
        <f>"(" &amp; ROUND(V21,1) &amp; " , " &amp; ROUND(W21,1) &amp; ")" &amp; CHAR(10) &amp; AR26</f>
        <v>(63.1 , 20.9)
차분한</v>
      </c>
      <c r="Y21" s="75">
        <f t="shared" si="3"/>
        <v>22.230092798628629</v>
      </c>
      <c r="AA21">
        <f>100-M!B19*100</f>
        <v>34.602100000000007</v>
      </c>
      <c r="AC21">
        <f>'R3'!I3</f>
        <v>20.920271389783579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0.17772270998093062</v>
      </c>
      <c r="D22" s="50">
        <f>IF(hist!$D$2&gt;0,hist!B22/hist!$D$2,0)</f>
        <v>0.21029795307265023</v>
      </c>
      <c r="E22" s="50">
        <f t="shared" si="1"/>
        <v>6.297589323047602E-4</v>
      </c>
      <c r="F22">
        <f t="shared" si="6"/>
        <v>20</v>
      </c>
      <c r="G22" s="50">
        <f>IF(FT!A22&lt;&gt;"",FT!A22*10,"")</f>
        <v>2.4082400000000002</v>
      </c>
      <c r="H22" s="50">
        <f>IF(FT!B22&lt;&gt;"",FT!B22*100,"")</f>
        <v>54.196599999999997</v>
      </c>
      <c r="I22" s="50">
        <f t="shared" si="2"/>
        <v>1</v>
      </c>
      <c r="J22" t="str">
        <f>IF(FT!B22&lt;&gt;"",FT!E22,"")</f>
        <v>0 [8.108513]</v>
      </c>
      <c r="K22">
        <f>IF(FT!B22&lt;&gt;"",IF(FT!C22&lt;&gt;"",FT!C22,F22/$M$3*$M$4),"")</f>
        <v>8.1085100000000008</v>
      </c>
      <c r="P22">
        <f t="shared" si="10"/>
        <v>19</v>
      </c>
      <c r="Q22">
        <f t="shared" si="12"/>
        <v>0</v>
      </c>
      <c r="R22">
        <f t="shared" si="13"/>
        <v>0</v>
      </c>
      <c r="S22">
        <f t="array" ref="S22">MAX(IF(ft_nq=P22,row_n))</f>
        <v>0</v>
      </c>
      <c r="T22">
        <f t="shared" si="11"/>
        <v>1</v>
      </c>
      <c r="V22" s="300">
        <f>X23</f>
        <v>90</v>
      </c>
      <c r="W22" s="300">
        <f>X23</f>
        <v>90</v>
      </c>
      <c r="X22" t="s">
        <v>1188</v>
      </c>
      <c r="Y22" s="75">
        <f t="shared" si="3"/>
        <v>22.504650699265852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0.14197198640943981</v>
      </c>
      <c r="D23" s="50">
        <f>IF(hist!$D$2&gt;0,hist!B23/hist!$D$2,0)</f>
        <v>0.10788262314694221</v>
      </c>
      <c r="E23" s="50">
        <f t="shared" si="1"/>
        <v>7.5088089298214319E-4</v>
      </c>
      <c r="F23">
        <f t="shared" si="6"/>
        <v>21</v>
      </c>
      <c r="G23" s="50">
        <f>IF(FT!A23&lt;&gt;"",FT!A23*10,"")</f>
        <v>2.3915000000000002</v>
      </c>
      <c r="H23" s="50">
        <f>IF(FT!B23&lt;&gt;"",FT!B23*100,"")</f>
        <v>54.385399999999997</v>
      </c>
      <c r="I23" s="50">
        <f t="shared" si="2"/>
        <v>1</v>
      </c>
      <c r="J23" t="str">
        <f>IF(FT!B23&lt;&gt;"",FT!E23,"")</f>
        <v>0 [8.497625]</v>
      </c>
      <c r="K23">
        <f>IF(FT!B23&lt;&gt;"",IF(FT!C23&lt;&gt;"",FT!C23,F23/$M$3*$M$4),"")</f>
        <v>8.4976199999999995</v>
      </c>
      <c r="P23">
        <f t="shared" si="10"/>
        <v>20</v>
      </c>
      <c r="Q23">
        <f t="shared" si="12"/>
        <v>0</v>
      </c>
      <c r="R23">
        <f t="shared" si="13"/>
        <v>0</v>
      </c>
      <c r="S23">
        <f t="array" ref="S23">MAX(IF(ft_nq=P23,row_n))</f>
        <v>0</v>
      </c>
      <c r="T23">
        <f t="shared" si="11"/>
        <v>1</v>
      </c>
      <c r="V23" s="300">
        <f>100-X23</f>
        <v>10</v>
      </c>
      <c r="W23" s="300">
        <f>X23</f>
        <v>90</v>
      </c>
      <c r="X23">
        <v>90</v>
      </c>
      <c r="Y23" s="75">
        <f t="shared" si="3"/>
        <v>22.74112481706042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0.13874471236218261</v>
      </c>
      <c r="D24" s="50">
        <f>IF(hist!$D$2&gt;0,hist!B24/hist!$D$2,0)</f>
        <v>0.10791918109890107</v>
      </c>
      <c r="E24" s="50">
        <f t="shared" si="1"/>
        <v>8.9338394468533276E-4</v>
      </c>
      <c r="F24">
        <f t="shared" si="6"/>
        <v>22</v>
      </c>
      <c r="G24" s="50">
        <f>IF(FT!A24&lt;&gt;"",FT!A24*10,"")</f>
        <v>2.3781499999999998</v>
      </c>
      <c r="H24" s="50">
        <f>IF(FT!B24&lt;&gt;"",FT!B24*100,"")</f>
        <v>54.529000000000003</v>
      </c>
      <c r="I24" s="50">
        <f t="shared" si="2"/>
        <v>1</v>
      </c>
      <c r="J24" t="str">
        <f>IF(FT!B24&lt;&gt;"",FT!E24,"")</f>
        <v>0 [8.915541]</v>
      </c>
      <c r="K24">
        <f>IF(FT!B24&lt;&gt;"",IF(FT!C24&lt;&gt;"",FT!C24,F24/$M$3*$M$4),"")</f>
        <v>8.91554</v>
      </c>
      <c r="P24">
        <f t="shared" si="10"/>
        <v>21</v>
      </c>
      <c r="Q24">
        <f t="shared" si="12"/>
        <v>0</v>
      </c>
      <c r="R24">
        <f t="shared" si="13"/>
        <v>0</v>
      </c>
      <c r="S24">
        <f t="array" ref="S24">MAX(IF(ft_nq=P24,row_n))</f>
        <v>0</v>
      </c>
      <c r="T24">
        <f t="shared" si="11"/>
        <v>1</v>
      </c>
      <c r="V24" s="300">
        <f>100-X23</f>
        <v>10</v>
      </c>
      <c r="W24" s="300">
        <f>100-X23</f>
        <v>10</v>
      </c>
      <c r="Y24" s="75">
        <f t="shared" si="3"/>
        <v>22.929167630300867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0.28174954262537871</v>
      </c>
      <c r="D25" s="50">
        <f>IF(hist!$D$2&gt;0,hist!B25/hist!$D$2,0)</f>
        <v>0.1748791901096246</v>
      </c>
      <c r="E25" s="50">
        <f t="shared" si="1"/>
        <v>1.0606585718013672E-3</v>
      </c>
      <c r="F25">
        <f t="shared" si="6"/>
        <v>23</v>
      </c>
      <c r="G25" s="50">
        <f>IF(FT!A25&lt;&gt;"",FT!A25*10,"")</f>
        <v>2.3693499999999998</v>
      </c>
      <c r="H25" s="50">
        <f>IF(FT!B25&lt;&gt;"",FT!B25*100,"")</f>
        <v>54.649099999999997</v>
      </c>
      <c r="I25" s="50">
        <f t="shared" si="2"/>
        <v>1</v>
      </c>
      <c r="J25" t="str">
        <f>IF(FT!B25&lt;&gt;"",FT!E25,"")</f>
        <v>0 [9.305424]</v>
      </c>
      <c r="K25">
        <f>IF(FT!B25&lt;&gt;"",IF(FT!C25&lt;&gt;"",FT!C25,F25/$M$3*$M$4),"")</f>
        <v>9.3054199999999998</v>
      </c>
      <c r="P25">
        <f t="shared" si="10"/>
        <v>22</v>
      </c>
      <c r="Q25">
        <f t="shared" si="12"/>
        <v>0</v>
      </c>
      <c r="R25">
        <f t="shared" si="13"/>
        <v>0</v>
      </c>
      <c r="S25">
        <f t="array" ref="S25">MAX(IF(ft_nq=P25,row_n))</f>
        <v>0</v>
      </c>
      <c r="T25">
        <f t="shared" si="11"/>
        <v>1</v>
      </c>
      <c r="V25" s="300">
        <f>X23</f>
        <v>90</v>
      </c>
      <c r="W25" s="300">
        <f>100-X23</f>
        <v>10</v>
      </c>
      <c r="Y25" s="75">
        <f t="shared" si="3"/>
        <v>23.065017831894824</v>
      </c>
    </row>
    <row r="26" spans="1:120">
      <c r="A26" s="50">
        <f t="shared" si="5"/>
        <v>24</v>
      </c>
      <c r="B26" s="50">
        <f t="shared" si="0"/>
        <v>0.467472</v>
      </c>
      <c r="C26" s="50">
        <f>IF(FH!$C$2&gt;0,FH!A26/FH!$C$2,0)</f>
        <v>0.101573949490354</v>
      </c>
      <c r="D26" s="50">
        <f>IF(hist!$D$2&gt;0,hist!B26/hist!$D$2,0)</f>
        <v>6.6889340561374036E-2</v>
      </c>
      <c r="E26" s="50">
        <f t="shared" si="1"/>
        <v>1.2565606101501614E-3</v>
      </c>
      <c r="F26">
        <f t="shared" si="6"/>
        <v>24</v>
      </c>
      <c r="G26" s="50">
        <f>IF(FT!A26&lt;&gt;"",FT!A26*10,"")</f>
        <v>2.3597000000000001</v>
      </c>
      <c r="H26" s="50">
        <f>IF(FT!B26&lt;&gt;"",FT!B26*100,"")</f>
        <v>54.602799999999995</v>
      </c>
      <c r="I26" s="50">
        <f t="shared" si="2"/>
        <v>1</v>
      </c>
      <c r="J26" t="str">
        <f>IF(FT!B26&lt;&gt;"",FT!E26,"")</f>
        <v>0 [9.733861]</v>
      </c>
      <c r="K26">
        <f>IF(FT!B26&lt;&gt;"",IF(FT!C26&lt;&gt;"",FT!C26,F26/$M$3*$M$4),"")</f>
        <v>9.73386</v>
      </c>
      <c r="P26">
        <f t="shared" si="10"/>
        <v>23</v>
      </c>
      <c r="Q26">
        <f t="shared" si="12"/>
        <v>0</v>
      </c>
      <c r="R26">
        <f t="shared" si="13"/>
        <v>0</v>
      </c>
      <c r="S26">
        <f t="array" ref="S26">MAX(IF(ft_nq=P26,row_n))</f>
        <v>0</v>
      </c>
      <c r="T26">
        <f t="shared" si="11"/>
        <v>1</v>
      </c>
      <c r="V26" s="300">
        <f>X23</f>
        <v>90</v>
      </c>
      <c r="W26" s="300">
        <f>X23</f>
        <v>90</v>
      </c>
      <c r="Y26" s="75">
        <f t="shared" si="3"/>
        <v>23.139721150993768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0.48694999999999999</v>
      </c>
      <c r="C27" s="50">
        <f>IF(FH!$C$2&gt;0,FH!A27/FH!$C$2,0)</f>
        <v>0.16868847222356664</v>
      </c>
      <c r="D27" s="50">
        <f>IF(hist!$D$2&gt;0,hist!B27/hist!$D$2,0)</f>
        <v>6.1974294428831053E-2</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0.24444906927894525</v>
      </c>
      <c r="D28" s="50">
        <f>IF(hist!$D$2&gt;0,hist!B28/hist!$D$2,0)</f>
        <v>8.541717362833072E-2</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0.17565799026203452</v>
      </c>
      <c r="D29" s="50">
        <f>IF(hist!$D$2&gt;0,hist!B29/hist!$D$2,0)</f>
        <v>5.1971262188346995E-2</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0.30033492406129303</v>
      </c>
      <c r="D30" s="50">
        <f>IF(hist!$D$2&gt;0,hist!B30/hist!$D$2,0)</f>
        <v>5.5329361375661919E-2</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0.52684426031149867</v>
      </c>
      <c r="D31" s="50">
        <f>IF(hist!$D$2&gt;0,hist!B31/hist!$D$2,0)</f>
        <v>5.6992300535706676E-2</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0.32924487208030434</v>
      </c>
      <c r="D32" s="50">
        <f>IF(hist!$D$2&gt;0,hist!B32/hist!$D$2,0)</f>
        <v>4.8717903829771335E-2</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0.61809267523013922</v>
      </c>
      <c r="D33" s="50">
        <f>IF(hist!$D$2&gt;0,hist!B33/hist!$D$2,0)</f>
        <v>2.8609574330706013E-2</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0.492118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0.77490683109566638</v>
      </c>
      <c r="D34" s="50">
        <f>IF(hist!$D$2&gt;0,hist!B34/hist!$D$2,0)</f>
        <v>4.2882442318864893E-2</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50.788199999999996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0.52452108763200944</v>
      </c>
      <c r="D35" s="50">
        <f>IF(hist!$D$2&gt;0,hist!B35/hist!$D$2,0)</f>
        <v>2.8599037492586746E-2</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44.104000000000006</v>
      </c>
      <c r="W35" s="23">
        <f>IF(FH_info!G2*1&lt;&gt;0,(1-NORMSDIST((FH_info!G2*1-0.5308)/0.1538))*100,0)</f>
        <v>59.928948599741737</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0.6928213964203781</v>
      </c>
      <c r="D36" s="50">
        <f>IF(hist!$D$2&gt;0,hist!B36/hist!$D$2,0)</f>
        <v>3.2588720344311539E-2</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1.3231200000000001</v>
      </c>
      <c r="W36" s="495">
        <f>IF(W34&gt;=60,30/40*(W34-60)+70,IF(W34&gt;=35,35/25*(W34-35)+35,IF(W34&gt;=0,W34,0)))</f>
        <v>57.10347999999999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0.68933663740114415</v>
      </c>
      <c r="D37" s="50">
        <f>IF(hist!$D$2&gt;0,hist!B37/hist!$D$2,0)</f>
        <v>2.1728498867569977E-2</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0.75399827698026267</v>
      </c>
      <c r="D38" s="50">
        <f>IF(hist!$D$2&gt;0,hist!B38/hist!$D$2,0)</f>
        <v>3.2684793046681634E-2</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0.75219201022195981</v>
      </c>
      <c r="D39" s="50">
        <f>IF(hist!$D$2&gt;0,hist!B39/hist!$D$2,0)</f>
        <v>2.333937116269107E-2</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0.51277551375995811</v>
      </c>
      <c r="D40" s="50">
        <f>IF(hist!$D$2&gt;0,hist!B40/hist!$D$2,0)</f>
        <v>1.8875538962965389E-2</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0.58698829701762711</v>
      </c>
      <c r="D41" s="50">
        <f>IF(hist!$D$2&gt;0,hist!B41/hist!$D$2,0)</f>
        <v>2.2844148603305317E-2</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0.68081833757635013</v>
      </c>
      <c r="D42" s="50">
        <f>IF(hist!$D$2&gt;0,hist!B42/hist!$D$2,0)</f>
        <v>2.636340093638264E-2</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0.42178458381329437</v>
      </c>
      <c r="D43" s="50">
        <f>IF(hist!$D$2&gt;0,hist!B43/hist!$D$2,0)</f>
        <v>1.6895261402558349E-2</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8.0263299999999997</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0.49509423369181182</v>
      </c>
      <c r="D44" s="50">
        <f>IF(hist!$D$2&gt;0,hist!B44/hist!$D$2,0)</f>
        <v>2.4486012227696859E-2</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0.53432971628253645</v>
      </c>
      <c r="D45" s="50">
        <f>IF(hist!$D$2&gt;0,hist!B45/hist!$D$2,0)</f>
        <v>1.9157550343884801E-2</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0.35079907460288268</v>
      </c>
      <c r="D46" s="50">
        <f>IF(hist!$D$2&gt;0,hist!B46/hist!$D$2,0)</f>
        <v>1.5057539122317228E-2</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0.44708199831569978</v>
      </c>
      <c r="D47" s="50">
        <f>IF(hist!$D$2&gt;0,hist!B47/hist!$D$2,0)</f>
        <v>1.8051816866620374E-2</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0.52723145575808028</v>
      </c>
      <c r="D48" s="50">
        <f>IF(hist!$D$2&gt;0,hist!B48/hist!$D$2,0)</f>
        <v>2.1595861705289654E-2</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0.31698432826429962</v>
      </c>
      <c r="D49" s="50">
        <f>IF(hist!$D$2&gt;0,hist!B49/hist!$D$2,0)</f>
        <v>1.3614634262895019E-2</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0.42914129729834372</v>
      </c>
      <c r="D50" s="50">
        <f>IF(hist!$D$2&gt;0,hist!B50/hist!$D$2,0)</f>
        <v>1.9508978323222612E-2</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0.45869786171314625</v>
      </c>
      <c r="D51" s="50">
        <f>IF(hist!$D$2&gt;0,hist!B51/hist!$D$2,0)</f>
        <v>1.2714677094512097E-2</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0.58479386682412615</v>
      </c>
      <c r="D52" s="50">
        <f>IF(hist!$D$2&gt;0,hist!B52/hist!$D$2,0)</f>
        <v>1.8748478650154197E-2</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63.09009598171528</v>
      </c>
      <c r="W52" s="303">
        <f ca="1">100-N9</f>
        <v>51.033956000000011</v>
      </c>
      <c r="X52" t="str">
        <f ca="1">"(" &amp; ROUND(V52,1) &amp; " , " &amp; ROUND(100-W52,1) &amp; ")"</f>
        <v>(63.1 , 49)</v>
      </c>
      <c r="Y52" s="75" t="str">
        <f t="shared" si="3"/>
        <v/>
      </c>
    </row>
    <row r="53" spans="1:25">
      <c r="A53" s="50">
        <f t="shared" si="5"/>
        <v>51</v>
      </c>
      <c r="B53" s="50">
        <f t="shared" si="0"/>
        <v>0.99337800000000009</v>
      </c>
      <c r="C53" s="50">
        <f>IF(FH!$C$2&gt;0,FH!A53/FH!$C$2,0)</f>
        <v>0.28871906066384662</v>
      </c>
      <c r="D53" s="50">
        <f>IF(hist!$D$2&gt;0,hist!B53/hist!$D$2,0)</f>
        <v>8.9772540591719682E-3</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0.61551201757867324</v>
      </c>
      <c r="D54" s="50">
        <f>IF(hist!$D$2&gt;0,hist!B54/hist!$D$2,0)</f>
        <v>1.7970624130200681E-2</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0.63409739901458761</v>
      </c>
      <c r="D55" s="50">
        <f>IF(hist!$D$2&gt;0,hist!B55/hist!$D$2,0)</f>
        <v>1.7092359358289965E-2</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0.43094853204526312</v>
      </c>
      <c r="D56" s="50">
        <f>IF(hist!$D$2&gt;0,hist!B56/hist!$D$2,0)</f>
        <v>1.3237792733463228E-2</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0.56737007172795639</v>
      </c>
      <c r="D57" s="50">
        <f>IF(hist!$D$2&gt;0,hist!B57/hist!$D$2,0)</f>
        <v>1.107653369403499E-2</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0.67655918766395307</v>
      </c>
      <c r="D58" s="50">
        <f>IF(hist!$D$2&gt;0,hist!B58/hist!$D$2,0)</f>
        <v>1.5404631411482614E-2</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0.4656673797516141</v>
      </c>
      <c r="D59" s="50">
        <f>IF(hist!$D$2&gt;0,hist!B59/hist!$D$2,0)</f>
        <v>9.4445867929680294E-3</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0.65694193036289894</v>
      </c>
      <c r="D60" s="50">
        <f>IF(hist!$D$2&gt;0,hist!B60/hist!$D$2,0)</f>
        <v>1.1796127173923048E-2</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0.82137028468545203</v>
      </c>
      <c r="D61" s="50">
        <f>IF(hist!$D$2&gt;0,hist!B61/hist!$D$2,0)</f>
        <v>1.3558852287447288E-2</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0.57782434878565825</v>
      </c>
      <c r="D62" s="50">
        <f>IF(hist!$D$2&gt;0,hist!B62/hist!$D$2,0)</f>
        <v>1.0844726509386837E-2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0.84253729176144898</v>
      </c>
      <c r="D63" s="50">
        <f>IF(hist!$D$2&gt;0,hist!B63/hist!$D$2,0)</f>
        <v>9.5474751798356166E-3</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0.57150047915436508</v>
      </c>
      <c r="D64" s="50">
        <f>IF(hist!$D$2&gt;0,hist!B64/hist!$D$2,0)</f>
        <v>7.782270071986311E-3</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0.76380787361940627</v>
      </c>
      <c r="D65" s="50">
        <f>IF(hist!$D$2&gt;0,hist!B65/hist!$D$2,0)</f>
        <v>9.9336128529436355E-3</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0.89971347536952961</v>
      </c>
      <c r="D66" s="50">
        <f>IF(hist!$D$2&gt;0,hist!B66/hist!$D$2,0)</f>
        <v>9.8065534698397842E-3</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0.61770547978355772</v>
      </c>
      <c r="D67" s="50">
        <f>IF(hist!$D$2&gt;0,hist!B67/hist!$D$2,0)</f>
        <v>6.5934844436254759E-3</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0.75619270717376363</v>
      </c>
      <c r="D68" s="50">
        <f>IF(hist!$D$2&gt;0,hist!B68/hist!$D$2,0)</f>
        <v>9.2065821792023904E-3</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0.90397262528192668</v>
      </c>
      <c r="D69" s="50">
        <f>IF(hist!$D$2&gt;0,hist!B69/hist!$D$2,0)</f>
        <v>7.0732134302175153E-3</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0.58879553176454646</v>
      </c>
      <c r="D70" s="50">
        <f>IF(hist!$D$2&gt;0,hist!B70/hist!$D$2,0)</f>
        <v>6.1125161571514066E-3</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0.78523236566737975</v>
      </c>
      <c r="D71" s="50">
        <f>IF(hist!$D$2&gt;0,hist!B71/hist!$D$2,0)</f>
        <v>5.2677217791288703E-3</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0.77981162941523796</v>
      </c>
      <c r="D72" s="50">
        <f>IF(hist!$D$2&gt;0,hist!B72/hist!$D$2,0)</f>
        <v>5.2565657559222601E-3</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0.87493296678831056</v>
      </c>
      <c r="D73" s="50">
        <f>IF(hist!$D$2&gt;0,hist!B73/hist!$D$2,0)</f>
        <v>4.7954304512436846E-3</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0.85828356258530392</v>
      </c>
      <c r="D74" s="50">
        <f>IF(hist!$D$2&gt;0,hist!B74/hist!$D$2,0)</f>
        <v>6.4490702136365203E-3</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1</v>
      </c>
      <c r="D75" s="50">
        <f>IF(hist!$D$2&gt;0,hist!B75/hist!$D$2,0)</f>
        <v>3.5713159440252966E-3</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0.65164993659674564</v>
      </c>
      <c r="D76" s="50">
        <f>IF(hist!$D$2&gt;0,hist!B76/hist!$D$2,0)</f>
        <v>3.0692739813126969E-3</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0.78858838220062533</v>
      </c>
      <c r="D77" s="50">
        <f>IF(hist!$D$2&gt;0,hist!B77/hist!$D$2,0)</f>
        <v>3.4392970371249811E-3</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0.97638107775852556</v>
      </c>
      <c r="D78" s="50">
        <f>IF(hist!$D$2&gt;0,hist!B78/hist!$D$2,0)</f>
        <v>4.0572428245884912E-3</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0.63680776714065834</v>
      </c>
      <c r="D79" s="50">
        <f>IF(hist!$D$2&gt;0,hist!B79/hist!$D$2,0)</f>
        <v>2.295137825858936E-3</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0.78084447326899431</v>
      </c>
      <c r="D80" s="50">
        <f>IF(hist!$D$2&gt;0,hist!B80/hist!$D$2,0)</f>
        <v>3.034564752396158E-3</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0.91816914633083901</v>
      </c>
      <c r="D81" s="50">
        <f>IF(hist!$D$2&gt;0,hist!B81/hist!$D$2,0)</f>
        <v>2.5833466358958332E-3</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0.59576504980301437</v>
      </c>
      <c r="D82" s="50">
        <f>IF(hist!$D$2&gt;0,hist!B82/hist!$D$2,0)</f>
        <v>1.7435113168160908E-3</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0.65694193036289894</v>
      </c>
      <c r="D83" s="50">
        <f>IF(hist!$D$2&gt;0,hist!B83/hist!$D$2,0)</f>
        <v>1.9579636545791388E-3</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0.80291461372414263</v>
      </c>
      <c r="D84" s="50">
        <f>IF(hist!$D$2&gt;0,hist!B84/hist!$D$2,0)</f>
        <v>2.310632793213657E-3</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0.49496452321720696</v>
      </c>
      <c r="D85" s="50">
        <f>IF(hist!$D$2&gt;0,hist!B85/hist!$D$2,0)</f>
        <v>1.2984915591405899E-3</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0.61783519025816258</v>
      </c>
      <c r="D86" s="50">
        <f>IF(hist!$D$2&gt;0,hist!B86/hist!$D$2,0)</f>
        <v>1.7323543639021417E-3</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0.3088532238860871</v>
      </c>
      <c r="D87" s="50">
        <f>IF(hist!$D$2&gt;0,hist!B87/hist!$D$2,0)</f>
        <v>4.2270678155494111E-4</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0.93882021547426597</v>
      </c>
      <c r="D88" s="50">
        <f>IF(hist!$D$2&gt;0,hist!B88/hist!$D$2,0)</f>
        <v>2.0329598915886865E-3</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0.45753627537340164</v>
      </c>
      <c r="D89" s="50">
        <f>IF(hist!$D$2&gt;0,hist!B89/hist!$D$2,0)</f>
        <v>9.2970733835666614E-4</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0.54930159621322849</v>
      </c>
      <c r="D90" s="50">
        <f>IF(hist!$D$2&gt;0,hist!B90/hist!$D$2,0)</f>
        <v>1.1522174496212513E-3</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0.62299747354971102</v>
      </c>
      <c r="D91" s="50">
        <f>IF(hist!$D$2&gt;0,hist!B91/hist!$D$2,0)</f>
        <v>1.2829961269321991E-3</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0.37958028013590561</v>
      </c>
      <c r="D92" s="50">
        <f>IF(hist!$D$2&gt;0,hist!B92/hist!$D$2,0)</f>
        <v>9.1111319158953283E-4</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0.49496452321720696</v>
      </c>
      <c r="D93" s="50">
        <f>IF(hist!$D$2&gt;0,hist!B93/hist!$D$2,0)</f>
        <v>7.1835371515236097E-4</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0.5427192736213422</v>
      </c>
      <c r="D94" s="50">
        <f>IF(hist!$D$2&gt;0,hist!B94/hist!$D$2,0)</f>
        <v>9.4706172038810075E-4</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0.35105752756347586</v>
      </c>
      <c r="D95" s="50">
        <f>IF(hist!$D$2&gt;0,hist!B95/hist!$D$2,0)</f>
        <v>5.559649883372863E-4</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0.40668396139661395</v>
      </c>
      <c r="D96" s="50">
        <f>IF(hist!$D$2&gt;0,hist!B96/hist!$D$2,0)</f>
        <v>6.7310811297022623E-4</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0.500902165390535</v>
      </c>
      <c r="D97" s="50">
        <f>IF(hist!$D$2&gt;0,hist!B97/hist!$D$2,0)</f>
        <v>7.4252610594963424E-4</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0.32821299621516453</v>
      </c>
      <c r="D98" s="50">
        <f>IF(hist!$D$2&gt;0,hist!B98/hist!$D$2,0)</f>
        <v>5.4604826501270496E-4</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0.40526489008489264</v>
      </c>
      <c r="D99" s="50">
        <f>IF(hist!$D$2&gt;0,hist!B99/hist!$D$2,0)</f>
        <v>4.2022771693721312E-4</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0.33040645842004901</v>
      </c>
      <c r="D100" s="50">
        <f>IF(hist!$D$2&gt;0,hist!B100/hist!$D$2,0)</f>
        <v>4.2084736687822785E-4</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0.39171304945453839</v>
      </c>
      <c r="D101" s="50">
        <f>IF(hist!$D$2&gt;0,hist!B101/hist!$D$2,0)</f>
        <v>4.7910933665102501E-4</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0.28910625611042817</v>
      </c>
      <c r="D102" s="50">
        <f>IF(hist!$D$2&gt;0,hist!B102/hist!$D$2,0)</f>
        <v>3.1052225101112652E-4</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0.35621981085502435</v>
      </c>
      <c r="D103" s="50">
        <f>IF(hist!$D$2&gt;0,hist!B103/hist!$D$2,0)</f>
        <v>4.0845157893591835E-4</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0.18456348553341012</v>
      </c>
      <c r="D104" s="50">
        <f>IF(hist!$D$2&gt;0,hist!B104/hist!$D$2,0)</f>
        <v>3.9605532613993974E-4</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0.3753211302235086</v>
      </c>
      <c r="D105" s="50">
        <f>IF(hist!$D$2&gt;0,hist!B105/hist!$D$2,0)</f>
        <v>1.2705984795752132E-4</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0.39519780847377234</v>
      </c>
      <c r="D106" s="50">
        <f>IF(hist!$D$2&gt;0,hist!B106/hist!$D$2,0)</f>
        <v>3.1362143042353843E-4</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0.27826478360614482</v>
      </c>
      <c r="D107" s="50">
        <f>IF(hist!$D$2&gt;0,hist!B107/hist!$D$2,0)</f>
        <v>2.1321303788101849E-4</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0.27865197905272632</v>
      </c>
      <c r="D108" s="50">
        <f>IF(hist!$D$2&gt;0,hist!B108/hist!$D$2,0)</f>
        <v>2.181711671164746E-4</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0.27103681260708373</v>
      </c>
      <c r="D109" s="50">
        <f>IF(hist!$D$2&gt;0,hist!B109/hist!$D$2,0)</f>
        <v>1.9090006176045851E-4</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0.2756831579660623</v>
      </c>
      <c r="D110" s="50">
        <f>IF(hist!$D$2&gt;0,hist!B110/hist!$D$2,0)</f>
        <v>2.3552601400157847E-4</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0.31866185253661417</v>
      </c>
      <c r="D111" s="50">
        <f>IF(hist!$D$2&gt;0,hist!B111/hist!$D$2,0)</f>
        <v>1.5495106810822128E-4</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0.21373188651301461</v>
      </c>
      <c r="D112" s="50">
        <f>IF(hist!$D$2&gt;0,hist!B112/hist!$D$2,0)</f>
        <v>1.1652347469192521E-4</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0.23464044062841821</v>
      </c>
      <c r="D113" s="50">
        <f>IF(hist!$D$2&gt;0,hist!B113/hist!$D$2,0)</f>
        <v>1.1280464533849855E-4</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0.3224050645164413</v>
      </c>
      <c r="D114" s="50">
        <f>IF(hist!$D$2&gt;0,hist!B114/hist!$D$2,0)</f>
        <v>1.6238872681507461E-4</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0.16894595719554339</v>
      </c>
      <c r="D115" s="50">
        <f>IF(hist!$D$2&gt;0,hist!B115/hist!$D$2,0)</f>
        <v>7.0038107774091906E-5</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0.18224031285392084</v>
      </c>
      <c r="D116" s="50">
        <f>IF(hist!$D$2&gt;0,hist!B116/hist!$D$2,0)</f>
        <v>8.9251904482239949E-5</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0.25503305681125188</v>
      </c>
      <c r="D117" s="50">
        <f>IF(hist!$D$2&gt;0,hist!B117/hist!$D$2,0)</f>
        <v>7.871506636297468E-5</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0.17836835838810536</v>
      </c>
      <c r="D118" s="50">
        <f>IF(hist!$D$2&gt;0,hist!B118/hist!$D$2,0)</f>
        <v>5.5782440301399963E-5</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0.20495513372762736</v>
      </c>
      <c r="D119" s="50">
        <f>IF(hist!$D$2&gt;0,hist!B119/hist!$D$2,0)</f>
        <v>7.3136822332834679E-5</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0.2181197789114</v>
      </c>
      <c r="D120" s="50">
        <f>IF(hist!$D$2&gt;0,hist!B120/hist!$D$2,0)</f>
        <v>6.8798343038393292E-5</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0.14919898941988444</v>
      </c>
      <c r="D121" s="50">
        <f>IF(hist!$D$2&gt;0,hist!B121/hist!$D$2,0)</f>
        <v>3.5328878857553313E-5</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0.16881721470955502</v>
      </c>
      <c r="D122" s="50">
        <f>IF(hist!$D$2&gt;0,hist!B122/hist!$D$2,0)</f>
        <v>4.8964431535561355E-5</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0.11357700833438199</v>
      </c>
      <c r="D123" s="50">
        <f>IF(hist!$D$2&gt;0,hist!B123/hist!$D$2,0)</f>
        <v>2.2932626061574707E-5</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0.18249779782589756</v>
      </c>
      <c r="D124" s="50">
        <f>IF(hist!$D$2&gt;0,hist!B124/hist!$D$2,0)</f>
        <v>4.0907122887693307E-5</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0.15616850745835228</v>
      </c>
      <c r="D125" s="50">
        <f>IF(hist!$D$2&gt;0,hist!B125/hist!$D$2,0)</f>
        <v>3.1610049504126652E-5</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4.8270397940120224E-2</v>
      </c>
      <c r="D126" s="50">
        <f>IF(hist!$D$2&gt;0,hist!B126/hist!$D$2,0)</f>
        <v>9.2970733835666617E-6</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0.15745980427270176</v>
      </c>
      <c r="D127" s="50">
        <f>IF(hist!$D$2&gt;0,hist!B127/hist!$D$2,0)</f>
        <v>2.8510870091714701E-5</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4.9302854598429924E-2</v>
      </c>
      <c r="D128" s="50">
        <f>IF(hist!$D$2&gt;0,hist!B128/hist!$D$2,0)</f>
        <v>1.0536838119265276E-5</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1.2261221408036241E-2</v>
      </c>
      <c r="D129" s="50">
        <f>IF(hist!$D$2&gt;0,hist!B129/hist!$D$2,0)</f>
        <v>1.2397647356986144E-6</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6.169310888903947E-2</v>
      </c>
      <c r="D130" s="50">
        <f>IF(hist!$D$2&gt;0,hist!B130/hist!$D$2,0)</f>
        <v>1.1776138001294711E-5</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2.4522346017210837E-3</v>
      </c>
      <c r="D131" s="50">
        <f>IF(hist!$D$2&gt;0,hist!B131/hist!$D$2,0)</f>
        <v>6.1964994101471801E-7</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3.2266254948841798E-2</v>
      </c>
      <c r="D132" s="50">
        <f>IF(hist!$D$2&gt;0,hist!B132/hist!$D$2,0)</f>
        <v>5.5782440301399968E-6</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3.3298808406013139E-2</v>
      </c>
      <c r="D133" s="50">
        <f>IF(hist!$D$2&gt;0,hist!B133/hist!$D$2,0)</f>
        <v>5.5782440301399968E-6</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v>
      </c>
      <c r="D134" s="50">
        <f>IF(hist!$D$2&gt;0,hist!B134/hist!$D$2,0)</f>
        <v>0</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2.2070140455148247E-2</v>
      </c>
      <c r="D135" s="50">
        <f>IF(hist!$D$2&gt;0,hist!B135/hist!$D$2,0)</f>
        <v>3.0991794124119466E-6</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v>
      </c>
      <c r="D136" s="50">
        <f>IF(hist!$D$2&gt;0,hist!B136/hist!$D$2,0)</f>
        <v>0</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1.4326231523517282E-2</v>
      </c>
      <c r="D137" s="50">
        <f>IF(hist!$D$2&gt;0,hist!B137/hist!$D$2,0)</f>
        <v>1.8594146767133322E-6</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v>
      </c>
      <c r="D139" s="50">
        <f>IF(hist!$D$2&gt;0,hist!B139/hist!$D$2,0)</f>
        <v>0</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v>
      </c>
      <c r="D142" s="50">
        <f>IF(hist!$D$2&gt;0,hist!B142/hist!$D$2,0)</f>
        <v>0</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v>
      </c>
      <c r="D144" s="50">
        <f>IF(hist!$D$2&gt;0,hist!B144/hist!$D$2,0)</f>
        <v>0</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v>
      </c>
      <c r="D147" s="50">
        <f>IF(hist!$D$2&gt;0,hist!B147/hist!$D$2,0)</f>
        <v>0</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v>
      </c>
      <c r="D149" s="50">
        <f>IF(hist!$D$2&gt;0,hist!B149/hist!$D$2,0)</f>
        <v>0</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34.831800000000001</v>
      </c>
      <c r="C5" s="49">
        <v>3.30694</v>
      </c>
      <c r="D5" s="49">
        <v>9.4940200000000008</v>
      </c>
      <c r="E5" s="49">
        <v>20</v>
      </c>
      <c r="F5" s="49">
        <v>30.696000000000002</v>
      </c>
      <c r="G5" s="49">
        <v>50</v>
      </c>
      <c r="H5" s="49">
        <v>41.437800000000003</v>
      </c>
    </row>
    <row r="6" spans="1:10">
      <c r="A6" t="s">
        <v>1111</v>
      </c>
      <c r="B6" s="49">
        <v>25.743400000000001</v>
      </c>
      <c r="C6" s="49">
        <v>0.84301800000000005</v>
      </c>
      <c r="D6" s="49">
        <v>3.2747000000000002</v>
      </c>
      <c r="E6" s="49">
        <v>20</v>
      </c>
      <c r="F6" s="49">
        <v>23.333600000000001</v>
      </c>
      <c r="G6" s="49">
        <v>40</v>
      </c>
      <c r="H6" s="49">
        <v>28.023199999999999</v>
      </c>
    </row>
    <row r="7" spans="1:10">
      <c r="A7" t="s">
        <v>1112</v>
      </c>
      <c r="B7" s="49">
        <v>35.123800000000003</v>
      </c>
      <c r="C7" s="49">
        <v>1.6735899999999999</v>
      </c>
      <c r="D7" s="49">
        <v>4.76485</v>
      </c>
      <c r="E7" s="49">
        <v>15</v>
      </c>
      <c r="F7" s="49">
        <v>25.253</v>
      </c>
      <c r="G7" s="49">
        <v>40</v>
      </c>
      <c r="H7" s="49">
        <v>41.757199999999997</v>
      </c>
    </row>
    <row r="8" spans="1:10">
      <c r="A8" t="s">
        <v>1113</v>
      </c>
      <c r="B8" s="49">
        <v>32.863900000000001</v>
      </c>
      <c r="C8" s="49">
        <v>0.72423800000000005</v>
      </c>
      <c r="D8" s="49">
        <v>2.2037499999999999</v>
      </c>
      <c r="E8" s="49">
        <v>20</v>
      </c>
      <c r="F8" s="49">
        <v>30.9482</v>
      </c>
      <c r="G8" s="49">
        <v>50</v>
      </c>
      <c r="H8" s="49">
        <v>33.414400000000001</v>
      </c>
    </row>
    <row r="9" spans="1:10">
      <c r="A9" t="s">
        <v>1114</v>
      </c>
      <c r="B9" s="49">
        <v>73.835300000000004</v>
      </c>
      <c r="C9" s="49">
        <v>1.97736</v>
      </c>
      <c r="D9" s="49">
        <v>2.67807</v>
      </c>
      <c r="E9" s="49">
        <v>50</v>
      </c>
      <c r="F9" s="49">
        <v>68.428899999999999</v>
      </c>
      <c r="G9" s="49">
        <v>100</v>
      </c>
      <c r="H9" s="49">
        <v>76.4285</v>
      </c>
    </row>
    <row r="10" spans="1:10">
      <c r="A10" t="s">
        <v>1115</v>
      </c>
      <c r="B10" s="49">
        <v>80.698899999999995</v>
      </c>
      <c r="C10" s="49">
        <v>0.65385400000000005</v>
      </c>
      <c r="D10" s="49">
        <v>0.81023900000000004</v>
      </c>
      <c r="E10" s="49">
        <v>40</v>
      </c>
      <c r="F10" s="49">
        <v>79.599699999999999</v>
      </c>
      <c r="G10" s="49">
        <v>100</v>
      </c>
      <c r="H10" s="49">
        <v>81.763300000000001</v>
      </c>
    </row>
    <row r="11" spans="1:10">
      <c r="A11" t="s">
        <v>1116</v>
      </c>
      <c r="B11" s="49">
        <v>17.912099999999999</v>
      </c>
      <c r="C11" s="49">
        <v>3.0303900000000001</v>
      </c>
      <c r="D11" s="49">
        <v>16.918099999999999</v>
      </c>
      <c r="E11" s="49">
        <v>10</v>
      </c>
      <c r="F11" s="49">
        <v>14.2041</v>
      </c>
      <c r="G11" s="49">
        <v>50</v>
      </c>
      <c r="H11" s="49">
        <v>24.2989</v>
      </c>
    </row>
    <row r="12" spans="1:10">
      <c r="A12" t="s">
        <v>1117</v>
      </c>
      <c r="B12" s="49">
        <v>76.976200000000006</v>
      </c>
      <c r="C12" s="49">
        <v>0.81118800000000002</v>
      </c>
      <c r="D12" s="49">
        <v>1.05382</v>
      </c>
      <c r="E12" s="49">
        <v>50</v>
      </c>
      <c r="F12" s="49">
        <v>75.096100000000007</v>
      </c>
      <c r="G12" s="49">
        <v>100</v>
      </c>
      <c r="H12" s="49">
        <v>78.551500000000004</v>
      </c>
    </row>
    <row r="13" spans="1:10">
      <c r="A13" t="s">
        <v>1118</v>
      </c>
      <c r="B13" s="49">
        <v>19.178100000000001</v>
      </c>
      <c r="C13" s="49">
        <v>2.3195399999999999</v>
      </c>
      <c r="D13" s="49">
        <v>12.0947</v>
      </c>
      <c r="E13" s="49">
        <v>10</v>
      </c>
      <c r="F13" s="49">
        <v>16.1266</v>
      </c>
      <c r="G13" s="49">
        <v>25</v>
      </c>
      <c r="H13" s="49">
        <v>23.642800000000001</v>
      </c>
      <c r="J13" s="49"/>
    </row>
    <row r="14" spans="1:10">
      <c r="A14" t="s">
        <v>1119</v>
      </c>
      <c r="B14" s="49">
        <v>23.195399999999999</v>
      </c>
      <c r="C14" s="49">
        <v>6.25603</v>
      </c>
      <c r="D14" s="49">
        <v>26.971</v>
      </c>
      <c r="E14" s="49">
        <v>10</v>
      </c>
      <c r="F14" s="49">
        <v>1.48817</v>
      </c>
      <c r="G14" s="49">
        <v>50</v>
      </c>
      <c r="H14" s="49">
        <v>23.523399999999999</v>
      </c>
    </row>
    <row r="15" spans="1:10">
      <c r="A15" t="s">
        <v>1120</v>
      </c>
      <c r="B15" s="49">
        <v>-7.4964699999999995E-2</v>
      </c>
      <c r="C15" s="49">
        <v>0</v>
      </c>
      <c r="D15" s="49">
        <v>0</v>
      </c>
      <c r="E15" s="49">
        <v>0</v>
      </c>
      <c r="F15" s="49">
        <v>0</v>
      </c>
      <c r="G15" s="49">
        <v>0</v>
      </c>
      <c r="H15" s="49">
        <v>0</v>
      </c>
    </row>
    <row r="16" spans="1:10">
      <c r="A16" t="s">
        <v>1121</v>
      </c>
      <c r="B16" s="49">
        <v>-0.18793799999999999</v>
      </c>
      <c r="C16" s="49">
        <v>0</v>
      </c>
      <c r="D16" s="49">
        <v>0</v>
      </c>
      <c r="E16" s="49">
        <v>0</v>
      </c>
      <c r="F16" s="49">
        <v>0</v>
      </c>
      <c r="G16" s="49">
        <v>0</v>
      </c>
      <c r="H16" s="49">
        <v>0</v>
      </c>
    </row>
    <row r="17" spans="1:8">
      <c r="A17" t="s">
        <v>1122</v>
      </c>
      <c r="B17" s="49">
        <v>8.0263299999999997</v>
      </c>
      <c r="C17" s="49">
        <v>0</v>
      </c>
      <c r="D17" s="49">
        <v>0</v>
      </c>
      <c r="E17" s="49">
        <v>0</v>
      </c>
      <c r="F17" s="49">
        <v>0</v>
      </c>
      <c r="G17" s="49">
        <v>0</v>
      </c>
      <c r="H17" s="49">
        <v>0</v>
      </c>
    </row>
    <row r="18" spans="1:8">
      <c r="A18" t="s">
        <v>1123</v>
      </c>
      <c r="B18" s="49">
        <v>0.61207599999999995</v>
      </c>
      <c r="C18" s="49">
        <v>0</v>
      </c>
      <c r="D18" s="49">
        <v>0</v>
      </c>
      <c r="E18" s="49">
        <v>0</v>
      </c>
      <c r="F18" s="49">
        <v>0</v>
      </c>
      <c r="G18" s="49">
        <v>0</v>
      </c>
      <c r="H18" s="49">
        <v>0</v>
      </c>
    </row>
    <row r="19" spans="1:8">
      <c r="A19" t="s">
        <v>1124</v>
      </c>
      <c r="B19" s="49">
        <v>0.65397899999999998</v>
      </c>
      <c r="C19" s="49">
        <v>0</v>
      </c>
      <c r="D19" s="49">
        <v>0</v>
      </c>
      <c r="E19" s="49">
        <v>0</v>
      </c>
      <c r="F19" s="49">
        <v>0</v>
      </c>
      <c r="G19" s="49">
        <v>0</v>
      </c>
      <c r="H19" s="49">
        <v>0</v>
      </c>
    </row>
    <row r="20" spans="1:8">
      <c r="A20" t="s">
        <v>1125</v>
      </c>
      <c r="B20" s="49">
        <v>2.5298199999999999E-3</v>
      </c>
      <c r="C20" s="49">
        <v>7.9981800000000006E-3</v>
      </c>
      <c r="D20" s="49">
        <v>3.1615600000000001</v>
      </c>
      <c r="E20" s="49">
        <v>0</v>
      </c>
      <c r="F20" s="49">
        <v>1.87704E-3</v>
      </c>
      <c r="G20" s="49">
        <v>0</v>
      </c>
      <c r="H20" s="49">
        <v>7.3964000000000002E-2</v>
      </c>
    </row>
    <row r="21" spans="1:8">
      <c r="A21" t="s">
        <v>1126</v>
      </c>
      <c r="B21" s="49">
        <v>8.7013899999999998E-3</v>
      </c>
      <c r="C21" s="49">
        <v>6.0605199999999998E-2</v>
      </c>
      <c r="D21" s="49">
        <v>6.9649999999999999</v>
      </c>
      <c r="E21" s="49">
        <v>0</v>
      </c>
      <c r="F21" s="49">
        <v>2.5849699999999998E-3</v>
      </c>
      <c r="G21" s="49">
        <v>0</v>
      </c>
      <c r="H21" s="49">
        <v>0.31864300000000001</v>
      </c>
    </row>
    <row r="22" spans="1:8">
      <c r="A22" t="s">
        <v>1127</v>
      </c>
      <c r="B22" s="49">
        <v>35.722000000000001</v>
      </c>
      <c r="C22" s="49">
        <v>7.1448200000000002</v>
      </c>
      <c r="D22" s="49">
        <v>0.200012</v>
      </c>
      <c r="E22" s="49">
        <v>0</v>
      </c>
      <c r="F22" s="49">
        <v>23.944700000000001</v>
      </c>
      <c r="G22" s="49">
        <v>0</v>
      </c>
      <c r="H22" s="49">
        <v>51.973100000000002</v>
      </c>
    </row>
    <row r="23" spans="1:8">
      <c r="A23" t="s">
        <v>1128</v>
      </c>
      <c r="B23" s="49">
        <v>34.627400000000002</v>
      </c>
      <c r="C23" s="49">
        <v>6.774</v>
      </c>
      <c r="D23" s="49">
        <v>0.19562599999999999</v>
      </c>
      <c r="E23" s="49">
        <v>0</v>
      </c>
      <c r="F23" s="49">
        <v>25.849599999999999</v>
      </c>
      <c r="G23" s="49">
        <v>0</v>
      </c>
      <c r="H23" s="49">
        <v>49.9011</v>
      </c>
    </row>
    <row r="24" spans="1:8">
      <c r="A24" t="s">
        <v>1129</v>
      </c>
      <c r="B24" s="49">
        <v>3.1745200000000001E-3</v>
      </c>
      <c r="C24" s="49">
        <v>4.5623299999999999E-3</v>
      </c>
      <c r="D24" s="49">
        <v>1.4371700000000001</v>
      </c>
      <c r="E24" s="49">
        <v>0</v>
      </c>
      <c r="F24" s="49">
        <v>2.1581700000000001E-3</v>
      </c>
      <c r="G24" s="49">
        <v>0</v>
      </c>
      <c r="H24" s="49">
        <v>2.6680800000000001E-2</v>
      </c>
    </row>
    <row r="25" spans="1:8">
      <c r="A25" t="s">
        <v>1130</v>
      </c>
      <c r="B25" s="49">
        <v>1.31395E-2</v>
      </c>
      <c r="C25" s="49">
        <v>4.1840099999999998E-2</v>
      </c>
      <c r="D25" s="49">
        <v>3.1842999999999999</v>
      </c>
      <c r="E25" s="49">
        <v>0</v>
      </c>
      <c r="F25" s="49">
        <v>5.7958000000000003E-3</v>
      </c>
      <c r="G25" s="49">
        <v>0</v>
      </c>
      <c r="H25" s="49">
        <v>0.129104</v>
      </c>
    </row>
    <row r="26" spans="1:8">
      <c r="A26" t="s">
        <v>1131</v>
      </c>
      <c r="B26" s="49">
        <v>4.9755600000000002E-4</v>
      </c>
      <c r="C26" s="49">
        <v>7.4291699999999995E-4</v>
      </c>
      <c r="D26" s="49">
        <v>1.4931300000000001</v>
      </c>
      <c r="E26" s="49">
        <v>0</v>
      </c>
      <c r="F26" s="173">
        <v>3.82987E-4</v>
      </c>
      <c r="G26" s="49">
        <v>0</v>
      </c>
      <c r="H26" s="49">
        <v>7.4284199999999998E-3</v>
      </c>
    </row>
    <row r="27" spans="1:8">
      <c r="A27" t="s">
        <v>1132</v>
      </c>
      <c r="B27" s="173">
        <v>-1.09113E-6</v>
      </c>
      <c r="C27" s="49">
        <v>6.6083899999999998E-4</v>
      </c>
      <c r="D27" s="49">
        <v>-605.64599999999996</v>
      </c>
      <c r="E27" s="49">
        <v>0</v>
      </c>
      <c r="F27" s="49">
        <v>-4.2575900000000003E-3</v>
      </c>
      <c r="G27" s="49">
        <v>0</v>
      </c>
      <c r="H27" s="49">
        <v>5.0835799999999999E-3</v>
      </c>
    </row>
    <row r="28" spans="1:8">
      <c r="A28" t="s">
        <v>1133</v>
      </c>
      <c r="B28" s="49">
        <v>1.30317E-3</v>
      </c>
      <c r="C28" s="49">
        <v>4.8155100000000003E-3</v>
      </c>
      <c r="D28" s="49">
        <v>3.69523</v>
      </c>
      <c r="E28" s="49">
        <v>0</v>
      </c>
      <c r="F28" s="49">
        <v>5.1432300000000002E-4</v>
      </c>
      <c r="G28" s="49">
        <v>0</v>
      </c>
      <c r="H28" s="49">
        <v>2.5519699999999999E-2</v>
      </c>
    </row>
    <row r="29" spans="1:8">
      <c r="A29" t="s">
        <v>1134</v>
      </c>
      <c r="B29" s="49">
        <v>51.738900000000001</v>
      </c>
      <c r="C29" s="49">
        <v>5.5901199999999998</v>
      </c>
      <c r="D29" s="49">
        <v>0.108045</v>
      </c>
      <c r="E29" s="49">
        <v>0</v>
      </c>
      <c r="F29" s="49">
        <v>42.531500000000001</v>
      </c>
      <c r="G29" s="49">
        <v>0</v>
      </c>
      <c r="H29" s="49">
        <v>67.004199999999997</v>
      </c>
    </row>
    <row r="30" spans="1:8">
      <c r="A30" t="s">
        <v>1135</v>
      </c>
      <c r="B30" s="49">
        <v>20.398299999999999</v>
      </c>
      <c r="C30" s="49">
        <v>3.8918699999999999</v>
      </c>
      <c r="D30" s="49">
        <v>0.19079399999999999</v>
      </c>
      <c r="E30" s="49">
        <v>0</v>
      </c>
      <c r="F30" s="49">
        <v>14.2484</v>
      </c>
      <c r="G30" s="49">
        <v>0</v>
      </c>
      <c r="H30" s="49">
        <v>28.9602</v>
      </c>
    </row>
    <row r="31" spans="1:8">
      <c r="A31" t="s">
        <v>1136</v>
      </c>
      <c r="B31" s="49">
        <v>187.916</v>
      </c>
      <c r="C31" s="49">
        <v>32.184800000000003</v>
      </c>
      <c r="D31" s="49">
        <v>0.17127200000000001</v>
      </c>
      <c r="E31" s="49">
        <v>0</v>
      </c>
      <c r="F31" s="49">
        <v>145.173</v>
      </c>
      <c r="G31" s="49">
        <v>0</v>
      </c>
      <c r="H31" s="49">
        <v>243.37100000000001</v>
      </c>
    </row>
    <row r="32" spans="1:8">
      <c r="A32" t="s">
        <v>1137</v>
      </c>
      <c r="B32" s="49">
        <v>0.35123799999999999</v>
      </c>
      <c r="C32" s="49">
        <v>1.6735900000000001E-2</v>
      </c>
      <c r="D32" s="49">
        <v>4.7648500000000003E-2</v>
      </c>
      <c r="E32" s="49">
        <v>0.15</v>
      </c>
      <c r="F32" s="49">
        <v>0.25252999999999998</v>
      </c>
      <c r="G32" s="49">
        <v>0.4</v>
      </c>
      <c r="H32" s="49">
        <v>0.417572</v>
      </c>
    </row>
    <row r="33" spans="1:8">
      <c r="A33" t="s">
        <v>1138</v>
      </c>
      <c r="B33" s="49">
        <v>0.23053000000000001</v>
      </c>
      <c r="C33" s="173">
        <v>6.2600800000000005E-5</v>
      </c>
      <c r="D33" s="49">
        <v>2.7155099999999998E-4</v>
      </c>
      <c r="E33" s="49">
        <v>0</v>
      </c>
      <c r="F33" s="49">
        <v>0.23036799999999999</v>
      </c>
      <c r="G33" s="49">
        <v>0</v>
      </c>
      <c r="H33" s="49">
        <v>0.23062299999999999</v>
      </c>
    </row>
    <row r="34" spans="1:8">
      <c r="A34" t="s">
        <v>1139</v>
      </c>
      <c r="B34" s="49">
        <v>0.19178100000000001</v>
      </c>
      <c r="C34" s="49">
        <v>2.3195400000000001E-2</v>
      </c>
      <c r="D34" s="49">
        <v>0.120947</v>
      </c>
      <c r="E34" s="49">
        <v>0.1</v>
      </c>
      <c r="F34" s="49">
        <v>0.16126599999999999</v>
      </c>
      <c r="G34" s="49">
        <v>0.25</v>
      </c>
      <c r="H34" s="49">
        <v>0.236428</v>
      </c>
    </row>
    <row r="35" spans="1:8">
      <c r="A35" t="s">
        <v>1140</v>
      </c>
      <c r="B35" s="49">
        <v>8.3856600000000003E-2</v>
      </c>
      <c r="C35" s="49">
        <v>1.6051699999999999E-2</v>
      </c>
      <c r="D35" s="49">
        <v>0.191418</v>
      </c>
      <c r="E35" s="49">
        <v>0</v>
      </c>
      <c r="F35" s="49">
        <v>6.1533299999999999E-2</v>
      </c>
      <c r="G35" s="49">
        <v>0</v>
      </c>
      <c r="H35" s="49">
        <v>0.12456399999999999</v>
      </c>
    </row>
    <row r="36" spans="1:8">
      <c r="A36" t="s">
        <v>1141</v>
      </c>
      <c r="B36" s="49">
        <v>0.16730500000000001</v>
      </c>
      <c r="C36" s="49">
        <v>9.3340099999999995E-2</v>
      </c>
      <c r="D36" s="49">
        <v>0.55790399999999996</v>
      </c>
      <c r="E36" s="49">
        <v>0</v>
      </c>
      <c r="F36" s="49">
        <v>3.8888800000000001E-2</v>
      </c>
      <c r="G36" s="49">
        <v>0</v>
      </c>
      <c r="H36" s="49">
        <v>0.408439</v>
      </c>
    </row>
    <row r="37" spans="1:8">
      <c r="A37" t="s">
        <v>1142</v>
      </c>
      <c r="B37" s="49">
        <v>0.23195399999999999</v>
      </c>
      <c r="C37" s="49">
        <v>6.2560299999999999E-2</v>
      </c>
      <c r="D37" s="49">
        <v>0.26971000000000001</v>
      </c>
      <c r="E37" s="49">
        <v>0.1</v>
      </c>
      <c r="F37" s="49">
        <v>1.4881699999999999E-2</v>
      </c>
      <c r="G37" s="49">
        <v>0.5</v>
      </c>
      <c r="H37" s="49">
        <v>0.235234</v>
      </c>
    </row>
    <row r="38" spans="1:8">
      <c r="A38" t="s">
        <v>1143</v>
      </c>
      <c r="B38" s="49">
        <v>0</v>
      </c>
      <c r="C38" s="49">
        <v>81.489000000000004</v>
      </c>
      <c r="D38" s="49">
        <v>0</v>
      </c>
      <c r="E38" s="49">
        <v>0</v>
      </c>
      <c r="F38" s="49">
        <v>-287.74900000000002</v>
      </c>
      <c r="G38" s="49">
        <v>0</v>
      </c>
      <c r="H38" s="49">
        <v>219.88</v>
      </c>
    </row>
    <row r="39" spans="1:8">
      <c r="A39" t="s">
        <v>1144</v>
      </c>
      <c r="B39" s="49">
        <v>0.79205300000000001</v>
      </c>
      <c r="C39" s="49">
        <v>14.2645</v>
      </c>
      <c r="D39" s="49">
        <v>18.009599999999999</v>
      </c>
      <c r="E39" s="49">
        <v>0</v>
      </c>
      <c r="F39" s="49">
        <v>-7.4184599999999996</v>
      </c>
      <c r="G39" s="49">
        <v>0</v>
      </c>
      <c r="H39" s="49">
        <v>47.137</v>
      </c>
    </row>
    <row r="40" spans="1:8">
      <c r="A40" t="s">
        <v>1145</v>
      </c>
      <c r="B40" s="49">
        <v>-8.4564800000000009</v>
      </c>
      <c r="C40" s="49">
        <v>1.7013199999999999</v>
      </c>
      <c r="D40" s="49">
        <v>-0.201185</v>
      </c>
      <c r="E40" s="49">
        <v>0</v>
      </c>
      <c r="F40" s="49">
        <v>-12.020099999999999</v>
      </c>
      <c r="G40" s="49">
        <v>0</v>
      </c>
      <c r="H40" s="49">
        <v>-5.3699500000000002</v>
      </c>
    </row>
    <row r="41" spans="1:8">
      <c r="A41" t="s">
        <v>1146</v>
      </c>
      <c r="B41" s="49">
        <v>2.9609200000000001E-3</v>
      </c>
      <c r="C41" s="49">
        <v>0.54755699999999996</v>
      </c>
      <c r="D41" s="49">
        <v>184.928</v>
      </c>
      <c r="E41" s="49">
        <v>0</v>
      </c>
      <c r="F41" s="49">
        <v>-1</v>
      </c>
      <c r="G41" s="49">
        <v>0</v>
      </c>
      <c r="H41" s="49">
        <v>1</v>
      </c>
    </row>
    <row r="42" spans="1:8">
      <c r="A42" t="s">
        <v>1147</v>
      </c>
      <c r="B42" s="49">
        <v>-1.42212E-3</v>
      </c>
      <c r="C42" s="49">
        <v>0.21784899999999999</v>
      </c>
      <c r="D42" s="49">
        <v>-153.18700000000001</v>
      </c>
      <c r="E42" s="49">
        <v>0</v>
      </c>
      <c r="F42" s="49">
        <v>-0.11428099999999999</v>
      </c>
      <c r="G42" s="49">
        <v>0</v>
      </c>
      <c r="H42" s="49">
        <v>0.64183999999999997</v>
      </c>
    </row>
    <row r="43" spans="1:8">
      <c r="A43" t="s">
        <v>1148</v>
      </c>
      <c r="B43" s="49">
        <v>-0.118781</v>
      </c>
      <c r="C43" s="49">
        <v>5.3604100000000003E-3</v>
      </c>
      <c r="D43" s="49">
        <v>-4.5128700000000001E-2</v>
      </c>
      <c r="E43" s="49">
        <v>0</v>
      </c>
      <c r="F43" s="49">
        <v>-0.126526</v>
      </c>
      <c r="G43" s="49">
        <v>0</v>
      </c>
      <c r="H43" s="49">
        <v>-8.4451600000000002E-2</v>
      </c>
    </row>
    <row r="44" spans="1:8">
      <c r="A44" t="s">
        <v>1149</v>
      </c>
      <c r="B44" s="49">
        <v>-69.474299999999999</v>
      </c>
      <c r="C44" s="49">
        <v>13.754899999999999</v>
      </c>
      <c r="D44" s="49">
        <v>-0.197986</v>
      </c>
      <c r="E44" s="49">
        <v>0</v>
      </c>
      <c r="F44" s="49">
        <v>-89.831800000000001</v>
      </c>
      <c r="G44" s="49">
        <v>0</v>
      </c>
      <c r="H44" s="49">
        <v>-47.5824</v>
      </c>
    </row>
    <row r="45" spans="1:8">
      <c r="A45" t="s">
        <v>1150</v>
      </c>
      <c r="B45" s="49">
        <v>45.017600000000002</v>
      </c>
      <c r="C45" s="49">
        <v>6.3121</v>
      </c>
      <c r="D45" s="49">
        <v>0.14021400000000001</v>
      </c>
      <c r="E45" s="49">
        <v>0</v>
      </c>
      <c r="F45" s="49">
        <v>36.957700000000003</v>
      </c>
      <c r="G45" s="49">
        <v>0</v>
      </c>
      <c r="H45" s="49">
        <v>59.621299999999998</v>
      </c>
    </row>
    <row r="46" spans="1:8">
      <c r="A46" t="s">
        <v>1151</v>
      </c>
      <c r="B46" s="49">
        <v>25.876799999999999</v>
      </c>
      <c r="C46" s="49">
        <v>2.5134099999999999</v>
      </c>
      <c r="D46" s="49">
        <v>9.7129800000000002E-2</v>
      </c>
      <c r="E46" s="49">
        <v>0</v>
      </c>
      <c r="F46" s="49">
        <v>22.698799999999999</v>
      </c>
      <c r="G46" s="49">
        <v>0</v>
      </c>
      <c r="H46" s="49">
        <v>29.902699999999999</v>
      </c>
    </row>
    <row r="47" spans="1:8">
      <c r="A47" t="s">
        <v>1152</v>
      </c>
      <c r="B47" s="49">
        <v>0.26753100000000002</v>
      </c>
      <c r="C47" s="49">
        <v>0.234848</v>
      </c>
      <c r="D47" s="49">
        <v>0.877834</v>
      </c>
      <c r="E47" s="49">
        <v>0</v>
      </c>
      <c r="F47" s="49">
        <v>0.13175300000000001</v>
      </c>
      <c r="G47" s="49">
        <v>0</v>
      </c>
      <c r="H47" s="49">
        <v>0.954206</v>
      </c>
    </row>
    <row r="48" spans="1:8">
      <c r="A48" t="s">
        <v>1153</v>
      </c>
      <c r="B48" s="49">
        <v>0.99114000000000002</v>
      </c>
      <c r="C48" s="49">
        <v>0.127696</v>
      </c>
      <c r="D48" s="49">
        <v>0.12883700000000001</v>
      </c>
      <c r="E48" s="49">
        <v>0</v>
      </c>
      <c r="F48" s="49">
        <v>0.73601700000000003</v>
      </c>
      <c r="G48" s="49">
        <v>0</v>
      </c>
      <c r="H48" s="49">
        <v>1.18916</v>
      </c>
    </row>
    <row r="50" spans="1:4">
      <c r="A50" t="str">
        <f>lang!B7</f>
        <v>긍정감정</v>
      </c>
      <c r="B50" s="134">
        <f>SUM(B9:B12)</f>
        <v>249.42250000000001</v>
      </c>
      <c r="C50" s="134"/>
      <c r="D50" s="134">
        <f t="shared" ref="D50" si="0">SUM(D9:D12)</f>
        <v>21.460228999999998</v>
      </c>
    </row>
    <row r="51" spans="1:4">
      <c r="A51" t="str">
        <f>lang!B8</f>
        <v>부정감정</v>
      </c>
      <c r="B51" s="134">
        <f>SUM(B5:B8)</f>
        <v>128.56290000000001</v>
      </c>
      <c r="C51" s="134"/>
      <c r="D51" s="134">
        <f t="shared" ref="D51" si="1">SUM(D5:D8)</f>
        <v>19.73732</v>
      </c>
    </row>
    <row r="52" spans="1:4">
      <c r="A52" t="str">
        <f>lang!B9</f>
        <v>생리감정</v>
      </c>
      <c r="B52" s="134">
        <f>SUM(B13:B14)</f>
        <v>42.3735</v>
      </c>
      <c r="C52" s="134"/>
      <c r="D52" s="134">
        <f t="shared" ref="D52" si="2">SUM(D13:D14)</f>
        <v>39.0657</v>
      </c>
    </row>
    <row r="53" spans="1:4">
      <c r="B53" s="50">
        <f>SUM(B50:B52)</f>
        <v>420.35890000000001</v>
      </c>
      <c r="D53" s="50">
        <f>SUM(D50:D52)</f>
        <v>80.263249000000002</v>
      </c>
    </row>
    <row r="54" spans="1:4">
      <c r="A54" t="str">
        <f>lang!B7</f>
        <v>긍정감정</v>
      </c>
      <c r="B54" s="135">
        <f>IF(B$53&lt;&gt;0,B50/B$53,0)</f>
        <v>0.59335605835870253</v>
      </c>
      <c r="C54" s="135"/>
      <c r="D54" s="135">
        <f>IF(D$53&lt;&gt;0,D50/D$53,0)</f>
        <v>0.2673730414277149</v>
      </c>
    </row>
    <row r="55" spans="1:4">
      <c r="A55" t="str">
        <f>lang!B8</f>
        <v>부정감정</v>
      </c>
      <c r="B55" s="135">
        <f>IF(B$53&lt;&gt;0,B51/B$53,0)</f>
        <v>0.30584079461621966</v>
      </c>
      <c r="C55" s="135"/>
      <c r="D55" s="135">
        <f>IF(D$53&lt;&gt;0,D51/D$53,0)</f>
        <v>0.24590731431766485</v>
      </c>
    </row>
    <row r="56" spans="1:4">
      <c r="A56" t="str">
        <f>lang!B9</f>
        <v>생리감정</v>
      </c>
      <c r="B56" s="135">
        <f>IF(B$53&lt;&gt;0,B52/B$53,0)</f>
        <v>0.10080314702507785</v>
      </c>
      <c r="C56" s="135"/>
      <c r="D56" s="135">
        <f>IF(D$53&lt;&gt;0,D52/D$53,0)</f>
        <v>0.48671964425462017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10.3307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0.113333</v>
      </c>
      <c r="B17" s="49">
        <v>0.113333</v>
      </c>
    </row>
    <row r="18" spans="1:2">
      <c r="A18" s="49">
        <v>8.9333300000000004E-2</v>
      </c>
      <c r="B18" s="49">
        <v>8.9333300000000004E-2</v>
      </c>
    </row>
    <row r="19" spans="1:2">
      <c r="A19" s="49">
        <v>0.61466699999999996</v>
      </c>
      <c r="B19" s="49">
        <v>0.61466699999999996</v>
      </c>
    </row>
    <row r="20" spans="1:2">
      <c r="A20" s="49">
        <v>1.2186699999999999</v>
      </c>
      <c r="B20" s="49">
        <v>1.2186699999999999</v>
      </c>
    </row>
    <row r="21" spans="1:2">
      <c r="A21" s="49">
        <v>1.544</v>
      </c>
      <c r="B21" s="49">
        <v>1.544</v>
      </c>
    </row>
    <row r="22" spans="1:2">
      <c r="A22" s="49">
        <v>1.8360000000000001</v>
      </c>
      <c r="B22" s="49">
        <v>1.8360000000000001</v>
      </c>
    </row>
    <row r="23" spans="1:2">
      <c r="A23" s="49">
        <v>1.4666699999999999</v>
      </c>
      <c r="B23" s="49">
        <v>1.4666699999999999</v>
      </c>
    </row>
    <row r="24" spans="1:2">
      <c r="A24" s="49">
        <v>1.43333</v>
      </c>
      <c r="B24" s="49">
        <v>1.43333</v>
      </c>
    </row>
    <row r="25" spans="1:2">
      <c r="A25" s="49">
        <v>2.9106700000000001</v>
      </c>
      <c r="B25" s="49">
        <v>2.9106700000000001</v>
      </c>
    </row>
    <row r="26" spans="1:2">
      <c r="A26" s="49">
        <v>1.0493300000000001</v>
      </c>
      <c r="B26" s="49">
        <v>1.0493300000000001</v>
      </c>
    </row>
    <row r="27" spans="1:2">
      <c r="A27" s="49">
        <v>1.7426699999999999</v>
      </c>
      <c r="B27" s="49">
        <v>1.7426699999999999</v>
      </c>
    </row>
    <row r="28" spans="1:2">
      <c r="A28" s="49">
        <v>2.5253299999999999</v>
      </c>
      <c r="B28" s="49">
        <v>2.5253299999999999</v>
      </c>
    </row>
    <row r="29" spans="1:2">
      <c r="A29" s="49">
        <v>1.81467</v>
      </c>
      <c r="B29" s="49">
        <v>1.81467</v>
      </c>
    </row>
    <row r="30" spans="1:2">
      <c r="A30" s="49">
        <v>3.1026699999999998</v>
      </c>
      <c r="B30" s="49">
        <v>3.1026699999999998</v>
      </c>
    </row>
    <row r="31" spans="1:2">
      <c r="A31" s="49">
        <v>5.4426699999999997</v>
      </c>
      <c r="B31" s="49">
        <v>5.4426699999999997</v>
      </c>
    </row>
    <row r="32" spans="1:2">
      <c r="A32" s="49">
        <v>3.4013300000000002</v>
      </c>
      <c r="B32" s="49">
        <v>3.4013300000000002</v>
      </c>
    </row>
    <row r="33" spans="1:2">
      <c r="A33" s="49">
        <v>6.3853299999999997</v>
      </c>
      <c r="B33" s="49">
        <v>6.3853299999999997</v>
      </c>
    </row>
    <row r="34" spans="1:2">
      <c r="A34" s="49">
        <v>8.0053300000000007</v>
      </c>
      <c r="B34" s="49">
        <v>8.0053300000000007</v>
      </c>
    </row>
    <row r="35" spans="1:2">
      <c r="A35" s="49">
        <v>5.4186699999999997</v>
      </c>
      <c r="B35" s="49">
        <v>5.4186699999999997</v>
      </c>
    </row>
    <row r="36" spans="1:2">
      <c r="A36" s="49">
        <v>7.15733</v>
      </c>
      <c r="B36" s="49">
        <v>7.15733</v>
      </c>
    </row>
    <row r="37" spans="1:2">
      <c r="A37" s="49">
        <v>7.1213300000000004</v>
      </c>
      <c r="B37" s="49">
        <v>7.1213300000000004</v>
      </c>
    </row>
    <row r="38" spans="1:2">
      <c r="A38" s="49">
        <v>7.7893299999999996</v>
      </c>
      <c r="B38" s="49">
        <v>7.7893299999999996</v>
      </c>
    </row>
    <row r="39" spans="1:2">
      <c r="A39" s="49">
        <v>7.77067</v>
      </c>
      <c r="B39" s="49">
        <v>7.77067</v>
      </c>
    </row>
    <row r="40" spans="1:2">
      <c r="A40" s="49">
        <v>5.2973299999999997</v>
      </c>
      <c r="B40" s="49">
        <v>5.2973299999999997</v>
      </c>
    </row>
    <row r="41" spans="1:2">
      <c r="A41" s="49">
        <v>6.0640000000000001</v>
      </c>
      <c r="B41" s="49">
        <v>6.0640000000000001</v>
      </c>
    </row>
    <row r="42" spans="1:2">
      <c r="A42" s="49">
        <v>7.0333300000000003</v>
      </c>
      <c r="B42" s="49">
        <v>7.0333300000000003</v>
      </c>
    </row>
    <row r="43" spans="1:2">
      <c r="A43" s="49">
        <v>4.3573300000000001</v>
      </c>
      <c r="B43" s="49">
        <v>4.3573300000000001</v>
      </c>
    </row>
    <row r="44" spans="1:2">
      <c r="A44" s="49">
        <v>5.1146700000000003</v>
      </c>
      <c r="B44" s="49">
        <v>5.1146700000000003</v>
      </c>
    </row>
    <row r="45" spans="1:2">
      <c r="A45" s="49">
        <v>5.52</v>
      </c>
      <c r="B45" s="49">
        <v>5.52</v>
      </c>
    </row>
    <row r="46" spans="1:2">
      <c r="A46" s="49">
        <v>3.6240000000000001</v>
      </c>
      <c r="B46" s="49">
        <v>3.6240000000000001</v>
      </c>
    </row>
    <row r="47" spans="1:2">
      <c r="A47" s="49">
        <v>4.6186699999999998</v>
      </c>
      <c r="B47" s="49">
        <v>4.6186699999999998</v>
      </c>
    </row>
    <row r="48" spans="1:2">
      <c r="A48" s="49">
        <v>5.4466700000000001</v>
      </c>
      <c r="B48" s="49">
        <v>5.4466700000000001</v>
      </c>
    </row>
    <row r="49" spans="1:2">
      <c r="A49" s="49">
        <v>3.27467</v>
      </c>
      <c r="B49" s="49">
        <v>3.27467</v>
      </c>
    </row>
    <row r="50" spans="1:2">
      <c r="A50" s="49">
        <v>4.4333299999999998</v>
      </c>
      <c r="B50" s="49">
        <v>4.4333299999999998</v>
      </c>
    </row>
    <row r="51" spans="1:2">
      <c r="A51" s="49">
        <v>4.7386699999999999</v>
      </c>
      <c r="B51" s="49">
        <v>4.7386699999999999</v>
      </c>
    </row>
    <row r="52" spans="1:2">
      <c r="A52" s="49">
        <v>6.0413300000000003</v>
      </c>
      <c r="B52" s="49">
        <v>6.0413300000000003</v>
      </c>
    </row>
    <row r="53" spans="1:2">
      <c r="A53" s="49">
        <v>2.9826700000000002</v>
      </c>
      <c r="B53" s="49">
        <v>2.9826700000000002</v>
      </c>
    </row>
    <row r="54" spans="1:2">
      <c r="A54" s="49">
        <v>6.35867</v>
      </c>
      <c r="B54" s="49">
        <v>6.35867</v>
      </c>
    </row>
    <row r="55" spans="1:2">
      <c r="A55" s="49">
        <v>6.5506700000000002</v>
      </c>
      <c r="B55" s="49">
        <v>6.5506700000000002</v>
      </c>
    </row>
    <row r="56" spans="1:2">
      <c r="A56" s="49">
        <v>4.452</v>
      </c>
      <c r="B56" s="49">
        <v>4.452</v>
      </c>
    </row>
    <row r="57" spans="1:2">
      <c r="A57" s="49">
        <v>5.8613299999999997</v>
      </c>
      <c r="B57" s="49">
        <v>5.8613299999999997</v>
      </c>
    </row>
    <row r="58" spans="1:2">
      <c r="A58" s="49">
        <v>6.9893299999999998</v>
      </c>
      <c r="B58" s="49">
        <v>6.9893299999999998</v>
      </c>
    </row>
    <row r="59" spans="1:2">
      <c r="A59" s="49">
        <v>4.81067</v>
      </c>
      <c r="B59" s="49">
        <v>4.81067</v>
      </c>
    </row>
    <row r="60" spans="1:2">
      <c r="A60" s="49">
        <v>6.78667</v>
      </c>
      <c r="B60" s="49">
        <v>6.78667</v>
      </c>
    </row>
    <row r="61" spans="1:2">
      <c r="A61" s="49">
        <v>8.4853299999999994</v>
      </c>
      <c r="B61" s="49">
        <v>8.4853299999999994</v>
      </c>
    </row>
    <row r="62" spans="1:2">
      <c r="A62" s="49">
        <v>5.9693300000000002</v>
      </c>
      <c r="B62" s="49">
        <v>5.9693300000000002</v>
      </c>
    </row>
    <row r="63" spans="1:2">
      <c r="A63" s="49">
        <v>8.7040000000000006</v>
      </c>
      <c r="B63" s="49">
        <v>8.7040000000000006</v>
      </c>
    </row>
    <row r="64" spans="1:2">
      <c r="A64" s="49">
        <v>5.9039999999999999</v>
      </c>
      <c r="B64" s="49">
        <v>5.9039999999999999</v>
      </c>
    </row>
    <row r="65" spans="1:2">
      <c r="A65" s="49">
        <v>7.8906700000000001</v>
      </c>
      <c r="B65" s="49">
        <v>7.8906700000000001</v>
      </c>
    </row>
    <row r="66" spans="1:2">
      <c r="A66" s="49">
        <v>9.29467</v>
      </c>
      <c r="B66" s="49">
        <v>9.29467</v>
      </c>
    </row>
    <row r="67" spans="1:2">
      <c r="A67" s="49">
        <v>6.3813300000000002</v>
      </c>
      <c r="B67" s="49">
        <v>6.3813300000000002</v>
      </c>
    </row>
    <row r="68" spans="1:2">
      <c r="A68" s="49">
        <v>7.8120000000000003</v>
      </c>
      <c r="B68" s="49">
        <v>7.8120000000000003</v>
      </c>
    </row>
    <row r="69" spans="1:2">
      <c r="A69" s="49">
        <v>9.3386700000000005</v>
      </c>
      <c r="B69" s="49">
        <v>9.3386700000000005</v>
      </c>
    </row>
    <row r="70" spans="1:2">
      <c r="A70" s="49">
        <v>6.0826700000000002</v>
      </c>
      <c r="B70" s="49">
        <v>6.0826700000000002</v>
      </c>
    </row>
    <row r="71" spans="1:2">
      <c r="A71" s="49">
        <v>8.1120000000000001</v>
      </c>
      <c r="B71" s="49">
        <v>8.1120000000000001</v>
      </c>
    </row>
    <row r="72" spans="1:2">
      <c r="A72" s="49">
        <v>8.0559999999999992</v>
      </c>
      <c r="B72" s="49">
        <v>8.0559999999999992</v>
      </c>
    </row>
    <row r="73" spans="1:2">
      <c r="A73" s="49">
        <v>9.0386699999999998</v>
      </c>
      <c r="B73" s="49">
        <v>9.0386699999999998</v>
      </c>
    </row>
    <row r="74" spans="1:2">
      <c r="A74" s="49">
        <v>8.8666699999999992</v>
      </c>
      <c r="B74" s="49">
        <v>8.8666699999999992</v>
      </c>
    </row>
    <row r="75" spans="1:2">
      <c r="A75" s="49">
        <v>10.3307</v>
      </c>
      <c r="B75" s="49">
        <v>10.3307</v>
      </c>
    </row>
    <row r="76" spans="1:2">
      <c r="A76" s="49">
        <v>6.7320000000000002</v>
      </c>
      <c r="B76" s="49">
        <v>6.7320000000000002</v>
      </c>
    </row>
    <row r="77" spans="1:2">
      <c r="A77" s="49">
        <v>8.1466700000000003</v>
      </c>
      <c r="B77" s="49">
        <v>8.1466700000000003</v>
      </c>
    </row>
    <row r="78" spans="1:2">
      <c r="A78" s="49">
        <v>10.0867</v>
      </c>
      <c r="B78" s="49">
        <v>10.0867</v>
      </c>
    </row>
    <row r="79" spans="1:2">
      <c r="A79" s="49">
        <v>6.5786699999999998</v>
      </c>
      <c r="B79" s="49">
        <v>6.5786699999999998</v>
      </c>
    </row>
    <row r="80" spans="1:2">
      <c r="A80" s="49">
        <v>8.0666700000000002</v>
      </c>
      <c r="B80" s="49">
        <v>8.0666700000000002</v>
      </c>
    </row>
    <row r="81" spans="1:2">
      <c r="A81" s="49">
        <v>9.4853299999999994</v>
      </c>
      <c r="B81" s="49">
        <v>9.4853299999999994</v>
      </c>
    </row>
    <row r="82" spans="1:2">
      <c r="A82" s="49">
        <v>6.1546700000000003</v>
      </c>
      <c r="B82" s="49">
        <v>6.1546700000000003</v>
      </c>
    </row>
    <row r="83" spans="1:2">
      <c r="A83" s="49">
        <v>6.78667</v>
      </c>
      <c r="B83" s="49">
        <v>6.78667</v>
      </c>
    </row>
    <row r="84" spans="1:2">
      <c r="A84" s="49">
        <v>8.29467</v>
      </c>
      <c r="B84" s="49">
        <v>8.29467</v>
      </c>
    </row>
    <row r="85" spans="1:2">
      <c r="A85" s="49">
        <v>5.1133300000000004</v>
      </c>
      <c r="B85" s="49">
        <v>5.1133300000000004</v>
      </c>
    </row>
    <row r="86" spans="1:2">
      <c r="A86" s="49">
        <v>6.3826700000000001</v>
      </c>
      <c r="B86" s="49">
        <v>6.3826700000000001</v>
      </c>
    </row>
    <row r="87" spans="1:2">
      <c r="A87" s="49">
        <v>3.1906699999999999</v>
      </c>
      <c r="B87" s="49">
        <v>3.1906699999999999</v>
      </c>
    </row>
    <row r="88" spans="1:2">
      <c r="A88" s="49">
        <v>9.6986699999999999</v>
      </c>
      <c r="B88" s="49">
        <v>9.6986699999999999</v>
      </c>
    </row>
    <row r="89" spans="1:2">
      <c r="A89" s="49">
        <v>4.7266700000000004</v>
      </c>
      <c r="B89" s="49">
        <v>4.7266700000000004</v>
      </c>
    </row>
    <row r="90" spans="1:2">
      <c r="A90" s="49">
        <v>5.6746699999999999</v>
      </c>
      <c r="B90" s="49">
        <v>5.6746699999999999</v>
      </c>
    </row>
    <row r="91" spans="1:2">
      <c r="A91" s="49">
        <v>6.4359999999999999</v>
      </c>
      <c r="B91" s="49">
        <v>6.4359999999999999</v>
      </c>
    </row>
    <row r="92" spans="1:2">
      <c r="A92" s="49">
        <v>3.9213300000000002</v>
      </c>
      <c r="B92" s="49">
        <v>3.9213300000000002</v>
      </c>
    </row>
    <row r="93" spans="1:2">
      <c r="A93" s="49">
        <v>5.1133300000000004</v>
      </c>
      <c r="B93" s="49">
        <v>5.1133300000000004</v>
      </c>
    </row>
    <row r="94" spans="1:2">
      <c r="A94" s="49">
        <v>5.6066700000000003</v>
      </c>
      <c r="B94" s="49">
        <v>5.6066700000000003</v>
      </c>
    </row>
    <row r="95" spans="1:2">
      <c r="A95" s="49">
        <v>3.6266699999999998</v>
      </c>
      <c r="B95" s="49">
        <v>3.6266699999999998</v>
      </c>
    </row>
    <row r="96" spans="1:2">
      <c r="A96" s="49">
        <v>4.2013299999999996</v>
      </c>
      <c r="B96" s="49">
        <v>4.2013299999999996</v>
      </c>
    </row>
    <row r="97" spans="1:2">
      <c r="A97" s="49">
        <v>5.1746699999999999</v>
      </c>
      <c r="B97" s="49">
        <v>5.1746699999999999</v>
      </c>
    </row>
    <row r="98" spans="1:2">
      <c r="A98" s="49">
        <v>3.3906700000000001</v>
      </c>
      <c r="B98" s="49">
        <v>3.3906700000000001</v>
      </c>
    </row>
    <row r="99" spans="1:2">
      <c r="A99" s="49">
        <v>4.1866700000000003</v>
      </c>
      <c r="B99" s="49">
        <v>4.1866700000000003</v>
      </c>
    </row>
    <row r="100" spans="1:2">
      <c r="A100" s="49">
        <v>3.4133300000000002</v>
      </c>
      <c r="B100" s="49">
        <v>3.4133300000000002</v>
      </c>
    </row>
    <row r="101" spans="1:2">
      <c r="A101" s="49">
        <v>4.0466699999999998</v>
      </c>
      <c r="B101" s="49">
        <v>4.0466699999999998</v>
      </c>
    </row>
    <row r="102" spans="1:2">
      <c r="A102" s="49">
        <v>2.9866700000000002</v>
      </c>
      <c r="B102" s="49">
        <v>2.9866700000000002</v>
      </c>
    </row>
    <row r="103" spans="1:2">
      <c r="A103" s="49">
        <v>3.68</v>
      </c>
      <c r="B103" s="49">
        <v>3.68</v>
      </c>
    </row>
    <row r="104" spans="1:2">
      <c r="A104" s="49">
        <v>1.9066700000000001</v>
      </c>
      <c r="B104" s="49">
        <v>1.9066700000000001</v>
      </c>
    </row>
    <row r="105" spans="1:2">
      <c r="A105" s="49">
        <v>3.8773300000000002</v>
      </c>
      <c r="B105" s="49">
        <v>3.8773300000000002</v>
      </c>
    </row>
    <row r="106" spans="1:2">
      <c r="A106" s="49">
        <v>4.0826700000000002</v>
      </c>
      <c r="B106" s="49">
        <v>4.0826700000000002</v>
      </c>
    </row>
    <row r="107" spans="1:2">
      <c r="A107" s="49">
        <v>2.8746700000000001</v>
      </c>
      <c r="B107" s="49">
        <v>2.8746700000000001</v>
      </c>
    </row>
    <row r="108" spans="1:2">
      <c r="A108" s="49">
        <v>2.8786700000000001</v>
      </c>
      <c r="B108" s="49">
        <v>2.8786700000000001</v>
      </c>
    </row>
    <row r="109" spans="1:2">
      <c r="A109" s="49">
        <v>2.8</v>
      </c>
      <c r="B109" s="49">
        <v>2.8</v>
      </c>
    </row>
    <row r="110" spans="1:2">
      <c r="A110" s="49">
        <v>2.8479999999999999</v>
      </c>
      <c r="B110" s="49">
        <v>2.8479999999999999</v>
      </c>
    </row>
    <row r="111" spans="1:2">
      <c r="A111" s="49">
        <v>3.2919999999999998</v>
      </c>
      <c r="B111" s="49">
        <v>3.2919999999999998</v>
      </c>
    </row>
    <row r="112" spans="1:2">
      <c r="A112" s="49">
        <v>2.2080000000000002</v>
      </c>
      <c r="B112" s="49">
        <v>2.2080000000000002</v>
      </c>
    </row>
    <row r="113" spans="1:2">
      <c r="A113" s="49">
        <v>2.4239999999999999</v>
      </c>
      <c r="B113" s="49">
        <v>2.4239999999999999</v>
      </c>
    </row>
    <row r="114" spans="1:2">
      <c r="A114" s="49">
        <v>3.33067</v>
      </c>
      <c r="B114" s="49">
        <v>3.33067</v>
      </c>
    </row>
    <row r="115" spans="1:2">
      <c r="A115" s="49">
        <v>1.74533</v>
      </c>
      <c r="B115" s="49">
        <v>1.74533</v>
      </c>
    </row>
    <row r="116" spans="1:2">
      <c r="A116" s="49">
        <v>1.8826700000000001</v>
      </c>
      <c r="B116" s="49">
        <v>1.8826700000000001</v>
      </c>
    </row>
    <row r="117" spans="1:2">
      <c r="A117" s="49">
        <v>2.6346699999999998</v>
      </c>
      <c r="B117" s="49">
        <v>2.6346699999999998</v>
      </c>
    </row>
    <row r="118" spans="1:2">
      <c r="A118" s="49">
        <v>1.84267</v>
      </c>
      <c r="B118" s="49">
        <v>1.84267</v>
      </c>
    </row>
    <row r="119" spans="1:2">
      <c r="A119" s="49">
        <v>2.1173299999999999</v>
      </c>
      <c r="B119" s="49">
        <v>2.1173299999999999</v>
      </c>
    </row>
    <row r="120" spans="1:2">
      <c r="A120" s="49">
        <v>2.2533300000000001</v>
      </c>
      <c r="B120" s="49">
        <v>2.2533300000000001</v>
      </c>
    </row>
    <row r="121" spans="1:2">
      <c r="A121" s="49">
        <v>1.5413300000000001</v>
      </c>
      <c r="B121" s="49">
        <v>1.5413300000000001</v>
      </c>
    </row>
    <row r="122" spans="1:2">
      <c r="A122" s="49">
        <v>1.744</v>
      </c>
      <c r="B122" s="49">
        <v>1.744</v>
      </c>
    </row>
    <row r="123" spans="1:2">
      <c r="A123" s="49">
        <v>1.17333</v>
      </c>
      <c r="B123" s="49">
        <v>1.17333</v>
      </c>
    </row>
    <row r="124" spans="1:2">
      <c r="A124" s="49">
        <v>1.88533</v>
      </c>
      <c r="B124" s="49">
        <v>1.88533</v>
      </c>
    </row>
    <row r="125" spans="1:2">
      <c r="A125" s="49">
        <v>1.6133299999999999</v>
      </c>
      <c r="B125" s="49">
        <v>1.6133299999999999</v>
      </c>
    </row>
    <row r="126" spans="1:2">
      <c r="A126" s="49">
        <v>0.49866700000000003</v>
      </c>
      <c r="B126" s="49">
        <v>0.49866700000000003</v>
      </c>
    </row>
    <row r="127" spans="1:2">
      <c r="A127" s="49">
        <v>1.6266700000000001</v>
      </c>
      <c r="B127" s="49">
        <v>1.6266700000000001</v>
      </c>
    </row>
    <row r="128" spans="1:2">
      <c r="A128" s="49">
        <v>0.50933300000000004</v>
      </c>
      <c r="B128" s="49">
        <v>0.50933300000000004</v>
      </c>
    </row>
    <row r="129" spans="1:2">
      <c r="A129" s="49">
        <v>0.126667</v>
      </c>
      <c r="B129" s="49">
        <v>0.126667</v>
      </c>
    </row>
    <row r="130" spans="1:2">
      <c r="A130" s="49">
        <v>0.63733300000000004</v>
      </c>
      <c r="B130" s="49">
        <v>0.63733300000000004</v>
      </c>
    </row>
    <row r="131" spans="1:2">
      <c r="A131" s="49">
        <v>2.53333E-2</v>
      </c>
      <c r="B131" s="49">
        <v>2.53333E-2</v>
      </c>
    </row>
    <row r="132" spans="1:2">
      <c r="A132" s="49">
        <v>0.33333299999999999</v>
      </c>
      <c r="B132" s="49">
        <v>0.33333299999999999</v>
      </c>
    </row>
    <row r="133" spans="1:2">
      <c r="A133" s="49">
        <v>0.34399999999999997</v>
      </c>
      <c r="B133" s="49">
        <v>0.34399999999999997</v>
      </c>
    </row>
    <row r="134" spans="1:2">
      <c r="A134" s="49">
        <v>0</v>
      </c>
      <c r="B134" s="49">
        <v>0</v>
      </c>
    </row>
    <row r="135" spans="1:2">
      <c r="A135" s="49">
        <v>0.22800000000000001</v>
      </c>
      <c r="B135" s="49">
        <v>0.22800000000000001</v>
      </c>
    </row>
    <row r="136" spans="1:2">
      <c r="A136" s="49">
        <v>0</v>
      </c>
      <c r="B136" s="49">
        <v>0</v>
      </c>
    </row>
    <row r="137" spans="1:2">
      <c r="A137" s="49">
        <v>0.14799999999999999</v>
      </c>
      <c r="B137" s="49">
        <v>0.14799999999999999</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0.34266400000000002</v>
      </c>
      <c r="B2" s="49">
        <v>0.41719699999999998</v>
      </c>
      <c r="C2">
        <v>0</v>
      </c>
      <c r="D2">
        <v>0</v>
      </c>
      <c r="E2" t="s">
        <v>1161</v>
      </c>
      <c r="F2" s="49">
        <f>IF(A2&lt;&gt;"",1,"")</f>
        <v>1</v>
      </c>
      <c r="G2">
        <f>IF($H8&gt;0,LOOKUP(COUNT(A2:A1000)*$H8,F2:F1000,A2:A1000),LOOKUP(1,F2:F1000,A2:A1000))</f>
        <v>0.33776</v>
      </c>
      <c r="H2">
        <f>IF($H8&gt;0,LOOKUP(COUNT(B2:B1000)*$H8,F2:F1000,B2:B1000),LOOKUP(1,F2:F1000,B2:B1000))</f>
        <v>0.41415000000000002</v>
      </c>
      <c r="J2" s="49">
        <f>IF(A2&lt;&gt;"",A2*10,"")</f>
        <v>3.4266400000000004</v>
      </c>
      <c r="K2" s="49">
        <f>IF(B2&lt;&gt;"",B2*100,"")</f>
        <v>41.719699999999996</v>
      </c>
      <c r="L2" s="49">
        <f>IF(F2&lt;&gt;"",IF(K2&lt;&gt;0,K2/J2,0),"")</f>
        <v>12.175104475521207</v>
      </c>
    </row>
    <row r="3" spans="1:12">
      <c r="A3" s="49">
        <v>0.33776</v>
      </c>
      <c r="B3" s="49">
        <v>0.41415000000000002</v>
      </c>
      <c r="C3">
        <v>0.36964799999999998</v>
      </c>
      <c r="D3">
        <v>0</v>
      </c>
      <c r="E3" t="s">
        <v>2560</v>
      </c>
      <c r="F3" s="49">
        <f>IF(A3&lt;&gt;"",F2+1,"")</f>
        <v>2</v>
      </c>
      <c r="G3">
        <f>IF($H9&gt;0,LOOKUP(COUNT(A2:A1000)*$H9,F2:F1000,A2:A1000),LOOKUP(1,F2:F1000,A2:A1000))</f>
        <v>0.23915</v>
      </c>
      <c r="H3">
        <f>IF($H9&gt;0,LOOKUP(COUNT(B2:B1000)*$H9,F2:F1000,B2:B1000),LOOKUP(1,F2:F1000,B2:B1000))</f>
        <v>0.54385399999999995</v>
      </c>
      <c r="J3" s="49">
        <f t="shared" ref="J3:J66" si="0">IF(A3&lt;&gt;"",A3*10,"")</f>
        <v>3.3776000000000002</v>
      </c>
      <c r="K3" s="49">
        <f t="shared" ref="K3:K66" si="1">IF(B3&lt;&gt;"",B3*100,"")</f>
        <v>41.414999999999999</v>
      </c>
      <c r="L3" s="49">
        <f t="shared" ref="L3:L66" si="2">IF(F3&lt;&gt;"",IF(K3&lt;&gt;0,K3/J3,0),"")</f>
        <v>12.261665087636191</v>
      </c>
    </row>
    <row r="4" spans="1:12">
      <c r="A4" s="49">
        <v>0.33167999999999997</v>
      </c>
      <c r="B4" s="49">
        <v>0.41589100000000001</v>
      </c>
      <c r="C4">
        <v>0.78906500000000002</v>
      </c>
      <c r="D4">
        <v>0</v>
      </c>
      <c r="E4" t="s">
        <v>2561</v>
      </c>
      <c r="F4" s="49">
        <f t="shared" ref="F4:F67" si="3">IF(A4&lt;&gt;"",F3+1,"")</f>
        <v>3</v>
      </c>
      <c r="G4" s="71" t="s">
        <v>209</v>
      </c>
      <c r="H4" s="23">
        <f>IF(ISERROR(G3-G2)=FALSE,(G3-G2)*10,0)</f>
        <v>-0.98609999999999998</v>
      </c>
      <c r="J4" s="49">
        <f t="shared" si="0"/>
        <v>3.3167999999999997</v>
      </c>
      <c r="K4" s="49">
        <f t="shared" si="1"/>
        <v>41.589100000000002</v>
      </c>
      <c r="L4" s="49">
        <f t="shared" si="2"/>
        <v>12.538923058369514</v>
      </c>
    </row>
    <row r="5" spans="1:12">
      <c r="A5" s="49">
        <v>0.32490599999999997</v>
      </c>
      <c r="B5" s="49">
        <v>0.42079699999999998</v>
      </c>
      <c r="C5">
        <v>1.1868099999999999</v>
      </c>
      <c r="D5">
        <v>0</v>
      </c>
      <c r="E5" t="s">
        <v>2562</v>
      </c>
      <c r="F5" s="49">
        <f t="shared" si="3"/>
        <v>4</v>
      </c>
      <c r="G5" s="71" t="s">
        <v>210</v>
      </c>
      <c r="H5" s="23">
        <f>IF(ISERROR(H3-H2)=FALSE,H3-H2,0)</f>
        <v>0.12970399999999993</v>
      </c>
      <c r="J5" s="49">
        <f t="shared" si="0"/>
        <v>3.2490599999999996</v>
      </c>
      <c r="K5" s="49">
        <f t="shared" si="1"/>
        <v>42.079699999999995</v>
      </c>
      <c r="L5" s="49">
        <f t="shared" si="2"/>
        <v>12.951345927745257</v>
      </c>
    </row>
    <row r="6" spans="1:12">
      <c r="A6" s="49">
        <v>0.31811200000000001</v>
      </c>
      <c r="B6" s="49">
        <v>0.42587700000000001</v>
      </c>
      <c r="C6">
        <v>1.5864400000000001</v>
      </c>
      <c r="D6">
        <v>0</v>
      </c>
      <c r="E6" t="s">
        <v>2563</v>
      </c>
      <c r="F6" s="49">
        <f t="shared" si="3"/>
        <v>5</v>
      </c>
      <c r="G6" s="71" t="s">
        <v>211</v>
      </c>
      <c r="H6" s="23">
        <f>IF(H4&lt;&gt;0,H5/H4,0)</f>
        <v>-0.13153229895548113</v>
      </c>
      <c r="J6" s="49">
        <f t="shared" si="0"/>
        <v>3.1811199999999999</v>
      </c>
      <c r="K6" s="49">
        <f t="shared" si="1"/>
        <v>42.587699999999998</v>
      </c>
      <c r="L6" s="49">
        <f t="shared" si="2"/>
        <v>13.387643345739864</v>
      </c>
    </row>
    <row r="7" spans="1:12">
      <c r="A7" s="49">
        <v>0.31101099999999998</v>
      </c>
      <c r="B7" s="49">
        <v>0.43419600000000003</v>
      </c>
      <c r="C7">
        <v>2.0068700000000002</v>
      </c>
      <c r="D7">
        <v>0</v>
      </c>
      <c r="E7" t="s">
        <v>2564</v>
      </c>
      <c r="F7" s="49">
        <f t="shared" si="3"/>
        <v>6</v>
      </c>
      <c r="G7" s="71" t="s">
        <v>212</v>
      </c>
      <c r="H7" s="23">
        <f>DEGREES(ATAN(H6))</f>
        <v>-7.4932303526945248</v>
      </c>
      <c r="J7" s="49">
        <f t="shared" si="0"/>
        <v>3.1101099999999997</v>
      </c>
      <c r="K7" s="49">
        <f t="shared" si="1"/>
        <v>43.419600000000003</v>
      </c>
      <c r="L7" s="49">
        <f t="shared" si="2"/>
        <v>13.960792383549137</v>
      </c>
    </row>
    <row r="8" spans="1:12">
      <c r="A8" s="49">
        <v>0.30398199999999997</v>
      </c>
      <c r="B8" s="49">
        <v>0.44316699999999998</v>
      </c>
      <c r="C8">
        <v>2.4112900000000002</v>
      </c>
      <c r="D8">
        <v>0</v>
      </c>
      <c r="E8" t="s">
        <v>2565</v>
      </c>
      <c r="F8" s="49">
        <f t="shared" si="3"/>
        <v>7</v>
      </c>
      <c r="G8" s="71" t="s">
        <v>213</v>
      </c>
      <c r="H8" s="72">
        <v>0.1</v>
      </c>
      <c r="J8" s="49">
        <f t="shared" si="0"/>
        <v>3.0398199999999997</v>
      </c>
      <c r="K8" s="49">
        <f t="shared" si="1"/>
        <v>44.316699999999997</v>
      </c>
      <c r="L8" s="49">
        <f t="shared" si="2"/>
        <v>14.578725056088848</v>
      </c>
    </row>
    <row r="9" spans="1:12">
      <c r="A9" s="49">
        <v>0.29738799999999999</v>
      </c>
      <c r="B9" s="49">
        <v>0.45218000000000003</v>
      </c>
      <c r="C9">
        <v>2.8151999999999999</v>
      </c>
      <c r="D9">
        <v>0</v>
      </c>
      <c r="E9" t="s">
        <v>2566</v>
      </c>
      <c r="F9" s="49">
        <f t="shared" si="3"/>
        <v>8</v>
      </c>
      <c r="G9" s="71" t="s">
        <v>214</v>
      </c>
      <c r="H9" s="72">
        <v>0.9</v>
      </c>
      <c r="J9" s="49">
        <f t="shared" si="0"/>
        <v>2.9738799999999999</v>
      </c>
      <c r="K9" s="49">
        <f t="shared" si="1"/>
        <v>45.218000000000004</v>
      </c>
      <c r="L9" s="49">
        <f t="shared" si="2"/>
        <v>15.205051985957741</v>
      </c>
    </row>
    <row r="10" spans="1:12">
      <c r="A10" s="49">
        <v>0.29082400000000003</v>
      </c>
      <c r="B10" s="49">
        <v>0.46274100000000001</v>
      </c>
      <c r="C10">
        <v>3.2316199999999999</v>
      </c>
      <c r="D10">
        <v>0</v>
      </c>
      <c r="E10" t="s">
        <v>2567</v>
      </c>
      <c r="F10" s="49">
        <f t="shared" si="3"/>
        <v>9</v>
      </c>
      <c r="G10" t="s">
        <v>215</v>
      </c>
      <c r="J10" s="49">
        <f t="shared" si="0"/>
        <v>2.9082400000000002</v>
      </c>
      <c r="K10" s="49">
        <f t="shared" si="1"/>
        <v>46.274100000000004</v>
      </c>
      <c r="L10" s="49">
        <f t="shared" si="2"/>
        <v>15.911375952466097</v>
      </c>
    </row>
    <row r="11" spans="1:12">
      <c r="A11" s="49">
        <v>0.2848</v>
      </c>
      <c r="B11" s="49">
        <v>0.47340599999999999</v>
      </c>
      <c r="C11">
        <v>3.6196199999999998</v>
      </c>
      <c r="D11">
        <v>0</v>
      </c>
      <c r="E11" t="s">
        <v>2568</v>
      </c>
      <c r="F11" s="49">
        <f t="shared" si="3"/>
        <v>10</v>
      </c>
      <c r="G11" s="71" t="s">
        <v>216</v>
      </c>
      <c r="H11" s="73">
        <f>MIN(B2:B1000)</f>
        <v>0.41415000000000002</v>
      </c>
      <c r="J11" s="49">
        <f t="shared" si="0"/>
        <v>2.8479999999999999</v>
      </c>
      <c r="K11" s="49">
        <f t="shared" si="1"/>
        <v>47.340600000000002</v>
      </c>
      <c r="L11" s="49">
        <f t="shared" si="2"/>
        <v>16.62240168539326</v>
      </c>
    </row>
    <row r="12" spans="1:12">
      <c r="A12" s="49">
        <v>0.27903499999999998</v>
      </c>
      <c r="B12" s="49">
        <v>0.48350199999999999</v>
      </c>
      <c r="C12">
        <v>4.0524199999999997</v>
      </c>
      <c r="D12">
        <v>0</v>
      </c>
      <c r="E12" t="s">
        <v>2569</v>
      </c>
      <c r="F12" s="49">
        <f t="shared" si="3"/>
        <v>11</v>
      </c>
      <c r="G12" s="71" t="s">
        <v>218</v>
      </c>
      <c r="H12" s="73">
        <f>MAX(B2:B1000)</f>
        <v>0.54649099999999995</v>
      </c>
      <c r="J12" s="49">
        <f t="shared" si="0"/>
        <v>2.7903499999999997</v>
      </c>
      <c r="K12" s="49">
        <f t="shared" si="1"/>
        <v>48.350200000000001</v>
      </c>
      <c r="L12" s="49">
        <f t="shared" si="2"/>
        <v>17.327647069364062</v>
      </c>
    </row>
    <row r="13" spans="1:12">
      <c r="A13" s="49">
        <v>0.27371200000000001</v>
      </c>
      <c r="B13" s="49">
        <v>0.49267100000000003</v>
      </c>
      <c r="C13">
        <v>4.4318200000000001</v>
      </c>
      <c r="D13">
        <v>0</v>
      </c>
      <c r="E13" t="s">
        <v>2570</v>
      </c>
      <c r="F13" s="49">
        <f t="shared" si="3"/>
        <v>12</v>
      </c>
      <c r="G13" s="71" t="s">
        <v>220</v>
      </c>
      <c r="H13">
        <f>MATCH($H$11,B2:B1000,0)</f>
        <v>2</v>
      </c>
      <c r="J13" s="49">
        <f t="shared" si="0"/>
        <v>2.73712</v>
      </c>
      <c r="K13" s="49">
        <f t="shared" si="1"/>
        <v>49.267099999999999</v>
      </c>
      <c r="L13" s="49">
        <f t="shared" si="2"/>
        <v>17.999612731630325</v>
      </c>
    </row>
    <row r="14" spans="1:12">
      <c r="A14" s="49">
        <v>0.26873200000000003</v>
      </c>
      <c r="B14" s="49">
        <v>0.500911</v>
      </c>
      <c r="C14">
        <v>4.8403200000000002</v>
      </c>
      <c r="D14">
        <v>0</v>
      </c>
      <c r="E14" t="s">
        <v>2571</v>
      </c>
      <c r="F14" s="49">
        <f t="shared" si="3"/>
        <v>13</v>
      </c>
      <c r="G14" s="71" t="s">
        <v>221</v>
      </c>
      <c r="H14">
        <f>MATCH($H$12,B2:B1000,0)</f>
        <v>24</v>
      </c>
      <c r="J14" s="49">
        <f t="shared" si="0"/>
        <v>2.6873200000000002</v>
      </c>
      <c r="K14" s="49">
        <f t="shared" si="1"/>
        <v>50.091099999999997</v>
      </c>
      <c r="L14" s="49">
        <f t="shared" si="2"/>
        <v>18.639797270142743</v>
      </c>
    </row>
    <row r="15" spans="1:12">
      <c r="A15" s="49">
        <v>0.264131</v>
      </c>
      <c r="B15" s="49">
        <v>0.50809700000000002</v>
      </c>
      <c r="C15">
        <v>5.2651399999999997</v>
      </c>
      <c r="D15">
        <v>0</v>
      </c>
      <c r="E15" t="s">
        <v>2572</v>
      </c>
      <c r="F15" s="49">
        <f t="shared" si="3"/>
        <v>14</v>
      </c>
      <c r="G15">
        <f>LOOKUP($H13,F2:F1000,A2:A1000)</f>
        <v>0.33776</v>
      </c>
      <c r="H15">
        <f>LOOKUP($H13,F2:F1000,B2:B1000)</f>
        <v>0.41415000000000002</v>
      </c>
      <c r="J15" s="49">
        <f t="shared" si="0"/>
        <v>2.6413099999999998</v>
      </c>
      <c r="K15" s="49">
        <f t="shared" si="1"/>
        <v>50.809699999999999</v>
      </c>
      <c r="L15" s="49">
        <f t="shared" si="2"/>
        <v>19.236553074042806</v>
      </c>
    </row>
    <row r="16" spans="1:12">
      <c r="A16" s="49">
        <v>0.25969199999999998</v>
      </c>
      <c r="B16" s="49">
        <v>0.51503500000000002</v>
      </c>
      <c r="C16">
        <v>5.6520200000000003</v>
      </c>
      <c r="D16">
        <v>0</v>
      </c>
      <c r="E16" t="s">
        <v>2573</v>
      </c>
      <c r="F16" s="49">
        <f t="shared" si="3"/>
        <v>15</v>
      </c>
      <c r="G16">
        <f>LOOKUP($H14,F2:F1000,A2:A1000)</f>
        <v>0.23693500000000001</v>
      </c>
      <c r="H16">
        <f>LOOKUP($H14,F2:F1000,B2:B1000)</f>
        <v>0.54649099999999995</v>
      </c>
      <c r="J16" s="49">
        <f t="shared" si="0"/>
        <v>2.5969199999999999</v>
      </c>
      <c r="K16" s="49">
        <f t="shared" si="1"/>
        <v>51.503500000000003</v>
      </c>
      <c r="L16" s="49">
        <f t="shared" si="2"/>
        <v>19.832532384517044</v>
      </c>
    </row>
    <row r="17" spans="1:12">
      <c r="A17" s="49">
        <v>0.25525300000000001</v>
      </c>
      <c r="B17" s="49">
        <v>0.52148000000000005</v>
      </c>
      <c r="C17">
        <v>6.0611600000000001</v>
      </c>
      <c r="D17">
        <v>0</v>
      </c>
      <c r="E17" t="s">
        <v>2574</v>
      </c>
      <c r="F17" s="49">
        <f t="shared" si="3"/>
        <v>16</v>
      </c>
      <c r="J17" s="49">
        <f t="shared" si="0"/>
        <v>2.55253</v>
      </c>
      <c r="K17" s="49">
        <f t="shared" si="1"/>
        <v>52.148000000000003</v>
      </c>
      <c r="L17" s="49">
        <f t="shared" si="2"/>
        <v>20.429926386761373</v>
      </c>
    </row>
    <row r="18" spans="1:12">
      <c r="A18" s="49">
        <v>0.25113600000000003</v>
      </c>
      <c r="B18" s="49">
        <v>0.52756999999999998</v>
      </c>
      <c r="C18">
        <v>6.4772999999999996</v>
      </c>
      <c r="D18">
        <v>0</v>
      </c>
      <c r="E18" t="s">
        <v>2575</v>
      </c>
      <c r="F18" s="49">
        <f t="shared" si="3"/>
        <v>17</v>
      </c>
      <c r="J18" s="49">
        <f t="shared" si="0"/>
        <v>2.5113600000000003</v>
      </c>
      <c r="K18" s="49">
        <f t="shared" si="1"/>
        <v>52.756999999999998</v>
      </c>
      <c r="L18" s="49">
        <f t="shared" si="2"/>
        <v>21.007342635066255</v>
      </c>
    </row>
    <row r="19" spans="1:12">
      <c r="A19" s="49">
        <v>0.247501</v>
      </c>
      <c r="B19" s="49">
        <v>0.53274600000000005</v>
      </c>
      <c r="C19">
        <v>6.8716299999999997</v>
      </c>
      <c r="D19">
        <v>0</v>
      </c>
      <c r="E19" t="s">
        <v>2576</v>
      </c>
      <c r="F19" s="49">
        <f t="shared" si="3"/>
        <v>18</v>
      </c>
      <c r="J19" s="49">
        <f t="shared" si="0"/>
        <v>2.4750100000000002</v>
      </c>
      <c r="K19" s="49">
        <f t="shared" si="1"/>
        <v>53.274600000000007</v>
      </c>
      <c r="L19" s="49">
        <f t="shared" si="2"/>
        <v>21.525003939378024</v>
      </c>
    </row>
    <row r="20" spans="1:12">
      <c r="A20" s="49">
        <v>0.244723</v>
      </c>
      <c r="B20" s="49">
        <v>0.53679699999999997</v>
      </c>
      <c r="C20">
        <v>7.2964000000000002</v>
      </c>
      <c r="D20">
        <v>0</v>
      </c>
      <c r="E20" t="s">
        <v>2577</v>
      </c>
      <c r="F20" s="49">
        <f t="shared" si="3"/>
        <v>19</v>
      </c>
      <c r="J20" s="49">
        <f t="shared" si="0"/>
        <v>2.4472299999999998</v>
      </c>
      <c r="K20" s="49">
        <f t="shared" si="1"/>
        <v>53.679699999999997</v>
      </c>
      <c r="L20" s="49">
        <f t="shared" si="2"/>
        <v>21.934881478242747</v>
      </c>
    </row>
    <row r="21" spans="1:12">
      <c r="A21" s="49">
        <v>0.242676</v>
      </c>
      <c r="B21" s="49">
        <v>0.53947100000000003</v>
      </c>
      <c r="C21">
        <v>7.6909799999999997</v>
      </c>
      <c r="D21">
        <v>0</v>
      </c>
      <c r="E21" t="s">
        <v>2578</v>
      </c>
      <c r="F21" s="49">
        <f t="shared" si="3"/>
        <v>20</v>
      </c>
      <c r="J21" s="49">
        <f t="shared" si="0"/>
        <v>2.4267599999999998</v>
      </c>
      <c r="K21" s="49">
        <f t="shared" si="1"/>
        <v>53.947100000000006</v>
      </c>
      <c r="L21" s="49">
        <f t="shared" si="2"/>
        <v>22.230092798628629</v>
      </c>
    </row>
    <row r="22" spans="1:12">
      <c r="A22" s="49">
        <v>0.24082400000000001</v>
      </c>
      <c r="B22" s="49">
        <v>0.54196599999999995</v>
      </c>
      <c r="C22">
        <v>8.1085100000000008</v>
      </c>
      <c r="D22">
        <v>0</v>
      </c>
      <c r="E22" t="s">
        <v>2579</v>
      </c>
      <c r="F22" s="49">
        <f t="shared" si="3"/>
        <v>21</v>
      </c>
      <c r="J22" s="49">
        <f t="shared" si="0"/>
        <v>2.4082400000000002</v>
      </c>
      <c r="K22" s="49">
        <f t="shared" si="1"/>
        <v>54.196599999999997</v>
      </c>
      <c r="L22" s="49">
        <f t="shared" si="2"/>
        <v>22.504650699265852</v>
      </c>
    </row>
    <row r="23" spans="1:12">
      <c r="A23" s="49">
        <v>0.23915</v>
      </c>
      <c r="B23" s="49">
        <v>0.54385399999999995</v>
      </c>
      <c r="C23">
        <v>8.4976199999999995</v>
      </c>
      <c r="D23">
        <v>0</v>
      </c>
      <c r="E23" t="s">
        <v>2580</v>
      </c>
      <c r="F23" s="49">
        <f t="shared" si="3"/>
        <v>22</v>
      </c>
      <c r="J23" s="49">
        <f t="shared" si="0"/>
        <v>2.3915000000000002</v>
      </c>
      <c r="K23" s="49">
        <f t="shared" si="1"/>
        <v>54.385399999999997</v>
      </c>
      <c r="L23" s="49">
        <f t="shared" si="2"/>
        <v>22.74112481706042</v>
      </c>
    </row>
    <row r="24" spans="1:12">
      <c r="A24" s="49">
        <v>0.237815</v>
      </c>
      <c r="B24" s="49">
        <v>0.54529000000000005</v>
      </c>
      <c r="C24">
        <v>8.91554</v>
      </c>
      <c r="D24">
        <v>0</v>
      </c>
      <c r="E24" t="s">
        <v>2581</v>
      </c>
      <c r="F24" s="49">
        <f t="shared" si="3"/>
        <v>23</v>
      </c>
      <c r="G24" t="s">
        <v>245</v>
      </c>
      <c r="H24">
        <f>COUNT(A2:A2000)</f>
        <v>25</v>
      </c>
      <c r="J24" s="49">
        <f t="shared" si="0"/>
        <v>2.3781499999999998</v>
      </c>
      <c r="K24" s="49">
        <f t="shared" si="1"/>
        <v>54.529000000000003</v>
      </c>
      <c r="L24" s="49">
        <f t="shared" si="2"/>
        <v>22.929167630300867</v>
      </c>
    </row>
    <row r="25" spans="1:12">
      <c r="A25" s="49">
        <v>0.23693500000000001</v>
      </c>
      <c r="B25" s="49">
        <v>0.54649099999999995</v>
      </c>
      <c r="C25">
        <v>9.3054199999999998</v>
      </c>
      <c r="D25">
        <v>0</v>
      </c>
      <c r="E25" t="s">
        <v>2582</v>
      </c>
      <c r="F25" s="49">
        <f t="shared" si="3"/>
        <v>24</v>
      </c>
      <c r="J25" s="49">
        <f t="shared" si="0"/>
        <v>2.3693499999999998</v>
      </c>
      <c r="K25" s="49">
        <f t="shared" si="1"/>
        <v>54.649099999999997</v>
      </c>
      <c r="L25" s="49">
        <f t="shared" si="2"/>
        <v>23.065017831894824</v>
      </c>
    </row>
    <row r="26" spans="1:12">
      <c r="A26" s="49">
        <v>0.23597000000000001</v>
      </c>
      <c r="B26" s="49">
        <v>0.54602799999999996</v>
      </c>
      <c r="C26">
        <v>9.73386</v>
      </c>
      <c r="D26">
        <v>0</v>
      </c>
      <c r="E26" t="s">
        <v>2583</v>
      </c>
      <c r="F26" s="49">
        <f t="shared" si="3"/>
        <v>25</v>
      </c>
      <c r="J26" s="49">
        <f t="shared" si="0"/>
        <v>2.3597000000000001</v>
      </c>
      <c r="K26" s="49">
        <f t="shared" si="1"/>
        <v>54.602799999999995</v>
      </c>
      <c r="L26" s="49">
        <f t="shared" si="2"/>
        <v>23.139721150993768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45819.77140046296</v>
      </c>
      <c r="B2" t="s">
        <v>2584</v>
      </c>
      <c r="C2" s="49"/>
      <c r="D2" s="49"/>
      <c r="E2" s="49">
        <v>4.9668900000000002</v>
      </c>
      <c r="F2" s="49">
        <v>1.3231200000000001</v>
      </c>
      <c r="G2" s="49">
        <v>0.492118</v>
      </c>
      <c r="H2" s="49">
        <v>0</v>
      </c>
      <c r="I2" s="49">
        <v>10.3307</v>
      </c>
      <c r="J2" s="49">
        <v>73</v>
      </c>
      <c r="K2" s="49">
        <v>73</v>
      </c>
      <c r="L2" s="49">
        <v>100</v>
      </c>
      <c r="M2" s="521" t="s">
        <v>1549</v>
      </c>
      <c r="O2" s="565" t="str">
        <f>IF(FH_info!B2="","",TRIM(MID(SUBSTITUTE(FH_info!B2,"^",REPT(" ",LEN(FH_info!B2))),LEN(FH_info!B2)*2-LEN(FH_info!B2)+1,LEN(FH_info!B2))))</f>
        <v>nFQ6</v>
      </c>
      <c r="P2" s="565" t="str">
        <f>IF(FH_info!O2="","",TRIM(MID(SUBSTITUTE(FH_info!O2," ",REPT(" ",LEN(FH_info!O2))),LEN(FH_info!O2)*1-LEN(FH_info!O2)+1,LEN(FH_info!O2))))</f>
        <v>nFQ6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10.330667</v>
      </c>
      <c r="D2">
        <f>MAX(B2:B257)</f>
        <v>2151.2145999999998</v>
      </c>
      <c r="G2" t="s">
        <v>1590</v>
      </c>
      <c r="H2">
        <v>4.9668869999999998</v>
      </c>
      <c r="I2">
        <v>10.330667</v>
      </c>
      <c r="J2">
        <v>0</v>
      </c>
      <c r="K2">
        <v>73</v>
      </c>
      <c r="L2">
        <v>73</v>
      </c>
      <c r="M2">
        <v>1.3231250000000001</v>
      </c>
      <c r="N2">
        <v>0.492118</v>
      </c>
      <c r="O2">
        <v>0.24218000000000001</v>
      </c>
    </row>
    <row r="3" spans="1:15">
      <c r="A3">
        <v>0</v>
      </c>
      <c r="B3">
        <v>0</v>
      </c>
      <c r="G3" t="s">
        <v>1591</v>
      </c>
      <c r="H3">
        <v>4.9668869999999998</v>
      </c>
      <c r="I3">
        <v>2151.2145999999998</v>
      </c>
      <c r="J3">
        <v>0</v>
      </c>
      <c r="K3">
        <v>12</v>
      </c>
      <c r="L3">
        <v>12</v>
      </c>
      <c r="M3">
        <v>0.36806299999999997</v>
      </c>
      <c r="N3">
        <v>0.241032</v>
      </c>
      <c r="O3">
        <v>5.8096000000000002E-2</v>
      </c>
    </row>
    <row r="4" spans="1:15">
      <c r="A4">
        <v>0</v>
      </c>
      <c r="B4">
        <v>0</v>
      </c>
    </row>
    <row r="5" spans="1:15">
      <c r="A5">
        <v>0</v>
      </c>
      <c r="B5">
        <v>0.29599999999999999</v>
      </c>
    </row>
    <row r="6" spans="1:15">
      <c r="A6">
        <v>0</v>
      </c>
      <c r="B6">
        <v>0.342667</v>
      </c>
    </row>
    <row r="7" spans="1:15">
      <c r="A7">
        <v>0</v>
      </c>
      <c r="B7">
        <v>0</v>
      </c>
    </row>
    <row r="8" spans="1:15">
      <c r="A8">
        <v>0</v>
      </c>
      <c r="B8">
        <v>270.71731599999998</v>
      </c>
    </row>
    <row r="9" spans="1:15">
      <c r="A9">
        <v>0</v>
      </c>
      <c r="B9">
        <v>237.08665500000001</v>
      </c>
    </row>
    <row r="10" spans="1:15">
      <c r="A10">
        <v>0</v>
      </c>
      <c r="B10">
        <v>0</v>
      </c>
    </row>
    <row r="11" spans="1:15">
      <c r="A11">
        <v>0</v>
      </c>
      <c r="B11">
        <v>646.82665999999995</v>
      </c>
    </row>
    <row r="12" spans="1:15">
      <c r="A12">
        <v>0</v>
      </c>
      <c r="B12">
        <v>740.20929000000001</v>
      </c>
    </row>
    <row r="13" spans="1:15">
      <c r="A13">
        <v>0</v>
      </c>
      <c r="B13">
        <v>0</v>
      </c>
    </row>
    <row r="14" spans="1:15">
      <c r="A14">
        <v>0</v>
      </c>
      <c r="B14">
        <v>2151.2145999999998</v>
      </c>
    </row>
    <row r="15" spans="1:15">
      <c r="A15">
        <v>0</v>
      </c>
      <c r="B15">
        <v>1613.1826169999999</v>
      </c>
    </row>
    <row r="16" spans="1:15">
      <c r="A16">
        <v>0</v>
      </c>
      <c r="B16">
        <v>475.00668300000001</v>
      </c>
    </row>
    <row r="17" spans="1:2">
      <c r="A17">
        <v>0.113333</v>
      </c>
      <c r="B17">
        <v>1231.3666989999999</v>
      </c>
    </row>
    <row r="18" spans="1:2">
      <c r="A18">
        <v>8.9332999999999996E-2</v>
      </c>
      <c r="B18">
        <v>1231.3813479999999</v>
      </c>
    </row>
    <row r="19" spans="1:2">
      <c r="A19">
        <v>0.61466699999999996</v>
      </c>
      <c r="B19">
        <v>596.26135299999999</v>
      </c>
    </row>
    <row r="20" spans="1:2">
      <c r="A20">
        <v>1.2186669999999999</v>
      </c>
      <c r="B20">
        <v>556.74395800000002</v>
      </c>
    </row>
    <row r="21" spans="1:2">
      <c r="A21">
        <v>1.544</v>
      </c>
      <c r="B21">
        <v>371.38668799999999</v>
      </c>
    </row>
    <row r="22" spans="1:2">
      <c r="A22">
        <v>1.8360000000000001</v>
      </c>
      <c r="B22">
        <v>452.396027</v>
      </c>
    </row>
    <row r="23" spans="1:2">
      <c r="A23">
        <v>1.4666669999999999</v>
      </c>
      <c r="B23">
        <v>232.07867400000001</v>
      </c>
    </row>
    <row r="24" spans="1:2">
      <c r="A24">
        <v>1.433333</v>
      </c>
      <c r="B24">
        <v>232.157318</v>
      </c>
    </row>
    <row r="25" spans="1:2">
      <c r="A25">
        <v>2.9106670000000001</v>
      </c>
      <c r="B25">
        <v>376.20266700000002</v>
      </c>
    </row>
    <row r="26" spans="1:2">
      <c r="A26">
        <v>1.0493330000000001</v>
      </c>
      <c r="B26">
        <v>143.893326</v>
      </c>
    </row>
    <row r="27" spans="1:2">
      <c r="A27">
        <v>1.742667</v>
      </c>
      <c r="B27">
        <v>133.320007</v>
      </c>
    </row>
    <row r="28" spans="1:2">
      <c r="A28">
        <v>2.5253329999999998</v>
      </c>
      <c r="B28">
        <v>183.75067100000001</v>
      </c>
    </row>
    <row r="29" spans="1:2">
      <c r="A29">
        <v>1.814667</v>
      </c>
      <c r="B29">
        <v>111.801338</v>
      </c>
    </row>
    <row r="30" spans="1:2">
      <c r="A30">
        <v>3.1026669999999998</v>
      </c>
      <c r="B30">
        <v>119.02533</v>
      </c>
    </row>
    <row r="31" spans="1:2">
      <c r="A31">
        <v>5.4426670000000001</v>
      </c>
      <c r="B31">
        <v>122.60266900000001</v>
      </c>
    </row>
    <row r="32" spans="1:2">
      <c r="A32">
        <v>3.4013330000000002</v>
      </c>
      <c r="B32">
        <v>104.802666</v>
      </c>
    </row>
    <row r="33" spans="1:2">
      <c r="A33">
        <v>6.3853330000000001</v>
      </c>
      <c r="B33">
        <v>61.545333999999997</v>
      </c>
    </row>
    <row r="34" spans="1:2">
      <c r="A34">
        <v>8.0053330000000003</v>
      </c>
      <c r="B34">
        <v>92.249336</v>
      </c>
    </row>
    <row r="35" spans="1:2">
      <c r="A35">
        <v>5.418666</v>
      </c>
      <c r="B35">
        <v>61.522666999999998</v>
      </c>
    </row>
    <row r="36" spans="1:2">
      <c r="A36">
        <v>7.1573330000000004</v>
      </c>
      <c r="B36">
        <v>70.105331000000007</v>
      </c>
    </row>
    <row r="37" spans="1:2">
      <c r="A37">
        <v>7.1213340000000001</v>
      </c>
      <c r="B37">
        <v>46.742663999999998</v>
      </c>
    </row>
    <row r="38" spans="1:2">
      <c r="A38">
        <v>7.7893330000000001</v>
      </c>
      <c r="B38">
        <v>70.312004000000002</v>
      </c>
    </row>
    <row r="39" spans="1:2">
      <c r="A39">
        <v>7.7706670000000004</v>
      </c>
      <c r="B39">
        <v>50.207996000000001</v>
      </c>
    </row>
    <row r="40" spans="1:2">
      <c r="A40">
        <v>5.2973330000000001</v>
      </c>
      <c r="B40">
        <v>40.605334999999997</v>
      </c>
    </row>
    <row r="41" spans="1:2">
      <c r="A41">
        <v>6.0640000000000001</v>
      </c>
      <c r="B41">
        <v>49.142665999999998</v>
      </c>
    </row>
    <row r="42" spans="1:2">
      <c r="A42">
        <v>7.0333329999999998</v>
      </c>
      <c r="B42">
        <v>56.713332999999999</v>
      </c>
    </row>
    <row r="43" spans="1:2">
      <c r="A43">
        <v>4.3573329999999997</v>
      </c>
      <c r="B43">
        <v>36.345332999999997</v>
      </c>
    </row>
    <row r="44" spans="1:2">
      <c r="A44">
        <v>5.1146669999999999</v>
      </c>
      <c r="B44">
        <v>52.674666999999999</v>
      </c>
    </row>
    <row r="45" spans="1:2">
      <c r="A45">
        <v>5.52</v>
      </c>
      <c r="B45">
        <v>41.212001999999998</v>
      </c>
    </row>
    <row r="46" spans="1:2">
      <c r="A46">
        <v>3.6240000000000001</v>
      </c>
      <c r="B46">
        <v>32.391998000000001</v>
      </c>
    </row>
    <row r="47" spans="1:2">
      <c r="A47">
        <v>4.6186670000000003</v>
      </c>
      <c r="B47">
        <v>38.833331999999999</v>
      </c>
    </row>
    <row r="48" spans="1:2">
      <c r="A48">
        <v>5.4466669999999997</v>
      </c>
      <c r="B48">
        <v>46.457332999999998</v>
      </c>
    </row>
    <row r="49" spans="1:2">
      <c r="A49">
        <v>3.274667</v>
      </c>
      <c r="B49">
        <v>29.288</v>
      </c>
    </row>
    <row r="50" spans="1:2">
      <c r="A50">
        <v>4.4333330000000002</v>
      </c>
      <c r="B50">
        <v>41.967998999999999</v>
      </c>
    </row>
    <row r="51" spans="1:2">
      <c r="A51">
        <v>4.7386670000000004</v>
      </c>
      <c r="B51">
        <v>27.351998999999999</v>
      </c>
    </row>
    <row r="52" spans="1:2">
      <c r="A52">
        <v>6.041334</v>
      </c>
      <c r="B52">
        <v>40.332000999999998</v>
      </c>
    </row>
    <row r="53" spans="1:2">
      <c r="A53">
        <v>2.9826670000000002</v>
      </c>
      <c r="B53">
        <v>19.312000000000001</v>
      </c>
    </row>
    <row r="54" spans="1:2">
      <c r="A54">
        <v>6.3586660000000004</v>
      </c>
      <c r="B54">
        <v>38.658669000000003</v>
      </c>
    </row>
    <row r="55" spans="1:2">
      <c r="A55">
        <v>6.5506659999999997</v>
      </c>
      <c r="B55">
        <v>36.769333000000003</v>
      </c>
    </row>
    <row r="56" spans="1:2">
      <c r="A56">
        <v>4.452</v>
      </c>
      <c r="B56">
        <v>28.477333000000002</v>
      </c>
    </row>
    <row r="57" spans="1:2">
      <c r="A57">
        <v>5.8613340000000003</v>
      </c>
      <c r="B57">
        <v>23.828001</v>
      </c>
    </row>
    <row r="58" spans="1:2">
      <c r="A58">
        <v>6.9893340000000004</v>
      </c>
      <c r="B58">
        <v>33.138668000000003</v>
      </c>
    </row>
    <row r="59" spans="1:2">
      <c r="A59">
        <v>4.8106669999999996</v>
      </c>
      <c r="B59">
        <v>20.317333000000001</v>
      </c>
    </row>
    <row r="60" spans="1:2">
      <c r="A60">
        <v>6.7866669999999996</v>
      </c>
      <c r="B60">
        <v>25.376000999999999</v>
      </c>
    </row>
    <row r="61" spans="1:2">
      <c r="A61">
        <v>8.4853330000000007</v>
      </c>
      <c r="B61">
        <v>29.168001</v>
      </c>
    </row>
    <row r="62" spans="1:2">
      <c r="A62">
        <v>5.9693339999999999</v>
      </c>
      <c r="B62">
        <v>23.329333999999999</v>
      </c>
    </row>
    <row r="63" spans="1:2">
      <c r="A63">
        <v>8.7040000000000006</v>
      </c>
      <c r="B63">
        <v>20.538668000000001</v>
      </c>
    </row>
    <row r="64" spans="1:2">
      <c r="A64">
        <v>5.9039999999999999</v>
      </c>
      <c r="B64">
        <v>16.741333000000001</v>
      </c>
    </row>
    <row r="65" spans="1:2">
      <c r="A65">
        <v>7.8906660000000004</v>
      </c>
      <c r="B65">
        <v>21.369333000000001</v>
      </c>
    </row>
    <row r="66" spans="1:2">
      <c r="A66">
        <v>9.2946659999999994</v>
      </c>
      <c r="B66">
        <v>21.096001000000001</v>
      </c>
    </row>
    <row r="67" spans="1:2">
      <c r="A67">
        <v>6.3813339999999998</v>
      </c>
      <c r="B67">
        <v>14.183999999999999</v>
      </c>
    </row>
    <row r="68" spans="1:2">
      <c r="A68">
        <v>7.8120000000000003</v>
      </c>
      <c r="B68">
        <v>19.805333999999998</v>
      </c>
    </row>
    <row r="69" spans="1:2">
      <c r="A69">
        <v>9.3386659999999999</v>
      </c>
      <c r="B69">
        <v>15.215999999999999</v>
      </c>
    </row>
    <row r="70" spans="1:2">
      <c r="A70">
        <v>6.0826659999999997</v>
      </c>
      <c r="B70">
        <v>13.149334</v>
      </c>
    </row>
    <row r="71" spans="1:2">
      <c r="A71">
        <v>8.1120000000000001</v>
      </c>
      <c r="B71">
        <v>11.332000000000001</v>
      </c>
    </row>
    <row r="72" spans="1:2">
      <c r="A72">
        <v>8.0559999999999992</v>
      </c>
      <c r="B72">
        <v>11.308001000000001</v>
      </c>
    </row>
    <row r="73" spans="1:2">
      <c r="A73">
        <v>9.0386670000000002</v>
      </c>
      <c r="B73">
        <v>10.316000000000001</v>
      </c>
    </row>
    <row r="74" spans="1:2">
      <c r="A74">
        <v>8.8666669999999996</v>
      </c>
      <c r="B74">
        <v>13.873334</v>
      </c>
    </row>
    <row r="75" spans="1:2">
      <c r="A75">
        <v>10.330667</v>
      </c>
      <c r="B75">
        <v>7.6826670000000004</v>
      </c>
    </row>
    <row r="76" spans="1:2">
      <c r="A76">
        <v>6.7320000000000002</v>
      </c>
      <c r="B76">
        <v>6.6026670000000003</v>
      </c>
    </row>
    <row r="77" spans="1:2">
      <c r="A77">
        <v>8.1466670000000008</v>
      </c>
      <c r="B77">
        <v>7.3986660000000004</v>
      </c>
    </row>
    <row r="78" spans="1:2">
      <c r="A78">
        <v>10.086667</v>
      </c>
      <c r="B78">
        <v>8.7279999999999998</v>
      </c>
    </row>
    <row r="79" spans="1:2">
      <c r="A79">
        <v>6.5786660000000001</v>
      </c>
      <c r="B79">
        <v>4.9373339999999999</v>
      </c>
    </row>
    <row r="80" spans="1:2">
      <c r="A80">
        <v>8.0666670000000007</v>
      </c>
      <c r="B80">
        <v>6.5279999999999996</v>
      </c>
    </row>
    <row r="81" spans="1:2">
      <c r="A81">
        <v>9.4853330000000007</v>
      </c>
      <c r="B81">
        <v>5.5573329999999999</v>
      </c>
    </row>
    <row r="82" spans="1:2">
      <c r="A82">
        <v>6.1546669999999999</v>
      </c>
      <c r="B82">
        <v>3.750667</v>
      </c>
    </row>
    <row r="83" spans="1:2">
      <c r="A83">
        <v>6.7866669999999996</v>
      </c>
      <c r="B83">
        <v>4.2119999999999997</v>
      </c>
    </row>
    <row r="84" spans="1:2">
      <c r="A84">
        <v>8.2946659999999994</v>
      </c>
      <c r="B84">
        <v>4.9706669999999997</v>
      </c>
    </row>
    <row r="85" spans="1:2">
      <c r="A85">
        <v>5.1133329999999999</v>
      </c>
      <c r="B85">
        <v>2.7933340000000002</v>
      </c>
    </row>
    <row r="86" spans="1:2">
      <c r="A86">
        <v>6.3826669999999996</v>
      </c>
      <c r="B86">
        <v>3.7266659999999998</v>
      </c>
    </row>
    <row r="87" spans="1:2">
      <c r="A87">
        <v>3.1906669999999999</v>
      </c>
      <c r="B87">
        <v>0.90933299999999995</v>
      </c>
    </row>
    <row r="88" spans="1:2">
      <c r="A88">
        <v>9.6986670000000004</v>
      </c>
      <c r="B88">
        <v>4.3733329999999997</v>
      </c>
    </row>
    <row r="89" spans="1:2">
      <c r="A89">
        <v>4.7266659999999998</v>
      </c>
      <c r="B89">
        <v>2</v>
      </c>
    </row>
    <row r="90" spans="1:2">
      <c r="A90">
        <v>5.6746670000000003</v>
      </c>
      <c r="B90">
        <v>2.4786670000000002</v>
      </c>
    </row>
    <row r="91" spans="1:2">
      <c r="A91">
        <v>6.4359999999999999</v>
      </c>
      <c r="B91">
        <v>2.76</v>
      </c>
    </row>
    <row r="92" spans="1:2">
      <c r="A92">
        <v>3.9213330000000002</v>
      </c>
      <c r="B92">
        <v>1.96</v>
      </c>
    </row>
    <row r="93" spans="1:2">
      <c r="A93">
        <v>5.1133329999999999</v>
      </c>
      <c r="B93">
        <v>1.5453330000000001</v>
      </c>
    </row>
    <row r="94" spans="1:2">
      <c r="A94">
        <v>5.6066669999999998</v>
      </c>
      <c r="B94">
        <v>2.0373329999999998</v>
      </c>
    </row>
    <row r="95" spans="1:2">
      <c r="A95">
        <v>3.6266669999999999</v>
      </c>
      <c r="B95">
        <v>1.196</v>
      </c>
    </row>
    <row r="96" spans="1:2">
      <c r="A96">
        <v>4.2013340000000001</v>
      </c>
      <c r="B96">
        <v>1.448</v>
      </c>
    </row>
    <row r="97" spans="1:2">
      <c r="A97">
        <v>5.1746670000000003</v>
      </c>
      <c r="B97">
        <v>1.5973329999999999</v>
      </c>
    </row>
    <row r="98" spans="1:2">
      <c r="A98">
        <v>3.3906670000000001</v>
      </c>
      <c r="B98">
        <v>1.1746669999999999</v>
      </c>
    </row>
    <row r="99" spans="1:2">
      <c r="A99">
        <v>4.1866659999999998</v>
      </c>
      <c r="B99">
        <v>0.90400000000000003</v>
      </c>
    </row>
    <row r="100" spans="1:2">
      <c r="A100">
        <v>3.4133330000000002</v>
      </c>
      <c r="B100">
        <v>0.90533300000000005</v>
      </c>
    </row>
    <row r="101" spans="1:2">
      <c r="A101">
        <v>4.0466670000000002</v>
      </c>
      <c r="B101">
        <v>1.030667</v>
      </c>
    </row>
    <row r="102" spans="1:2">
      <c r="A102">
        <v>2.9866670000000002</v>
      </c>
      <c r="B102">
        <v>0.66800000000000004</v>
      </c>
    </row>
    <row r="103" spans="1:2">
      <c r="A103">
        <v>3.68</v>
      </c>
      <c r="B103">
        <v>0.87866699999999998</v>
      </c>
    </row>
    <row r="104" spans="1:2">
      <c r="A104">
        <v>1.9066669999999999</v>
      </c>
      <c r="B104">
        <v>0.85199999999999998</v>
      </c>
    </row>
    <row r="105" spans="1:2">
      <c r="A105">
        <v>3.8773330000000001</v>
      </c>
      <c r="B105">
        <v>0.27333299999999999</v>
      </c>
    </row>
    <row r="106" spans="1:2">
      <c r="A106">
        <v>4.0826659999999997</v>
      </c>
      <c r="B106">
        <v>0.67466700000000002</v>
      </c>
    </row>
    <row r="107" spans="1:2">
      <c r="A107">
        <v>2.8746670000000001</v>
      </c>
      <c r="B107">
        <v>0.45866699999999999</v>
      </c>
    </row>
    <row r="108" spans="1:2">
      <c r="A108">
        <v>2.8786670000000001</v>
      </c>
      <c r="B108">
        <v>0.469333</v>
      </c>
    </row>
    <row r="109" spans="1:2">
      <c r="A109">
        <v>2.8</v>
      </c>
      <c r="B109">
        <v>0.410667</v>
      </c>
    </row>
    <row r="110" spans="1:2">
      <c r="A110">
        <v>2.8479999999999999</v>
      </c>
      <c r="B110">
        <v>0.50666699999999998</v>
      </c>
    </row>
    <row r="111" spans="1:2">
      <c r="A111">
        <v>3.2919999999999998</v>
      </c>
      <c r="B111">
        <v>0.33333299999999999</v>
      </c>
    </row>
    <row r="112" spans="1:2">
      <c r="A112">
        <v>2.2080000000000002</v>
      </c>
      <c r="B112">
        <v>0.25066699999999997</v>
      </c>
    </row>
    <row r="113" spans="1:2">
      <c r="A113">
        <v>2.4239999999999999</v>
      </c>
      <c r="B113">
        <v>0.24266699999999999</v>
      </c>
    </row>
    <row r="114" spans="1:2">
      <c r="A114">
        <v>3.330667</v>
      </c>
      <c r="B114">
        <v>0.349333</v>
      </c>
    </row>
    <row r="115" spans="1:2">
      <c r="A115">
        <v>1.745333</v>
      </c>
      <c r="B115">
        <v>0.150667</v>
      </c>
    </row>
    <row r="116" spans="1:2">
      <c r="A116">
        <v>1.8826670000000001</v>
      </c>
      <c r="B116">
        <v>0.192</v>
      </c>
    </row>
    <row r="117" spans="1:2">
      <c r="A117">
        <v>2.6346669999999999</v>
      </c>
      <c r="B117">
        <v>0.16933300000000001</v>
      </c>
    </row>
    <row r="118" spans="1:2">
      <c r="A118">
        <v>1.8426670000000001</v>
      </c>
      <c r="B118">
        <v>0.12</v>
      </c>
    </row>
    <row r="119" spans="1:2">
      <c r="A119">
        <v>2.1173329999999999</v>
      </c>
      <c r="B119">
        <v>0.157333</v>
      </c>
    </row>
    <row r="120" spans="1:2">
      <c r="A120">
        <v>2.253333</v>
      </c>
      <c r="B120">
        <v>0.14799999999999999</v>
      </c>
    </row>
    <row r="121" spans="1:2">
      <c r="A121">
        <v>1.5413330000000001</v>
      </c>
      <c r="B121">
        <v>7.5999999999999998E-2</v>
      </c>
    </row>
    <row r="122" spans="1:2">
      <c r="A122">
        <v>1.744</v>
      </c>
      <c r="B122">
        <v>0.105333</v>
      </c>
    </row>
    <row r="123" spans="1:2">
      <c r="A123">
        <v>1.173333</v>
      </c>
      <c r="B123">
        <v>4.9333000000000002E-2</v>
      </c>
    </row>
    <row r="124" spans="1:2">
      <c r="A124">
        <v>1.8853329999999999</v>
      </c>
      <c r="B124">
        <v>8.7999999999999995E-2</v>
      </c>
    </row>
    <row r="125" spans="1:2">
      <c r="A125">
        <v>1.6133329999999999</v>
      </c>
      <c r="B125">
        <v>6.8000000000000005E-2</v>
      </c>
    </row>
    <row r="126" spans="1:2">
      <c r="A126">
        <v>0.49866700000000003</v>
      </c>
      <c r="B126">
        <v>0.02</v>
      </c>
    </row>
    <row r="127" spans="1:2">
      <c r="A127">
        <v>1.6266670000000001</v>
      </c>
      <c r="B127">
        <v>6.1332999999999999E-2</v>
      </c>
    </row>
    <row r="128" spans="1:2">
      <c r="A128">
        <v>0.50933300000000004</v>
      </c>
      <c r="B128">
        <v>2.2667E-2</v>
      </c>
    </row>
    <row r="129" spans="1:2">
      <c r="A129">
        <v>0.126667</v>
      </c>
      <c r="B129">
        <v>2.6670000000000001E-3</v>
      </c>
    </row>
    <row r="130" spans="1:2">
      <c r="A130">
        <v>0.63733300000000004</v>
      </c>
      <c r="B130">
        <v>2.5333000000000001E-2</v>
      </c>
    </row>
    <row r="131" spans="1:2">
      <c r="A131">
        <v>2.5333000000000001E-2</v>
      </c>
      <c r="B131">
        <v>1.333E-3</v>
      </c>
    </row>
    <row r="132" spans="1:2">
      <c r="A132">
        <v>0.33333299999999999</v>
      </c>
      <c r="B132">
        <v>1.2E-2</v>
      </c>
    </row>
    <row r="133" spans="1:2">
      <c r="A133">
        <v>0.34399999999999997</v>
      </c>
      <c r="B133">
        <v>1.2E-2</v>
      </c>
    </row>
    <row r="134" spans="1:2">
      <c r="A134">
        <v>0</v>
      </c>
      <c r="B134">
        <v>0</v>
      </c>
    </row>
    <row r="135" spans="1:2">
      <c r="A135">
        <v>0.22800000000000001</v>
      </c>
      <c r="B135">
        <v>6.6670000000000002E-3</v>
      </c>
    </row>
    <row r="136" spans="1:2">
      <c r="A136">
        <v>0</v>
      </c>
      <c r="B136">
        <v>0</v>
      </c>
    </row>
    <row r="137" spans="1:2">
      <c r="A137">
        <v>0.14799999999999999</v>
      </c>
      <c r="B137">
        <v>4.0000000000000001E-3</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1.83168333533798
1.83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1.8316833353379833</v>
      </c>
      <c r="I4" s="322">
        <f>IF(Measurement!AQ7&lt;&gt;"",NORMSDIST((H6-$B$2)/$B$3)*100,"")</f>
        <v>89.125042784352829</v>
      </c>
      <c r="J4" t="str">
        <f>Measurement!AR7</f>
        <v>건강</v>
      </c>
    </row>
    <row r="5" spans="1:11">
      <c r="B5" s="171">
        <v>-10</v>
      </c>
      <c r="C5" s="171">
        <f>NORMSDIST(($B5-$B$2)/$B$3)*100</f>
        <v>7.1097265868555281E-5</v>
      </c>
      <c r="G5" t="s">
        <v>1539</v>
      </c>
      <c r="H5" s="320">
        <f>IF(Measurement!AQ7&lt;-7,-7,Measurement!AQ7)</f>
        <v>1.8316833353379833</v>
      </c>
      <c r="I5" s="321">
        <f>IF(Measurement!AQ7&lt;&gt;"",0,"")</f>
        <v>0</v>
      </c>
    </row>
    <row r="6" spans="1:11">
      <c r="B6" s="171">
        <f>B5+0.1</f>
        <v>-9.9</v>
      </c>
      <c r="C6" s="171">
        <f t="shared" ref="C6:C57" si="0">NORMSDIST(($B6-$B$2)/$B$3)*100</f>
        <v>9.1781224195367343E-5</v>
      </c>
      <c r="H6" s="320">
        <f>IF(Measurement!AQ7&lt;-7,-7,Measurement!AQ7)</f>
        <v>1.8316833353379833</v>
      </c>
      <c r="I6" s="321">
        <f>IF(Measurement!AQ7&lt;&gt;"",NORMSDIST((H6-$B$2)/$B$3)*100,"")</f>
        <v>89.125042784352829</v>
      </c>
    </row>
    <row r="7" spans="1:11">
      <c r="B7" s="171">
        <f t="shared" ref="B7:B70" si="1">B6+0.1</f>
        <v>-9.8000000000000007</v>
      </c>
      <c r="C7" s="171">
        <f t="shared" si="0"/>
        <v>1.1818368021892541E-4</v>
      </c>
      <c r="D7" s="171"/>
      <c r="H7" s="320">
        <f>IF(Measurement!AQ7&lt;&gt;"",-7,"")</f>
        <v>-7</v>
      </c>
      <c r="I7" s="321">
        <f>IF(Measurement!AQ7&lt;&gt;"",NORMSDIST((H6-$B$2)/$B$3)*100,"")</f>
        <v>89.125042784352829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57.1</v>
      </c>
      <c r="V4" t="s">
        <v>1218</v>
      </c>
    </row>
    <row r="5" spans="1:29">
      <c r="B5" s="171">
        <v>0</v>
      </c>
      <c r="C5" s="171">
        <f>NORMSDIST(($B5-$B$2)/$B$3)*100</f>
        <v>1.2153167836658598</v>
      </c>
      <c r="H5">
        <f>info!W36</f>
        <v>57.10347999999999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57.10347999999999</v>
      </c>
      <c r="I6" s="171">
        <f>NORMSDIST((H6-$B$2)/$B$3)*100</f>
        <v>62.550695649754282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62.550695649754282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1.3231200000000001</v>
      </c>
    </row>
    <row r="3" spans="1:11" ht="18">
      <c r="A3" s="71" t="s">
        <v>1065</v>
      </c>
      <c r="B3" s="557">
        <v>0.71290976993199895</v>
      </c>
      <c r="C3" s="523"/>
      <c r="H3" s="561" t="s">
        <v>2223</v>
      </c>
      <c r="I3" s="562">
        <f>IF(I2=0,0,NORMSDIST((I2-$B$2)/$B$3)*100)</f>
        <v>20.920271389783579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1.32</v>
      </c>
    </row>
    <row r="6" spans="1:11">
      <c r="B6" s="23">
        <v>0</v>
      </c>
      <c r="C6" s="23">
        <f>NORMSDIST(($B6-$B$2)/$B$3)*100</f>
        <v>0.38478836223957635</v>
      </c>
      <c r="H6" s="205">
        <f>IF(info!V36&gt;I1,I1,info!V36)</f>
        <v>1.3231200000000001</v>
      </c>
      <c r="I6" s="560">
        <v>0</v>
      </c>
    </row>
    <row r="7" spans="1:11">
      <c r="B7" s="23">
        <f>B5+0.05</f>
        <v>0</v>
      </c>
      <c r="C7" s="23">
        <f t="shared" ref="C7:E58" si="0">NORMSDIST(($B7-$B$2)/$B$3)*100</f>
        <v>0.38478836223957635</v>
      </c>
      <c r="H7" s="205">
        <f>IF(info!V36&gt;I1,I1,info!V36)</f>
        <v>1.3231200000000001</v>
      </c>
      <c r="I7" s="560">
        <f>NORMSDIST((H7-$B$2)/$B$3)*100</f>
        <v>20.920271389783579</v>
      </c>
    </row>
    <row r="8" spans="1:11">
      <c r="B8" s="23">
        <f t="shared" ref="B8:B71" si="1">B7+0.05</f>
        <v>0.05</v>
      </c>
      <c r="C8" s="23">
        <f t="shared" si="0"/>
        <v>0.47295624138584591</v>
      </c>
      <c r="D8" s="171"/>
      <c r="H8" s="205">
        <v>0</v>
      </c>
      <c r="I8" s="560">
        <f>NORMSDIST((H7-$B$2)/$B$3)*100</f>
        <v>20.920271389783579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1.3231200000000001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1.3231200000000001</v>
      </c>
      <c r="I6" s="171">
        <f>NORMSDIST((H6-$B$2)/$B$3)*100</f>
        <v>4.259206744111927E-2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4.259206744111927E-2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45819.77140046296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nFQ6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1</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2025-06-11T09:31:48Z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