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2Zs0^1^29^\"/>
    </mc:Choice>
  </mc:AlternateContent>
  <xr:revisionPtr revIDLastSave="0" documentId="13_ncr:1_{736454B2-0E28-40E1-88DC-9F8C6C89F88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L8" i="42"/>
  <c r="H7" i="42"/>
  <c r="H7" i="41"/>
  <c r="H7" i="40"/>
  <c r="H7" i="39"/>
  <c r="L8" i="38"/>
  <c r="H7" i="38"/>
  <c r="H7" i="37"/>
  <c r="H7" i="36"/>
  <c r="H7" i="33"/>
  <c r="L8" i="30"/>
  <c r="V2" i="14"/>
  <c r="L8" i="49" s="1"/>
  <c r="U2" i="14"/>
  <c r="R8" i="49" s="1"/>
  <c r="T2" i="14"/>
  <c r="L7" i="49" s="1"/>
  <c r="R2" i="14"/>
  <c r="P2" i="14"/>
  <c r="O2" i="14"/>
  <c r="H8" i="39" s="1"/>
  <c r="L8" i="37" l="1"/>
  <c r="L8" i="41"/>
  <c r="L8" i="45"/>
  <c r="L8" i="36"/>
  <c r="L8" i="40"/>
  <c r="L8" i="44"/>
  <c r="H8" i="36"/>
  <c r="L7" i="39"/>
  <c r="Q8" i="41"/>
  <c r="H8" i="44"/>
  <c r="H8" i="43"/>
  <c r="Q8" i="44"/>
  <c r="L7" i="46"/>
  <c r="L8" i="46"/>
  <c r="L7" i="33"/>
  <c r="Q8" i="37"/>
  <c r="H8" i="40"/>
  <c r="L7" i="43"/>
  <c r="Q8" i="45"/>
  <c r="L7" i="30"/>
  <c r="H8" i="33"/>
  <c r="Q8" i="36"/>
  <c r="L7" i="38"/>
  <c r="Q8" i="40"/>
  <c r="L7" i="42"/>
  <c r="L8" i="33"/>
  <c r="L8" i="39"/>
  <c r="L8" i="43"/>
  <c r="Q2" i="14"/>
  <c r="H8" i="49"/>
  <c r="H8" i="30"/>
  <c r="Q8" i="33"/>
  <c r="L7" i="37"/>
  <c r="H8" i="38"/>
  <c r="Q8" i="39"/>
  <c r="L7" i="41"/>
  <c r="H8" i="42"/>
  <c r="Q8" i="43"/>
  <c r="L7" i="45"/>
  <c r="H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8" i="1"/>
  <c r="I33" i="48" s="1"/>
  <c r="L16" i="1"/>
  <c r="I41" i="48" s="1"/>
  <c r="L7" i="1"/>
  <c r="I32" i="48" s="1"/>
  <c r="L15" i="1"/>
  <c r="I40" i="48" s="1"/>
  <c r="L14" i="1"/>
  <c r="I39"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B7" i="1"/>
  <c r="CB6" i="1" s="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1"/>
  <c r="O7" i="46"/>
  <c r="O7" i="42"/>
  <c r="O7" i="38"/>
  <c r="O7" i="30"/>
  <c r="O7" i="45"/>
  <c r="O7" i="43"/>
  <c r="O7" i="39"/>
  <c r="O7" i="33"/>
  <c r="O7" i="44"/>
  <c r="O7" i="40"/>
  <c r="O7" i="36"/>
  <c r="O7" i="37"/>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1" i="1" l="1"/>
  <c r="Y14" i="1"/>
  <c r="Y10" i="1"/>
  <c r="Y8" i="1"/>
  <c r="Y16" i="1"/>
  <c r="Y9" i="1"/>
  <c r="Y13" i="1"/>
  <c r="C213" i="17"/>
  <c r="B213" i="17" s="1"/>
  <c r="Y12" i="1" s="1"/>
  <c r="A214" i="17"/>
  <c r="F211" i="11"/>
  <c r="A212" i="11"/>
  <c r="B211" i="11"/>
  <c r="E211" i="11" s="1"/>
  <c r="L34" i="48" l="1"/>
  <c r="L34" i="18"/>
  <c r="L37" i="48"/>
  <c r="L37" i="18"/>
  <c r="L41" i="48"/>
  <c r="L41" i="18"/>
  <c r="L33" i="48"/>
  <c r="L33" i="18"/>
  <c r="L38" i="48"/>
  <c r="L38" i="18"/>
  <c r="L35" i="48"/>
  <c r="L35" i="18"/>
  <c r="L39" i="48"/>
  <c r="L39" i="18"/>
  <c r="L36" i="48"/>
  <c r="L36" i="18"/>
  <c r="C214" i="17"/>
  <c r="B214" i="17" s="1"/>
  <c r="Y7" i="1" s="1"/>
  <c r="A215" i="17"/>
  <c r="F212" i="11"/>
  <c r="A213" i="11"/>
  <c r="B212" i="11"/>
  <c r="E212" i="11" s="1"/>
  <c r="L32" i="48" l="1"/>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G10" i="1"/>
  <c r="CJ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G11" i="1" l="1"/>
  <c r="CJ11" i="1"/>
  <c r="G13" i="18" s="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F282" i="11"/>
  <c r="C285" i="17" l="1"/>
  <c r="B285" i="17" s="1"/>
  <c r="A286" i="17"/>
  <c r="CS15" i="1"/>
  <c r="M13" i="48" s="1"/>
  <c r="CT15" i="1"/>
  <c r="CV15" i="1"/>
  <c r="CJ16" i="1" s="1"/>
  <c r="CJ20" i="1" s="1"/>
  <c r="D13" i="48"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J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J18" i="1" s="1"/>
  <c r="G13" i="48"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G12" i="1" l="1"/>
  <c r="CJ19" i="1"/>
  <c r="D15" i="48" s="1"/>
  <c r="CJ12" i="1"/>
  <c r="D15" i="18" s="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CB33"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CB34"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CB35"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CB3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CB37" i="11" s="1"/>
  <c r="CB31" i="11" s="1"/>
  <c r="F465" i="11"/>
  <c r="J28" i="48" l="1"/>
  <c r="J28" i="18"/>
  <c r="C468" i="17"/>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CB38"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CB39"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CB40"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AT19" i="11" s="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<sst xmlns="http://schemas.openxmlformats.org/spreadsheetml/2006/main" count="7383" uniqueCount="2657">
  <si>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</si>
  <si>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</si>
  <si>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</si>
  <si>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</si>
  <si>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</si>
  <si>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</si>
  <si>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</si>
  <si>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</si>
  <si>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</si>
  <si>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</si>
  <si>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</si>
  <si>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</si>
  <si>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</si>
  <si>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</si>
  <si>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</si>
  <si>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</si>
  <si>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</si>
  <si>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</si>
  <si>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</si>
  <si>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</si>
  <si>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</si>
  <si>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</si>
  <si>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</si>
  <si>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</si>
  <si>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</si>
  <si>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</si>
  <si>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</si>
  <si>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</si>
  <si>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</si>
  <si>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</si>
  <si>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</si>
  <si>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</si>
  <si>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</si>
  <si>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</si>
  <si>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</si>
  <si>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</si>
  <si>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</si>
  <si>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</si>
  <si>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</si>
  <si>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</si>
  <si>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</si>
  <si>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</si>
  <si>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</si>
  <si>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</si>
  <si>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</si>
  <si>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</si>
  <si>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</si>
  <si>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</si>
  <si>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</si>
  <si>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</si>
  <si>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</si>
  <si>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</si>
  <si>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</si>
  <si>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</si>
  <si>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</si>
  <si>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</si>
  <si>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</si>
  <si>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</si>
  <si>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</si>
  <si>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</si>
  <si>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</si>
  <si>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</si>
  <si>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</si>
  <si>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</si>
  <si>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</si>
  <si>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</si>
  <si>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</si>
  <si>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</si>
  <si>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</si>
  <si>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</si>
  <si>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</si>
  <si>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</si>
  <si>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</si>
  <si>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</si>
  <si>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</si>
  <si>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</si>
  <si>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</si>
  <si>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</si>
  <si>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</si>
  <si>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</si>
  <si>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</si>
  <si>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</si>
  <si>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</si>
  <si>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</si>
  <si>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</si>
  <si>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</si>
  <si>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</si>
  <si>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</si>
  <si>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</si>
  <si>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</si>
  <si>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</si>
  <si>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</si>
  <si>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</si>
  <si>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</si>
  <si>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</si>
  <si>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</si>
  <si>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</si>
  <si>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</si>
  <si>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</si>
  <si>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</si>
  <si>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</si>
  <si>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</si>
  <si>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</si>
  <si>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</si>
  <si>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</si>
  <si>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</si>
  <si>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</si>
  <si>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</si>
  <si>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</si>
  <si>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</si>
  <si>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</si>
  <si>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</si>
  <si>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</si>
  <si>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</si>
  <si>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</si>
  <si>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</si>
  <si>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</si>
  <si>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</si>
  <si>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</si>
  <si>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</si>
  <si>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</si>
  <si>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</si>
  <si>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</si>
  <si>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</si>
  <si>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</si>
  <si>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</si>
  <si>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</si>
  <si>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</si>
  <si>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</si>
  <si>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</si>
  <si>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</si>
  <si>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</si>
  <si>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</si>
  <si>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</si>
  <si>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</si>
  <si>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</si>
  <si>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</si>
  <si>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</si>
  <si>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</si>
  <si>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</si>
  <si>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</si>
  <si>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</si>
  <si>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</si>
  <si>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</si>
  <si>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</si>
  <si>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</si>
  <si>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</si>
  <si>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</si>
  <si>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</si>
  <si>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</si>
  <si>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</si>
  <si>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</si>
  <si>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</si>
  <si>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</si>
  <si>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</si>
  <si>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</si>
  <si>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</si>
  <si>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</si>
  <si>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</si>
  <si>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</si>
  <si>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</si>
  <si>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</si>
  <si>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</si>
  <si>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</si>
  <si>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</si>
  <si>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</si>
  <si>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</si>
  <si>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</si>
  <si>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</si>
  <si>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</si>
  <si>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</si>
  <si>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</si>
  <si>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</si>
  <si>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</si>
  <si>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</si>
  <si>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</si>
  <si>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</si>
  <si>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</si>
  <si>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</si>
  <si>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</si>
  <si>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</si>
  <si>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</si>
  <si>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</si>
  <si>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</si>
  <si>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</si>
  <si>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</si>
  <si>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</si>
  <si>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</si>
  <si>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</si>
  <si>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</si>
  <si>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</si>
  <si>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</si>
  <si>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</si>
  <si>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</si>
  <si>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</si>
  <si>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</si>
  <si>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</si>
  <si>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</si>
  <si>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</si>
  <si>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</si>
  <si>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</si>
  <si>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</si>
  <si>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</si>
  <si>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</si>
  <si>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</si>
  <si>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</si>
  <si>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</si>
  <si>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</si>
  <si>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</si>
  <si>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</si>
  <si>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</si>
  <si>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</si>
  <si>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</si>
  <si>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</si>
  <si>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</si>
  <si>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</si>
  <si>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</si>
  <si>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</si>
  <si>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</si>
  <si>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</si>
  <si>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</si>
  <si>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</si>
  <si>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</si>
  <si>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</si>
  <si>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</si>
  <si>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</si>
  <si>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</si>
  <si>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</si>
  <si>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</si>
  <si>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</si>
  <si>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</si>
  <si>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</si>
  <si>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</si>
  <si>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</si>
  <si>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</si>
  <si>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</si>
  <si>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</si>
  <si>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</si>
  <si>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</si>
  <si>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</si>
  <si>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</si>
  <si>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</si>
  <si>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</si>
  <si>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</si>
  <si>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</si>
  <si>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</si>
  <si>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</si>
  <si>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</si>
  <si>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</si>
  <si>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</si>
  <si>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</si>
  <si>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</si>
  <si>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</si>
  <si>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</si>
  <si>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</si>
  <si>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</si>
  <si>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</si>
  <si>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</si>
  <si>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</si>
  <si>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</si>
  <si>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</si>
  <si>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</si>
  <si>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</si>
  <si>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</si>
  <si>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</si>
  <si>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</si>
  <si>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</si>
  <si>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</si>
  <si>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</si>
  <si>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</si>
  <si>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</si>
  <si>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</si>
  <si>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</si>
  <si>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</si>
  <si>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</si>
  <si>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</si>
  <si>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</si>
  <si>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</si>
  <si>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</si>
  <si>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</si>
  <si>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</si>
  <si>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</si>
  <si>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</si>
  <si>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</si>
  <si>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</si>
  <si>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</si>
  <si>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</si>
  <si>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</si>
  <si>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</si>
  <si>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</si>
  <si>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</si>
  <si>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</si>
  <si>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</si>
  <si>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</si>
  <si>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</si>
  <si>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</si>
  <si>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</si>
  <si>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</si>
  <si>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</si>
  <si>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</si>
  <si>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</si>
  <si>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</si>
  <si>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</si>
  <si>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</si>
  <si>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</si>
  <si>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</si>
  <si>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</si>
  <si>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</si>
  <si>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</si>
  <si>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</si>
  <si>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</si>
  <si>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</si>
  <si>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</si>
  <si>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</si>
  <si>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</si>
  <si>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</si>
  <si>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</si>
  <si>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</si>
  <si>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</si>
  <si>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</si>
  <si>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</si>
  <si>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</si>
  <si>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</si>
  <si>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</si>
  <si>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</si>
  <si>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</si>
  <si>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</si>
  <si>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</si>
  <si>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</si>
  <si>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</si>
  <si>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</si>
  <si>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</si>
  <si>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</si>
  <si>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</si>
  <si>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</si>
  <si>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</si>
  <si>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</si>
  <si>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</si>
  <si>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</si>
  <si>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</si>
  <si>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</si>
  <si>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</si>
  <si>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</si>
  <si>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</si>
  <si>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</si>
  <si>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</si>
  <si>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</si>
  <si>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</si>
  <si>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</si>
  <si>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</si>
  <si>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</si>
  <si>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</si>
  <si>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</si>
  <si>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</si>
  <si>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</si>
  <si>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</si>
  <si>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</si>
  <si>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</si>
  <si>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</si>
  <si>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</si>
  <si>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</si>
  <si>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</si>
  <si>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</si>
  <si>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</si>
  <si>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</si>
  <si>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</si>
  <si>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</si>
  <si>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</si>
  <si>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</si>
  <si>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</si>
  <si>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</si>
  <si>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</si>
  <si>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</si>
  <si>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</si>
  <si>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</si>
  <si>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</si>
  <si>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</si>
  <si>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</si>
  <si>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</si>
  <si>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</si>
  <si>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</si>
  <si>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</si>
  <si>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</si>
  <si>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</si>
  <si>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</si>
  <si>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</si>
  <si>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</si>
  <si>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</si>
  <si>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</si>
  <si>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</si>
  <si>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</si>
  <si>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</si>
  <si>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</si>
  <si>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</si>
  <si>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</si>
  <si>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</si>
  <si>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</si>
  <si>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</si>
  <si>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</si>
  <si>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</si>
  <si>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</si>
  <si>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</si>
  <si>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</si>
  <si>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</si>
  <si>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</si>
  <si>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</si>
  <si>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</si>
  <si>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</si>
  <si>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</si>
  <si>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</si>
  <si>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</si>
  <si>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</si>
  <si>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</si>
  <si>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</si>
  <si>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</si>
  <si>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</si>
  <si>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</si>
  <si>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</si>
  <si>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</si>
  <si>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</si>
  <si>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</si>
  <si>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</si>
  <si>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</si>
  <si>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</si>
  <si>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</si>
  <si>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</si>
  <si>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</si>
  <si>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</si>
  <si>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</si>
  <si>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</si>
  <si>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</si>
  <si>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</si>
  <si>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</si>
  <si>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</si>
  <si>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</si>
  <si>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</si>
  <si>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</si>
  <si>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</si>
  <si>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</si>
  <si>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</si>
  <si>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</si>
  <si>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</si>
  <si>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</si>
  <si>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</si>
  <si>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</si>
  <si>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</si>
  <si>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</si>
  <si>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</si>
  <si>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</si>
  <si>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</si>
  <si>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</si>
  <si>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</si>
  <si>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</si>
  <si>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</si>
  <si>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</si>
  <si>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</si>
  <si>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</si>
  <si>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</si>
  <si>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</si>
  <si>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</si>
  <si>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</si>
  <si>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</si>
  <si>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</si>
  <si>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</si>
  <si>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</si>
  <si>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</si>
  <si>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</si>
  <si>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</si>
  <si>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</si>
  <si>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</si>
  <si>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</si>
  <si>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</si>
  <si>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</si>
  <si>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</si>
  <si>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</si>
  <si>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</si>
  <si>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</si>
  <si>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</si>
  <si>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</si>
  <si>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</si>
  <si>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</si>
  <si>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</si>
  <si>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</si>
  <si>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</si>
  <si>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</si>
  <si>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</si>
  <si>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</si>
  <si>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</si>
  <si>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</si>
  <si>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</si>
  <si>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</si>
  <si>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</si>
  <si>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</si>
  <si>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</si>
  <si>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</si>
  <si>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</si>
  <si>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</si>
  <si>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</si>
  <si>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</si>
  <si>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</si>
  <si>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</si>
  <si>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</si>
  <si>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</si>
  <si>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</si>
  <si>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</si>
  <si>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</si>
  <si>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</si>
  <si>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</si>
  <si>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</si>
  <si>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</si>
  <si>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</si>
  <si>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</si>
  <si>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</si>
  <si>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</si>
  <si>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</si>
  <si>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</si>
  <si>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</si>
  <si>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</si>
  <si>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</si>
  <si>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</si>
  <si>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</si>
  <si>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</si>
  <si>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</si>
  <si>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</si>
  <si>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</si>
  <si>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</si>
  <si>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</si>
  <si>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</si>
  <si>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</si>
  <si>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</si>
  <si>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</si>
  <si>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</si>
  <si>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</si>
  <si>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</si>
  <si>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</si>
  <si>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</si>
  <si>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</si>
  <si>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</si>
  <si>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</si>
  <si>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</si>
  <si>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</si>
  <si>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</si>
  <si>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</si>
  <si>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</si>
  <si>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</si>
  <si>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</si>
  <si>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</si>
  <si>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</si>
  <si>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</si>
  <si>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</si>
  <si>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</si>
  <si>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</si>
  <si>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</si>
  <si>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</si>
  <si>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</si>
  <si>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</si>
  <si>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</si>
  <si>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</si>
  <si>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</si>
  <si>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</si>
  <si>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</si>
  <si>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</si>
  <si>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</si>
  <si>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</si>
  <si>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</si>
  <si>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</si>
  <si>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</si>
  <si>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</si>
  <si>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</si>
  <si>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</si>
  <si>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</si>
  <si>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</si>
  <si>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</si>
  <si>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</si>
  <si>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</si>
  <si>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</si>
  <si>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</si>
  <si>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</si>
  <si>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</si>
  <si>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</si>
  <si>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</si>
  <si>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</si>
  <si>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</si>
  <si>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</si>
  <si>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</si>
  <si>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</si>
  <si>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</si>
  <si>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</si>
  <si>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</si>
  <si>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</si>
  <si>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</si>
  <si>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</si>
  <si>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</si>
  <si>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</si>
  <si>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</si>
  <si>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</si>
  <si>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</si>
  <si>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</si>
  <si>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</si>
  <si>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</si>
  <si>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</si>
  <si>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</si>
  <si>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</si>
  <si>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</si>
  <si>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</si>
  <si>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</si>
  <si>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</si>
  <si>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</si>
  <si>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</si>
  <si>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</si>
  <si>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</si>
  <si>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</si>
  <si>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</si>
  <si>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</si>
  <si>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</si>
  <si>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</si>
  <si>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</si>
  <si>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</si>
  <si>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</si>
  <si>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</si>
  <si>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</si>
  <si>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</si>
  <si>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</si>
  <si>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</si>
  <si>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</si>
  <si>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</si>
  <si>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</si>
  <si>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</si>
  <si>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</si>
  <si>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</si>
  <si>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</si>
  <si>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</si>
  <si>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</si>
  <si>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</si>
  <si>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</si>
  <si>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</si>
  <si>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</si>
  <si>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</si>
  <si>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</si>
  <si>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</si>
  <si>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</si>
  <si>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</si>
  <si>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</si>
  <si>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</si>
  <si>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</si>
  <si>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</si>
  <si>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</si>
  <si>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</si>
  <si>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</si>
  <si>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</si>
  <si>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</si>
  <si>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</si>
  <si>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</si>
  <si>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</si>
  <si>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</si>
  <si>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</si>
  <si>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</si>
  <si>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</si>
  <si>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</si>
  <si>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</si>
  <si>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</si>
  <si>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</si>
  <si>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</si>
  <si>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</si>
  <si>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</si>
  <si>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</si>
  <si>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</si>
  <si>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</si>
  <si>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</si>
  <si>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</si>
  <si>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</si>
  <si>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</si>
  <si>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</si>
  <si>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</si>
  <si>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</si>
  <si>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</si>
  <si>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</si>
  <si>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</si>
  <si>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</si>
  <si>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</si>
  <si>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</si>
  <si>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</si>
  <si>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</si>
  <si>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</si>
  <si>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</si>
  <si>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</si>
  <si>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</si>
  <si>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</si>
  <si>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</si>
  <si>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</si>
  <si>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</si>
  <si>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</si>
  <si>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</si>
  <si>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</si>
  <si>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</si>
  <si>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</si>
  <si>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</si>
  <si>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</si>
  <si>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</si>
  <si>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</si>
  <si>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</si>
  <si>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</si>
  <si>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</si>
  <si>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</si>
  <si>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</si>
  <si>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</si>
  <si>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</si>
  <si>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</si>
  <si>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</si>
  <si>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</si>
  <si>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</si>
  <si>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</si>
  <si>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</si>
  <si>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</si>
  <si>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</si>
  <si>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</si>
  <si>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</si>
  <si>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</si>
  <si>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</si>
  <si>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</si>
  <si>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</si>
  <si>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</si>
  <si>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</si>
  <si>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</si>
  <si>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</si>
  <si>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</si>
  <si>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</si>
  <si>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</si>
  <si>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</si>
  <si>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</si>
  <si>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</si>
  <si>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</si>
  <si>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</si>
  <si>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</si>
  <si>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</si>
  <si>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</si>
  <si>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</si>
  <si>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</si>
  <si>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</si>
  <si>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</si>
  <si>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</si>
  <si>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</si>
  <si>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</si>
  <si>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</si>
  <si>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</si>
  <si>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</si>
  <si>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</si>
  <si>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</si>
  <si>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</si>
  <si>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</si>
  <si>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</si>
  <si>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</si>
  <si>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</si>
  <si>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</si>
  <si>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</si>
  <si>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</si>
  <si>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</si>
  <si>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</si>
  <si>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</si>
  <si>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</si>
  <si>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</si>
  <si>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</si>
  <si>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</si>
  <si>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</si>
  <si>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</si>
  <si>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</si>
  <si>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</si>
  <si>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</si>
  <si>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</si>
  <si>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</si>
  <si>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</si>
  <si>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</si>
  <si>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</si>
  <si>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</si>
  <si>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</si>
  <si>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</si>
  <si>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</si>
  <si>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</si>
  <si>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</si>
  <si>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</si>
  <si>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</si>
  <si>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</si>
  <si>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</si>
  <si>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</si>
  <si>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</si>
  <si>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</si>
  <si>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</si>
  <si>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</si>
  <si>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</si>
  <si>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</si>
  <si>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</si>
  <si>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</si>
  <si>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</si>
  <si>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</si>
  <si>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</si>
  <si>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</si>
  <si>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</si>
  <si>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</si>
  <si>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</si>
  <si>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</si>
  <si>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</si>
  <si>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</si>
  <si>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</si>
  <si>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</si>
  <si>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</si>
  <si>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</si>
  <si>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</si>
  <si>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</si>
  <si>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</si>
  <si>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</si>
  <si>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</si>
  <si>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</si>
  <si>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</si>
  <si>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</si>
  <si>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</si>
  <si>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</si>
  <si>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</si>
  <si>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</si>
  <si>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</si>
  <si>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</si>
  <si>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</si>
  <si>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</si>
  <si>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</si>
  <si>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</si>
  <si>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</si>
  <si>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</si>
  <si>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</si>
  <si>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</si>
  <si>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</si>
  <si>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</si>
  <si>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</si>
  <si>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</si>
  <si>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</si>
  <si>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</si>
  <si>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</si>
  <si>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</si>
  <si>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</si>
  <si>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</si>
  <si>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</si>
  <si>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</si>
  <si>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</si>
  <si>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</si>
  <si>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</si>
  <si>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</si>
  <si>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</si>
  <si>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</si>
  <si>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</si>
  <si>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</si>
  <si>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</si>
  <si>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</si>
  <si>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</si>
  <si>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</si>
  <si>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</si>
  <si>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</si>
  <si>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</si>
  <si>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</si>
  <si>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</si>
  <si>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</si>
  <si>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</si>
  <si>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</si>
  <si>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</si>
  <si>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</si>
  <si>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</si>
  <si>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</si>
  <si>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</si>
  <si>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</si>
  <si>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</si>
  <si>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</si>
  <si>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</si>
  <si>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</si>
  <si>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</si>
  <si>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</si>
  <si>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</si>
  <si>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</si>
  <si>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</si>
  <si>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</si>
  <si>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</si>
  <si>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</si>
  <si>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</si>
  <si>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</si>
  <si>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</si>
  <si>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</si>
  <si>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</si>
  <si>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</si>
  <si>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</si>
  <si>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</si>
  <si>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</si>
  <si>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</si>
  <si>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</si>
  <si>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</si>
  <si>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</si>
  <si>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</si>
  <si>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</si>
  <si>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</si>
  <si>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</si>
  <si>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</si>
  <si>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</si>
  <si>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</si>
  <si>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</si>
  <si>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</si>
  <si>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</si>
  <si>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</si>
  <si>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</si>
  <si>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</si>
  <si>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</si>
  <si>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</si>
  <si>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</si>
  <si>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</si>
  <si>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</si>
  <si>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</si>
  <si>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</si>
  <si>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</si>
  <si>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</si>
  <si>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</si>
  <si>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</si>
  <si>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</si>
  <si>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</si>
  <si>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</si>
  <si>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</si>
  <si>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</si>
  <si>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</si>
  <si>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</si>
  <si>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</si>
  <si>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</si>
  <si>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</si>
  <si>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</si>
  <si>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</si>
  <si>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</si>
  <si>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</si>
  <si>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</si>
  <si>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</si>
  <si>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</si>
  <si>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</si>
  <si>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</si>
  <si>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</si>
  <si>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</si>
  <si>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</si>
  <si>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</si>
  <si>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</si>
  <si>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</si>
  <si>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</si>
  <si>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</si>
  <si>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</si>
  <si>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</si>
  <si>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</si>
  <si>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</si>
  <si>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</si>
  <si>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</si>
  <si>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</si>
  <si>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</si>
  <si>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</si>
  <si>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</si>
  <si>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</si>
  <si>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</si>
  <si>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</si>
  <si>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</si>
  <si>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</si>
  <si>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</si>
  <si>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</si>
  <si>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</si>
  <si>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</si>
  <si>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</si>
  <si>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</si>
  <si>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</si>
  <si>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</si>
  <si>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</si>
  <si>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</si>
  <si>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</si>
  <si>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</si>
  <si>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</si>
  <si>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</si>
  <si>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</si>
  <si>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</si>
  <si>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</si>
  <si>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</si>
  <si>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</si>
  <si>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</si>
  <si>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</si>
  <si>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</si>
  <si>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</si>
  <si>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</si>
  <si>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</si>
  <si>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</si>
  <si>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</si>
  <si>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</si>
  <si>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</si>
  <si>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</si>
  <si>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</si>
  <si>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</si>
  <si>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</si>
  <si>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</si>
  <si>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</si>
  <si>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</si>
  <si>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</si>
  <si>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</si>
  <si>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</si>
  <si>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</si>
  <si>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</si>
  <si>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</si>
  <si>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</si>
  <si>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</si>
  <si>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</si>
  <si>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</si>
  <si>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</si>
  <si>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</si>
  <si>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</si>
  <si>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</si>
  <si>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</si>
  <si>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</si>
  <si>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</si>
  <si>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</si>
  <si>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</si>
  <si>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</si>
  <si>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</si>
  <si>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</si>
  <si>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</si>
  <si>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</si>
  <si>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</si>
  <si>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</si>
  <si>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</si>
  <si>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</si>
  <si>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</si>
  <si>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</si>
  <si>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</si>
  <si>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</si>
  <si>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</si>
  <si>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</si>
  <si>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</si>
  <si>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</si>
  <si>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</si>
  <si>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</si>
  <si>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</si>
  <si>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</si>
  <si>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</si>
  <si>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</si>
  <si>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</si>
  <si>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</si>
  <si>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</si>
  <si>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</si>
  <si>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</si>
  <si>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</si>
  <si>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</si>
  <si>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</si>
  <si>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</si>
  <si>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</si>
  <si>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</si>
  <si>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</si>
  <si>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</si>
  <si>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</si>
  <si>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</si>
  <si>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</si>
  <si>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</si>
  <si>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</si>
  <si>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</si>
  <si>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</si>
  <si>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</si>
  <si>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</si>
  <si>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</si>
  <si>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</si>
  <si>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</si>
  <si>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</si>
  <si>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</si>
  <si>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</si>
  <si>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</si>
  <si>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</si>
  <si>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</si>
  <si>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</si>
  <si>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</si>
  <si>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</si>
  <si>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</si>
  <si>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</si>
  <si>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</si>
  <si>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</si>
  <si>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</si>
  <si>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</si>
  <si>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</si>
  <si>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</si>
  <si>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</si>
  <si>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</si>
  <si>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</si>
  <si>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</si>
  <si>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</si>
  <si>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</si>
  <si>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</si>
  <si>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</si>
  <si>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</si>
  <si>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</si>
  <si>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</si>
  <si>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</si>
  <si>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</si>
  <si>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</si>
  <si>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</si>
  <si>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</si>
  <si>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</si>
  <si>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</si>
  <si>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</si>
  <si>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</si>
  <si>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</si>
  <si>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</si>
  <si>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</si>
  <si>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</si>
  <si>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</si>
  <si>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</si>
  <si>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</si>
  <si>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</si>
  <si>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</si>
  <si>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</si>
  <si>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</si>
  <si>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</si>
  <si>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</si>
  <si>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</si>
  <si>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</si>
  <si>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</si>
  <si>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</si>
  <si>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</si>
  <si>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</si>
  <si>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</si>
  <si>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</si>
  <si>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</si>
  <si>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</si>
  <si>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</si>
  <si>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</si>
  <si>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</si>
  <si>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</si>
  <si>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</si>
  <si>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</si>
  <si>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</si>
  <si>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</si>
  <si>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</si>
  <si>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</si>
  <si>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</si>
  <si>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</si>
  <si>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</si>
  <si>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</si>
  <si>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</si>
  <si>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</si>
  <si>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</si>
  <si>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</si>
  <si>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</si>
  <si>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</si>
  <si>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</si>
  <si>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</si>
  <si>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</si>
  <si>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</si>
  <si>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</si>
  <si>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</si>
  <si>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</si>
  <si>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</si>
  <si>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</si>
  <si>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</si>
  <si>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</si>
  <si>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</si>
  <si>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</si>
  <si>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</si>
  <si>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</si>
  <si>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</si>
  <si>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</si>
  <si>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</si>
  <si>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</si>
  <si>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</si>
  <si>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</si>
  <si>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</si>
  <si>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</si>
  <si>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</si>
  <si>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</si>
  <si>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</si>
  <si>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</si>
  <si>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</si>
  <si>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</si>
  <si>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</si>
  <si>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</si>
  <si>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</si>
  <si>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</si>
  <si>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</si>
  <si>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</si>
  <si>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</si>
  <si>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</si>
  <si>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</si>
  <si>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</si>
  <si>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</si>
  <si>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</si>
  <si>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</si>
  <si>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</si>
  <si>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</si>
  <si>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</si>
  <si>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</si>
  <si>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</si>
  <si>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</si>
  <si>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</si>
  <si>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</si>
  <si>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</si>
  <si>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</si>
  <si>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</si>
  <si>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</si>
  <si>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</si>
  <si>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</si>
  <si>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</si>
  <si>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</si>
  <si>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</si>
  <si>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</si>
  <si>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</si>
  <si>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</si>
  <si>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</si>
  <si>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</si>
  <si>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</si>
  <si>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</si>
  <si>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</si>
  <si>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</si>
  <si>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</si>
  <si>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</si>
  <si>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</si>
  <si>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</si>
  <si>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</si>
  <si>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</si>
  <si>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</si>
  <si>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</si>
  <si>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</si>
  <si>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</si>
  <si>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</si>
  <si>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</si>
  <si>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</si>
  <si>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</si>
  <si>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</si>
  <si>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</si>
  <si>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</si>
  <si>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</si>
  <si>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</si>
  <si>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</si>
  <si>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</si>
  <si>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</si>
  <si>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</si>
  <si>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</si>
  <si>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</si>
  <si>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</si>
  <si>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</si>
  <si>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</si>
  <si>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</si>
  <si>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</si>
  <si>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</si>
  <si>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</si>
  <si>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</si>
  <si>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</si>
  <si>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</si>
  <si>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</si>
  <si>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</si>
  <si>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</si>
  <si>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</si>
  <si>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</si>
  <si>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</si>
  <si>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</si>
  <si>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</si>
  <si>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</si>
  <si>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</si>
  <si>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</si>
  <si>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</si>
  <si>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</si>
  <si>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</si>
  <si>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</si>
  <si>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</si>
  <si>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</si>
  <si>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</si>
  <si>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</si>
  <si>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</si>
  <si>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</si>
  <si>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</si>
  <si>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</si>
  <si>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</si>
  <si>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</si>
  <si>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</si>
  <si>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</si>
  <si>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</si>
  <si>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</si>
  <si>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</si>
  <si>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</si>
  <si>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</si>
  <si>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</si>
  <si>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</si>
  <si>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</si>
  <si>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</si>
  <si>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</si>
  <si>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</si>
  <si>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</si>
  <si>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</si>
  <si>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</si>
  <si>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</si>
  <si>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</si>
  <si>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</si>
  <si>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</si>
  <si>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</si>
  <si>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</si>
  <si>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</si>
  <si>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</si>
  <si>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</si>
  <si>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</si>
  <si>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</si>
  <si>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</si>
  <si>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</si>
  <si>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</si>
  <si>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</si>
  <si>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</si>
  <si>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</si>
  <si>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</si>
  <si>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</si>
  <si>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</si>
  <si>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</si>
  <si>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</si>
  <si>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</si>
  <si>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</si>
  <si>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</si>
  <si>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</si>
  <si>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</si>
  <si>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</si>
  <si>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</si>
  <si>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</si>
  <si>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</si>
  <si>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</si>
  <si>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</si>
  <si>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</si>
  <si>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</si>
  <si>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</si>
  <si>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</si>
  <si>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</si>
  <si>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</si>
  <si>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</si>
  <si>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</si>
  <si>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</si>
  <si>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</si>
  <si>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</si>
  <si>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</si>
  <si>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</si>
  <si>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</si>
  <si>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</si>
  <si>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</si>
  <si>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</si>
  <si>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</si>
  <si>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</si>
  <si>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</si>
  <si>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</si>
  <si>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</si>
  <si>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</si>
  <si>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</si>
  <si>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</si>
  <si>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</si>
  <si>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</si>
  <si>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</si>
  <si>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</si>
  <si>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</si>
  <si>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</si>
  <si>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</si>
  <si>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</si>
  <si>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</si>
  <si>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</si>
  <si>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</si>
  <si>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</si>
  <si>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</si>
  <si>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</si>
  <si>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</si>
  <si>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</si>
  <si>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</si>
  <si>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</si>
  <si>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</si>
  <si>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</si>
  <si>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</si>
  <si>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</si>
  <si>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</si>
  <si>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</si>
  <si>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</si>
  <si>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</si>
  <si>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</si>
  <si>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</si>
  <si>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</si>
  <si>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</si>
  <si>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</si>
  <si>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</si>
  <si>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</si>
  <si>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</si>
  <si>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</si>
  <si>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</si>
  <si>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</si>
  <si>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</si>
  <si>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</si>
  <si>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</si>
  <si>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</si>
  <si>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</si>
  <si>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</si>
  <si>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</si>
  <si>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</si>
  <si>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</si>
  <si>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</si>
  <si>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</si>
  <si>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</si>
  <si>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</si>
  <si>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</si>
  <si>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</si>
  <si>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</si>
  <si>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</si>
  <si>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</si>
  <si>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</si>
  <si>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</si>
  <si>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</si>
  <si>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</si>
  <si>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</si>
  <si>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</si>
  <si>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</si>
  <si>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</si>
  <si>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</si>
  <si>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</si>
  <si>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</si>
  <si>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</si>
  <si>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</si>
  <si>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</si>
  <si>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</si>
  <si>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</si>
  <si>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</si>
  <si>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</si>
  <si>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</si>
  <si>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</si>
  <si>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</si>
  <si>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</si>
  <si>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</si>
  <si>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</si>
  <si>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</si>
  <si>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</si>
  <si>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</si>
  <si>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</si>
  <si>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</si>
  <si>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</si>
  <si>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</si>
  <si>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</si>
  <si>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</si>
  <si>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</si>
  <si>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</si>
  <si>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</si>
  <si>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</si>
  <si>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</si>
  <si>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</si>
  <si>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</si>
  <si>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</si>
  <si>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</si>
  <si>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</si>
  <si>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</si>
  <si>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</si>
  <si>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</si>
  <si>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</si>
  <si>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</si>
  <si>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</si>
  <si>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</si>
  <si>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</si>
  <si>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</si>
  <si>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</si>
  <si>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</si>
  <si>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</si>
  <si>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</si>
  <si>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</si>
  <si>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</si>
  <si>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</si>
  <si>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</si>
  <si>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</si>
  <si>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</si>
  <si>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</si>
  <si>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</si>
  <si>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</si>
  <si>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</si>
  <si>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</si>
  <si>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</si>
  <si>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</si>
  <si>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</si>
  <si>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</si>
  <si>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</si>
  <si>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</si>
  <si>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</si>
  <si>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</si>
  <si>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</si>
  <si>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</si>
  <si>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</si>
  <si>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</si>
  <si>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</si>
  <si>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</si>
  <si>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</si>
  <si>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</si>
  <si>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</si>
  <si>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</si>
  <si>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</si>
  <si>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</si>
  <si>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</si>
  <si>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</si>
  <si>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</si>
  <si>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</si>
  <si>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</si>
  <si>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</si>
  <si>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</si>
  <si>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</si>
  <si>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</si>
  <si>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</si>
  <si>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</si>
  <si>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</si>
  <si>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</si>
  <si>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</si>
  <si>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</si>
  <si>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</si>
  <si>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</si>
  <si>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</si>
  <si>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</si>
  <si>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</si>
  <si>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</si>
  <si>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</si>
  <si>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</si>
  <si>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</si>
  <si>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</si>
  <si>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</si>
  <si>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</si>
  <si>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</si>
  <si>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</si>
  <si>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</si>
  <si>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</si>
  <si>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</si>
  <si>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</si>
  <si>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</si>
  <si>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</si>
  <si>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</si>
  <si>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</si>
  <si>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</si>
  <si>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</si>
  <si>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</si>
  <si>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</si>
  <si>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</si>
  <si>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</si>
  <si>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</si>
  <si>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</si>
  <si>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</si>
  <si>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</si>
  <si>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</si>
  <si>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</si>
  <si>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</si>
  <si>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</si>
  <si>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</si>
  <si>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</si>
  <si>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</si>
  <si>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</si>
  <si>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</si>
  <si>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</si>
  <si>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</si>
  <si>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</si>
  <si>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</si>
  <si>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</si>
  <si>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</si>
  <si>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</si>
  <si>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</si>
  <si>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</si>
  <si>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</si>
  <si>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</si>
  <si>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</si>
  <si>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</si>
  <si>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</si>
  <si>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</si>
  <si>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</si>
  <si>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</si>
  <si>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</si>
  <si>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</si>
  <si>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</si>
  <si>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</si>
  <si>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</si>
  <si>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</si>
  <si>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</si>
  <si>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</si>
  <si>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</si>
  <si>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</si>
  <si>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</si>
  <si>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</si>
  <si>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</si>
  <si>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</si>
  <si>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</si>
  <si>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</si>
  <si>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</si>
  <si>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</si>
  <si>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</si>
  <si>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</si>
  <si>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</si>
  <si>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</si>
  <si>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</si>
  <si>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</si>
  <si>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</si>
  <si>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</si>
  <si>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</si>
  <si>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</si>
  <si>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</si>
  <si>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</si>
  <si>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</si>
  <si>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</si>
  <si>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</si>
  <si>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</si>
  <si>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</si>
  <si>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</si>
  <si>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</si>
  <si>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</si>
  <si>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</si>
  <si>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</si>
  <si>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</si>
  <si>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</si>
  <si>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</si>
  <si>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</si>
  <si>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</si>
  <si>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</si>
  <si>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</si>
  <si>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</si>
  <si>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</si>
  <si>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</si>
  <si>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</si>
  <si>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</si>
  <si>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</si>
  <si>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</si>
  <si>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</si>
  <si>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</si>
  <si>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</si>
  <si>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</si>
  <si>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</si>
  <si>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</si>
  <si>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</si>
  <si>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</si>
  <si>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</si>
  <si>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</si>
  <si>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</si>
  <si>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</si>
  <si>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</si>
  <si>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</si>
  <si>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</si>
  <si>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</si>
  <si>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</si>
  <si>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</si>
  <si>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</si>
  <si>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</si>
  <si>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</si>
  <si>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</si>
  <si>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</si>
  <si>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</si>
  <si>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</si>
  <si>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</si>
  <si>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</si>
  <si>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</si>
  <si>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</si>
  <si>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</si>
  <si>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</si>
  <si>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</si>
  <si>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</si>
  <si>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</si>
  <si>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</si>
  <si>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</si>
  <si>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</si>
  <si>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</si>
  <si>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</si>
  <si>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</si>
  <si>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</si>
  <si>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</si>
  <si>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</si>
  <si>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</si>
  <si>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</si>
  <si>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</si>
  <si>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</si>
  <si>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</si>
  <si>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</si>
  <si>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</si>
  <si>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</si>
  <si>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</si>
  <si>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</si>
  <si>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</si>
  <si>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</si>
  <si>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</si>
  <si>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</si>
  <si>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</si>
  <si>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</si>
  <si>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</si>
  <si>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</si>
  <si>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</si>
  <si>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</si>
  <si>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</si>
  <si>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</si>
  <si>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</si>
  <si>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</si>
  <si>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</si>
  <si>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</si>
  <si>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</si>
  <si>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</si>
  <si>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</si>
  <si>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</si>
  <si>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</si>
  <si>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</si>
  <si>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</si>
  <si>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</si>
  <si>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</si>
  <si>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</si>
  <si>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</si>
  <si>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</si>
  <si>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</si>
  <si>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</si>
  <si>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</si>
  <si>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</si>
  <si>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</si>
  <si>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</si>
  <si>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</si>
  <si>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</si>
  <si>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</si>
  <si>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</si>
  <si>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</si>
  <si>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</si>
  <si>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</si>
  <si>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</si>
  <si>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</si>
  <si>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</si>
  <si>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</si>
  <si>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</si>
  <si>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</si>
  <si>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</si>
  <si>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</si>
  <si>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</si>
  <si>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</si>
  <si>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</si>
  <si>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</si>
  <si>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</si>
  <si>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</si>
  <si>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</si>
  <si>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</si>
  <si>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</si>
  <si>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</si>
  <si>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</si>
  <si>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</si>
  <si>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</si>
  <si>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</si>
  <si>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</si>
  <si>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</si>
  <si>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</si>
  <si>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</si>
  <si>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</si>
  <si>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</si>
  <si>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</si>
  <si>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</si>
  <si>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</si>
  <si>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</si>
  <si>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</si>
  <si>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</si>
  <si>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</si>
  <si>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</si>
  <si>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</si>
  <si>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</si>
  <si>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</si>
  <si>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</si>
  <si>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</si>
  <si>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</si>
  <si>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</si>
  <si>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</si>
  <si>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</si>
  <si>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</si>
  <si>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</si>
  <si>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</si>
  <si>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</si>
  <si>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</si>
  <si>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</si>
  <si>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</si>
  <si>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</si>
  <si>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</si>
  <si>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</si>
  <si>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</si>
  <si>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</si>
  <si>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</si>
  <si>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</si>
  <si>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</si>
  <si>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</si>
  <si>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</si>
  <si>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</si>
  <si>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</si>
  <si>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</si>
  <si>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</si>
  <si>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</si>
  <si>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</si>
  <si>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</si>
  <si>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</si>
  <si>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</si>
  <si>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</si>
  <si>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</si>
  <si>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</si>
  <si>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</si>
  <si>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</si>
  <si>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</si>
  <si>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</si>
  <si>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</si>
  <si>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</si>
  <si>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</si>
  <si>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</si>
  <si>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</si>
  <si>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</si>
  <si>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</si>
  <si>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</si>
  <si>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</si>
  <si>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</si>
  <si>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</si>
  <si>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</si>
  <si>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</si>
  <si>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</si>
  <si>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</si>
  <si>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</si>
  <si>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</si>
  <si>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</si>
  <si>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</si>
  <si>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</si>
  <si>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</si>
  <si>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</si>
  <si>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</si>
  <si>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</si>
  <si>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</si>
  <si>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</si>
  <si>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</si>
  <si>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</si>
  <si>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</si>
  <si>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</si>
  <si>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</si>
  <si>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</si>
  <si>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</si>
  <si>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</si>
  <si>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</si>
  <si>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</si>
  <si>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</si>
  <si>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</si>
  <si>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</si>
  <si>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</si>
  <si>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</si>
  <si>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</si>
  <si>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</si>
  <si>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</si>
  <si>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</si>
  <si>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</si>
  <si>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</si>
  <si>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</si>
  <si>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</si>
  <si>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</si>
  <si>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</si>
  <si>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</si>
  <si>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</si>
  <si>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</si>
  <si>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</si>
  <si>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</si>
  <si>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</si>
  <si>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</si>
  <si>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</si>
  <si>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</si>
  <si>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</si>
  <si>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</si>
  <si>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</si>
  <si>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</si>
  <si>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</si>
  <si>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</si>
  <si>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</si>
  <si>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</si>
  <si>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</si>
  <si>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</si>
  <si>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</si>
  <si>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</si>
  <si>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</si>
  <si>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</si>
  <si>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</si>
  <si>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</si>
  <si>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</si>
  <si>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</si>
  <si>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</si>
  <si>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</si>
  <si>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</si>
  <si>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</si>
  <si>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</si>
  <si>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</si>
  <si>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</si>
  <si>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</si>
  <si>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</si>
  <si>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</si>
  <si>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</si>
  <si>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</si>
  <si>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</si>
  <si>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</si>
  <si>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</si>
  <si>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</si>
  <si>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</si>
  <si>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</si>
  <si>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</si>
  <si>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</si>
  <si>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</si>
  <si>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</si>
  <si>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</si>
  <si>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</si>
  <si>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</si>
  <si>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</si>
  <si>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</si>
  <si>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</si>
  <si>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</si>
  <si>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</si>
  <si>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</si>
  <si>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</si>
  <si>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</si>
  <si>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</si>
  <si>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</si>
  <si>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</si>
  <si>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</si>
  <si>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</si>
  <si>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</si>
  <si>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</si>
  <si>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</si>
  <si>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</si>
  <si>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</si>
  <si>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</si>
  <si>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</si>
  <si>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</si>
  <si>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</si>
  <si>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</si>
  <si>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</si>
  <si>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</si>
  <si>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</si>
  <si>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</si>
  <si>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</si>
  <si>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</si>
  <si>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</si>
  <si>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</si>
  <si>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</si>
  <si>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</si>
  <si>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</si>
  <si>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</si>
  <si>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</si>
  <si>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</si>
  <si>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</si>
  <si>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</si>
  <si>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</si>
  <si>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</si>
  <si>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</si>
  <si>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</si>
  <si>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</si>
  <si>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</si>
  <si>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</si>
  <si>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</si>
  <si>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</si>
  <si>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</si>
  <si>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</si>
  <si>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</si>
  <si>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</si>
  <si>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</si>
  <si>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</si>
  <si>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</si>
  <si>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</si>
  <si>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</si>
  <si>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</si>
  <si>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</si>
  <si>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</si>
  <si>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</si>
  <si>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</si>
  <si>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</si>
  <si>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</si>
  <si>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</si>
  <si>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</si>
  <si>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</si>
  <si>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</si>
  <si>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</si>
  <si>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</si>
  <si>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</si>
  <si>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</si>
  <si>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</si>
  <si>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</si>
  <si>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</si>
  <si>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</si>
  <si>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</si>
  <si>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</si>
  <si>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</si>
  <si>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</si>
  <si>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</si>
  <si>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</si>
  <si>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</si>
  <si>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</si>
  <si>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</si>
  <si>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</si>
  <si>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</si>
  <si>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</si>
  <si>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</si>
  <si>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</si>
  <si>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</si>
  <si>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</si>
  <si>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</si>
  <si>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</si>
  <si>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</si>
  <si>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</si>
  <si>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</si>
  <si>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</si>
  <si>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</si>
  <si>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</si>
  <si>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</si>
  <si>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</si>
  <si>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</si>
  <si>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</si>
  <si>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</si>
  <si>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</si>
  <si>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</si>
  <si>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</si>
  <si>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</si>
  <si>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</si>
  <si>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</si>
  <si>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</si>
  <si>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</si>
  <si>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</si>
  <si>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</si>
  <si>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</si>
  <si>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</si>
  <si>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</si>
  <si>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</si>
  <si>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</si>
  <si>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</si>
  <si>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</si>
  <si>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</si>
  <si>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</si>
  <si>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</si>
  <si>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</si>
  <si>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</si>
  <si>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</si>
  <si>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</si>
  <si>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</si>
  <si>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</si>
  <si>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</si>
  <si>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</si>
  <si>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</si>
  <si>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</si>
  <si>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</si>
  <si>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</si>
  <si>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</si>
  <si>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</si>
  <si>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</si>
  <si>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</si>
  <si>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</si>
  <si>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</si>
  <si>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</si>
  <si>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</si>
  <si>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</si>
  <si>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</si>
  <si>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</si>
  <si>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</si>
  <si>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</si>
  <si>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</si>
  <si>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</si>
  <si>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</si>
  <si>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</si>
  <si>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</si>
  <si>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</si>
  <si>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</si>
  <si>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</si>
  <si>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</si>
  <si>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</si>
  <si>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</si>
  <si>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</si>
  <si>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</si>
  <si>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</si>
  <si>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</si>
  <si>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</si>
  <si>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</si>
  <si>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</si>
  <si>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</si>
  <si>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</si>
  <si>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</si>
  <si>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</si>
  <si>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</si>
  <si>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</si>
  <si>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</si>
  <si>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</si>
  <si>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</si>
  <si>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</si>
  <si>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</si>
  <si>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</si>
  <si>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</si>
  <si>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</si>
  <si>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</si>
  <si>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</si>
  <si>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</si>
  <si>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</si>
  <si>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</si>
  <si>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</si>
  <si>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</si>
  <si>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</si>
  <si>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</si>
  <si>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</si>
  <si>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</si>
  <si>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</si>
  <si>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</si>
  <si>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</si>
  <si>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</si>
  <si>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</si>
  <si>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</si>
  <si>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</si>
  <si>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</si>
  <si>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</si>
  <si>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</si>
  <si>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</si>
  <si>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</si>
  <si>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</si>
  <si>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</si>
  <si>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</si>
  <si>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</si>
  <si>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</si>
  <si>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</si>
  <si>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</si>
  <si>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</si>
  <si>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</si>
  <si>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</si>
  <si>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</si>
  <si>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</si>
  <si>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</si>
  <si>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</si>
  <si>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</si>
  <si>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</si>
  <si>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</si>
  <si>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</si>
  <si>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</si>
  <si>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</si>
  <si>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</si>
  <si>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</si>
  <si>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</si>
  <si>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</si>
  <si>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</si>
  <si>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</si>
  <si>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</si>
  <si>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</si>
  <si>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</si>
  <si>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</si>
  <si>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</si>
  <si>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</si>
  <si>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</si>
  <si>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</si>
  <si>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</si>
  <si>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</si>
  <si>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</si>
  <si>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</si>
  <si>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</si>
  <si>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</si>
  <si>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</si>
  <si>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</si>
  <si>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</si>
  <si>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</si>
  <si>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</si>
  <si>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</si>
  <si>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</si>
  <si>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</si>
  <si>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</si>
  <si>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</si>
  <si>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</si>
  <si>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</si>
  <si>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</si>
  <si>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</si>
  <si>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</si>
  <si>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</si>
  <si>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</si>
  <si>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</si>
  <si>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</si>
  <si>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</si>
  <si>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</si>
  <si>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</si>
  <si>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</si>
  <si>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</si>
  <si>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</si>
  <si>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</si>
  <si>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</si>
  <si>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</si>
  <si>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</si>
  <si>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</si>
  <si>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</si>
  <si>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</si>
  <si>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</si>
  <si>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</si>
  <si>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</si>
  <si>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</si>
  <si>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</si>
  <si>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</si>
  <si>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</si>
  <si>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</si>
  <si>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</si>
  <si>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</si>
  <si>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</si>
  <si>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</si>
  <si>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</si>
  <si>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</si>
  <si>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</si>
  <si>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</si>
  <si>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</si>
  <si>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</si>
  <si>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</si>
  <si>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</si>
  <si>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</si>
  <si>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</si>
  <si>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</si>
  <si>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</si>
  <si>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</si>
  <si>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</si>
  <si>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</si>
  <si>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</si>
  <si>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</si>
  <si>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</si>
  <si>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</si>
  <si>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</si>
  <si>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</si>
  <si>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</si>
  <si>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</si>
  <si>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</si>
  <si>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</si>
  <si>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</si>
  <si>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</si>
  <si>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</si>
  <si>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</si>
  <si>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</si>
  <si>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</si>
  <si>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</si>
  <si>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</si>
  <si>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</si>
  <si>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</si>
  <si>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</si>
  <si>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</si>
  <si>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</si>
  <si>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</si>
  <si>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</si>
  <si>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</si>
  <si>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</si>
  <si>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</si>
  <si>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</si>
  <si>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</si>
  <si>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</si>
  <si>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</si>
  <si>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</si>
  <si>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</si>
  <si>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</si>
  <si>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</si>
  <si>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</si>
  <si>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</si>
  <si>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</si>
  <si>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</si>
  <si>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</si>
  <si>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</si>
  <si>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</si>
  <si>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</si>
  <si>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</si>
  <si>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</si>
  <si>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</si>
  <si>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</si>
  <si>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</si>
  <si>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</si>
  <si>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</si>
  <si>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</si>
  <si>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</si>
  <si>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</si>
  <si>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</si>
  <si>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</si>
  <si>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</si>
  <si>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</si>
  <si>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</si>
  <si>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</si>
  <si>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</si>
  <si>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</si>
  <si>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</si>
  <si>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</si>
  <si>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</si>
  <si>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</si>
  <si>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</si>
  <si>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</si>
  <si>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</si>
  <si>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</si>
  <si>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</si>
  <si>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</si>
  <si>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</si>
  <si>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</si>
  <si>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</si>
  <si>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</si>
  <si>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</si>
  <si>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</si>
  <si>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</si>
  <si>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</si>
  <si>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</si>
  <si>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</si>
  <si>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</si>
  <si>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</si>
  <si>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</si>
  <si>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</si>
  <si>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</si>
  <si>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</si>
  <si>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</si>
  <si>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</si>
  <si>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</si>
  <si>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</si>
  <si>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</si>
  <si>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</si>
  <si>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</si>
  <si>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</si>
  <si>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</si>
  <si>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</si>
  <si>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</si>
  <si>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</si>
  <si>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</si>
  <si>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</si>
  <si>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</si>
  <si>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</si>
  <si>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</si>
  <si>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</si>
  <si>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</si>
  <si>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</si>
  <si>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</si>
  <si>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</si>
  <si>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</si>
  <si>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</si>
  <si>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</si>
  <si>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</si>
  <si>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</si>
  <si>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</si>
  <si>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</si>
  <si>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</si>
  <si>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</si>
  <si>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</si>
  <si>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</si>
  <si>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</si>
  <si>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</si>
  <si>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</si>
  <si>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</si>
  <si>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</si>
  <si>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</si>
  <si>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</si>
  <si>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</si>
  <si>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</si>
  <si>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</si>
  <si>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</si>
  <si>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</si>
  <si>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</si>
  <si>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</si>
  <si>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</si>
  <si>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</si>
  <si>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</si>
  <si>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</si>
  <si>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</si>
  <si>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</si>
  <si>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</si>
  <si>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</si>
  <si>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</si>
  <si>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</si>
  <si>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</si>
  <si>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</si>
  <si>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</si>
  <si>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</si>
  <si>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</si>
  <si>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</si>
  <si>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</si>
  <si>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</si>
  <si>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</si>
  <si>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</si>
  <si>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</si>
  <si>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</si>
  <si>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</si>
  <si>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</si>
  <si>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</si>
  <si>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</si>
  <si>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</si>
  <si>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</si>
  <si>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</si>
  <si>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</si>
  <si>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</si>
  <si>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</si>
  <si>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</si>
  <si>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</si>
  <si>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</si>
  <si>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</si>
  <si>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</si>
  <si>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</si>
  <si>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</si>
  <si>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</si>
  <si>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</si>
  <si>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</si>
  <si>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</si>
  <si>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</si>
  <si>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</si>
  <si>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</si>
  <si>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</si>
  <si>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</si>
  <si>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</si>
  <si>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</si>
  <si>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</si>
  <si>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</si>
  <si>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</si>
  <si>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</si>
  <si>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</si>
  <si>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</si>
  <si>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</si>
  <si>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</si>
  <si>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</si>
  <si>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</si>
  <si>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</si>
  <si>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</si>
  <si>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</si>
  <si>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</si>
  <si>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</si>
  <si>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</si>
  <si>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</si>
  <si>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</si>
  <si>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</si>
  <si>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</si>
  <si>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</si>
  <si>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</si>
  <si>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</si>
  <si>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</si>
  <si>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</si>
  <si>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</si>
  <si>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</si>
  <si>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</si>
  <si>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</si>
  <si>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</si>
  <si>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</si>
  <si>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</si>
  <si>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</si>
  <si>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</si>
  <si>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</si>
  <si>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</si>
  <si>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</si>
  <si>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</si>
  <si>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</si>
  <si>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</si>
  <si>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</si>
  <si>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</si>
  <si>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</si>
  <si>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</si>
  <si>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</si>
  <si>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</si>
  <si>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</si>
  <si>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</si>
  <si>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</si>
  <si>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</si>
  <si>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</si>
  <si>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</si>
  <si>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</si>
  <si>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</si>
  <si>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</si>
  <si>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</si>
  <si>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</si>
  <si>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</si>
  <si>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</si>
  <si>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</si>
  <si>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</si>
  <si>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</si>
  <si>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</si>
  <si>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</si>
  <si>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</si>
  <si>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</si>
  <si>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</si>
  <si>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</si>
  <si>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</si>
  <si>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</si>
  <si>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</si>
  <si>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</si>
  <si>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</si>
  <si>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</si>
  <si>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</si>
  <si>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</si>
  <si>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</si>
  <si>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</si>
  <si>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</si>
  <si>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</si>
  <si>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</si>
  <si>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</si>
  <si>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</si>
  <si>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</si>
  <si>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</si>
  <si>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</si>
  <si>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</si>
  <si>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</si>
  <si>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</si>
  <si>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</si>
  <si>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</si>
  <si>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</si>
  <si>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</si>
  <si>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</si>
  <si>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</si>
  <si>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</si>
  <si>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</si>
  <si>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</si>
  <si>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</si>
  <si>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</si>
  <si>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</si>
  <si>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</si>
  <si>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</si>
  <si>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</si>
  <si>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</si>
  <si>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</si>
  <si>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</si>
  <si>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</si>
  <si>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</si>
  <si>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</si>
  <si>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</si>
  <si>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</si>
  <si>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</si>
  <si>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</si>
  <si>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</si>
  <si>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</si>
  <si>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</si>
  <si>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</si>
  <si>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</si>
  <si>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</si>
  <si>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</si>
  <si>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</si>
  <si>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</si>
  <si>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</si>
  <si>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</si>
  <si>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</si>
  <si>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</si>
  <si>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</si>
  <si>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</si>
  <si>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</si>
  <si>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</si>
  <si>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</si>
  <si>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</si>
  <si>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</si>
  <si>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</si>
  <si>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</si>
  <si>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</si>
  <si>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</si>
  <si>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</si>
  <si>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</si>
  <si>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</si>
  <si>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</si>
  <si>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</si>
  <si>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</si>
  <si>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</si>
  <si>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</si>
  <si>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</si>
  <si>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</si>
  <si>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</si>
  <si>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</si>
  <si>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</si>
  <si>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</si>
  <si>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</si>
  <si>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</si>
  <si>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</si>
  <si>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</si>
  <si>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</si>
  <si>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</si>
  <si>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</si>
  <si>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</si>
  <si>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</si>
  <si>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</si>
  <si>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</si>
  <si>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</si>
  <si>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</si>
  <si>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</si>
  <si>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</si>
  <si>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</si>
  <si>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</si>
  <si>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</si>
  <si>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</si>
  <si>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</si>
  <si>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</si>
  <si>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</si>
  <si>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</si>
  <si>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</si>
  <si>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</si>
  <si>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</si>
  <si>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</si>
  <si>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</si>
  <si>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</si>
  <si>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</si>
  <si>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</si>
  <si>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</si>
  <si>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</si>
  <si>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[0.404462]</t>
  </si>
  <si>
    <t>0 [0.809592]</t>
  </si>
  <si>
    <t>0 [1.216197]</t>
  </si>
  <si>
    <t>0 [1.622021]</t>
  </si>
  <si>
    <t>0 [2.030051]</t>
  </si>
  <si>
    <t>0 [2.436951]</t>
  </si>
  <si>
    <t>0 [2.841393]</t>
  </si>
  <si>
    <t>0 [3.249907]</t>
  </si>
  <si>
    <t>0 [3.654314]</t>
  </si>
  <si>
    <t>0 [4.061040]</t>
  </si>
  <si>
    <t>0 [4.466009]</t>
  </si>
  <si>
    <t>0 [4.871829]</t>
  </si>
  <si>
    <t>0 [5.280739]</t>
  </si>
  <si>
    <t>0 [5.687135]</t>
  </si>
  <si>
    <t>0 [6.090381]</t>
  </si>
  <si>
    <t>0 [6.499549]</t>
  </si>
  <si>
    <t>0 [6.903759]</t>
  </si>
  <si>
    <t>0 [7.312023]</t>
  </si>
  <si>
    <t>0 [7.717839]</t>
  </si>
  <si>
    <t>0 [8.125476]</t>
  </si>
  <si>
    <t>0 [8.529564]</t>
  </si>
  <si>
    <t>0 [8.935274]</t>
  </si>
  <si>
    <t>0 [9.340364]</t>
  </si>
  <si>
    <t>0 [9.749001]</t>
  </si>
  <si>
    <t>0 [10.153889]</t>
  </si>
  <si>
    <t>0 [10.562237]</t>
  </si>
  <si>
    <t>0 [10.968616]</t>
  </si>
  <si>
    <t>0 [11.372074]</t>
  </si>
  <si>
    <t>0 [11.781758]</t>
  </si>
  <si>
    <t>0 [12.185362]</t>
  </si>
  <si>
    <t>0 [12.593790]</t>
  </si>
  <si>
    <t>0 [12.999806]</t>
  </si>
  <si>
    <t>0 [13.405717]</t>
  </si>
  <si>
    <t>0 [13.812849]</t>
  </si>
  <si>
    <t>0 [14.217846]</t>
  </si>
  <si>
    <t>0 [14.622728]</t>
  </si>
  <si>
    <t>0 [15.030488]</t>
  </si>
  <si>
    <t>0 [15.434570]</t>
  </si>
  <si>
    <t>0 [15.846298]</t>
  </si>
  <si>
    <t>0 [16.252259]</t>
  </si>
  <si>
    <t>0 [16.655405]</t>
  </si>
  <si>
    <t>0 [17.060928]</t>
  </si>
  <si>
    <t>0 [17.467983]</t>
  </si>
  <si>
    <t>0 [17.876631]</t>
  </si>
  <si>
    <t>0 [18.280361]</t>
  </si>
  <si>
    <t>0 [18.685582]</t>
  </si>
  <si>
    <t>0 [19.095444]</t>
  </si>
  <si>
    <t>0 [19.497672]</t>
  </si>
  <si>
    <t>0 [19.904803]</t>
  </si>
  <si>
    <t>0 [20.312507]</t>
  </si>
  <si>
    <t>0 [20.718295]</t>
  </si>
  <si>
    <t>0 [21.125275]</t>
  </si>
  <si>
    <t>0 [21.531373]</t>
  </si>
  <si>
    <t>0 [21.935956]</t>
  </si>
  <si>
    <t>0 [22.341131]</t>
  </si>
  <si>
    <t>0 [22.750022]</t>
  </si>
  <si>
    <t>0 [23.153305]</t>
  </si>
  <si>
    <t>0 [23.562218]</t>
  </si>
  <si>
    <t>0 [23.968772]</t>
  </si>
  <si>
    <t>0 [24.372350]</t>
  </si>
  <si>
    <t>0 [24.779990]</t>
  </si>
  <si>
    <t>0 [25.186109]</t>
  </si>
  <si>
    <t>0 [25.591947]</t>
  </si>
  <si>
    <t>0 [25.999536]</t>
  </si>
  <si>
    <t>0 [26.404200]</t>
  </si>
  <si>
    <t>0 [26.809553]</t>
  </si>
  <si>
    <t>0 [27.222190]</t>
  </si>
  <si>
    <t>0 [27.623042]</t>
  </si>
  <si>
    <t>0 [28.029591]</t>
  </si>
  <si>
    <t>0 [28.437547]</t>
  </si>
  <si>
    <t>0 [28.842874]</t>
  </si>
  <si>
    <t>0 [29.253179]</t>
  </si>
  <si>
    <t>0 [29.654480]</t>
  </si>
  <si>
    <t>0 [30.062155]</t>
  </si>
  <si>
    <t>0 [30.466654]</t>
  </si>
  <si>
    <t>0 [30.874917]</t>
  </si>
  <si>
    <t>0 [31.282196]</t>
  </si>
  <si>
    <t>0 [31.685248]</t>
  </si>
  <si>
    <t>0 [32.092258]</t>
  </si>
  <si>
    <t>0 [32.498484]</t>
  </si>
  <si>
    <t>0 [32.906110]</t>
  </si>
  <si>
    <t>0 [33.313417]</t>
  </si>
  <si>
    <t>0 [33.718983]</t>
  </si>
  <si>
    <t>0 [34.123419]</t>
  </si>
  <si>
    <t>0 [34.529181]</t>
  </si>
  <si>
    <t>0 [34.934793]</t>
  </si>
  <si>
    <t>0 [35.344058]</t>
  </si>
  <si>
    <t>0 [35.749059]</t>
  </si>
  <si>
    <t>0 [36.152624]</t>
  </si>
  <si>
    <t>0 [36.563860]</t>
  </si>
  <si>
    <t>0 [36.968970]</t>
  </si>
  <si>
    <t>0 [37.375017]</t>
  </si>
  <si>
    <t>0 [37.780475]</t>
  </si>
  <si>
    <t>0 [38.186508]</t>
  </si>
  <si>
    <t>0 [38.593256]</t>
  </si>
  <si>
    <t>0 [39.000163]</t>
  </si>
  <si>
    <t>vision^2Zs0^1^29^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</si>
</sst>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28.07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28.067299999999996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4.8835800000000003</c:v>
                </c:pt>
                <c:pt idx="1">
                  <c:v>4.8927700000000005</c:v>
                </c:pt>
                <c:pt idx="2">
                  <c:v>4.9047800000000006</c:v>
                </c:pt>
                <c:pt idx="3">
                  <c:v>4.91648</c:v>
                </c:pt>
                <c:pt idx="4">
                  <c:v>4.9251299999999993</c:v>
                </c:pt>
                <c:pt idx="5">
                  <c:v>4.9285199999999998</c:v>
                </c:pt>
                <c:pt idx="6">
                  <c:v>4.9283200000000003</c:v>
                </c:pt>
                <c:pt idx="7">
                  <c:v>4.9231199999999999</c:v>
                </c:pt>
                <c:pt idx="8">
                  <c:v>4.9151400000000001</c:v>
                </c:pt>
                <c:pt idx="9">
                  <c:v>4.9048400000000001</c:v>
                </c:pt>
                <c:pt idx="10">
                  <c:v>4.8908000000000005</c:v>
                </c:pt>
                <c:pt idx="11">
                  <c:v>4.8717500000000005</c:v>
                </c:pt>
                <c:pt idx="12">
                  <c:v>4.8478300000000001</c:v>
                </c:pt>
                <c:pt idx="13">
                  <c:v>4.8204799999999999</c:v>
                </c:pt>
                <c:pt idx="14">
                  <c:v>4.7920600000000002</c:v>
                </c:pt>
                <c:pt idx="15">
                  <c:v>4.76105</c:v>
                </c:pt>
                <c:pt idx="16">
                  <c:v>4.7264099999999996</c:v>
                </c:pt>
                <c:pt idx="17">
                  <c:v>4.6932299999999998</c:v>
                </c:pt>
                <c:pt idx="18">
                  <c:v>4.66317</c:v>
                </c:pt>
                <c:pt idx="19">
                  <c:v>4.6346400000000001</c:v>
                </c:pt>
                <c:pt idx="20">
                  <c:v>4.6097400000000004</c:v>
                </c:pt>
                <c:pt idx="21">
                  <c:v>4.5844300000000002</c:v>
                </c:pt>
                <c:pt idx="22">
                  <c:v>4.5572099999999995</c:v>
                </c:pt>
                <c:pt idx="23">
                  <c:v>4.5305099999999996</c:v>
                </c:pt>
                <c:pt idx="24">
                  <c:v>4.5014199999999995</c:v>
                </c:pt>
                <c:pt idx="25">
                  <c:v>4.4734099999999994</c:v>
                </c:pt>
                <c:pt idx="26">
                  <c:v>4.4487800000000002</c:v>
                </c:pt>
                <c:pt idx="27">
                  <c:v>4.4201199999999998</c:v>
                </c:pt>
                <c:pt idx="28">
                  <c:v>4.3896899999999999</c:v>
                </c:pt>
                <c:pt idx="29">
                  <c:v>4.3645899999999997</c:v>
                </c:pt>
                <c:pt idx="30">
                  <c:v>4.3413000000000004</c:v>
                </c:pt>
                <c:pt idx="31">
                  <c:v>4.3192599999999999</c:v>
                </c:pt>
                <c:pt idx="32">
                  <c:v>4.2988599999999995</c:v>
                </c:pt>
                <c:pt idx="33">
                  <c:v>4.2779400000000001</c:v>
                </c:pt>
                <c:pt idx="34">
                  <c:v>4.2555199999999997</c:v>
                </c:pt>
                <c:pt idx="35">
                  <c:v>4.2340100000000005</c:v>
                </c:pt>
                <c:pt idx="36">
                  <c:v>4.2142800000000005</c:v>
                </c:pt>
                <c:pt idx="37">
                  <c:v>4.1970900000000002</c:v>
                </c:pt>
                <c:pt idx="38">
                  <c:v>4.1807999999999996</c:v>
                </c:pt>
                <c:pt idx="39">
                  <c:v>4.16411</c:v>
                </c:pt>
                <c:pt idx="40">
                  <c:v>4.1473100000000001</c:v>
                </c:pt>
                <c:pt idx="41">
                  <c:v>4.1301600000000001</c:v>
                </c:pt>
                <c:pt idx="42">
                  <c:v>4.1135299999999999</c:v>
                </c:pt>
                <c:pt idx="43">
                  <c:v>4.0956799999999998</c:v>
                </c:pt>
                <c:pt idx="44">
                  <c:v>4.0770600000000004</c:v>
                </c:pt>
                <c:pt idx="45">
                  <c:v>4.0578099999999999</c:v>
                </c:pt>
                <c:pt idx="46">
                  <c:v>4.0403400000000005</c:v>
                </c:pt>
                <c:pt idx="47">
                  <c:v>4.0281599999999997</c:v>
                </c:pt>
                <c:pt idx="48">
                  <c:v>4.0207300000000004</c:v>
                </c:pt>
                <c:pt idx="49">
                  <c:v>4.01952</c:v>
                </c:pt>
                <c:pt idx="50">
                  <c:v>4.0188100000000002</c:v>
                </c:pt>
                <c:pt idx="51">
                  <c:v>4.0168900000000001</c:v>
                </c:pt>
                <c:pt idx="52">
                  <c:v>4.0151900000000005</c:v>
                </c:pt>
                <c:pt idx="53">
                  <c:v>4.0143800000000001</c:v>
                </c:pt>
                <c:pt idx="54">
                  <c:v>4.0130600000000003</c:v>
                </c:pt>
                <c:pt idx="55">
                  <c:v>4.0108700000000006</c:v>
                </c:pt>
                <c:pt idx="56">
                  <c:v>4.0081199999999999</c:v>
                </c:pt>
                <c:pt idx="57">
                  <c:v>4.0038200000000002</c:v>
                </c:pt>
                <c:pt idx="58">
                  <c:v>3.9969999999999999</c:v>
                </c:pt>
                <c:pt idx="59">
                  <c:v>3.9911300000000001</c:v>
                </c:pt>
                <c:pt idx="60">
                  <c:v>3.9874700000000001</c:v>
                </c:pt>
                <c:pt idx="61">
                  <c:v>3.98272</c:v>
                </c:pt>
                <c:pt idx="62">
                  <c:v>3.9771000000000001</c:v>
                </c:pt>
                <c:pt idx="63">
                  <c:v>3.9717799999999999</c:v>
                </c:pt>
                <c:pt idx="64">
                  <c:v>3.9666800000000002</c:v>
                </c:pt>
                <c:pt idx="65">
                  <c:v>3.9670000000000001</c:v>
                </c:pt>
                <c:pt idx="66">
                  <c:v>3.9673599999999998</c:v>
                </c:pt>
                <c:pt idx="67">
                  <c:v>3.96645</c:v>
                </c:pt>
                <c:pt idx="68">
                  <c:v>3.9648299999999996</c:v>
                </c:pt>
                <c:pt idx="69">
                  <c:v>3.9652099999999999</c:v>
                </c:pt>
                <c:pt idx="70">
                  <c:v>3.9674199999999997</c:v>
                </c:pt>
                <c:pt idx="71">
                  <c:v>3.9669599999999998</c:v>
                </c:pt>
                <c:pt idx="72">
                  <c:v>3.9646699999999999</c:v>
                </c:pt>
                <c:pt idx="73">
                  <c:v>3.9620800000000003</c:v>
                </c:pt>
                <c:pt idx="74">
                  <c:v>3.95634</c:v>
                </c:pt>
                <c:pt idx="75">
                  <c:v>3.9500299999999999</c:v>
                </c:pt>
                <c:pt idx="76">
                  <c:v>3.9458199999999999</c:v>
                </c:pt>
                <c:pt idx="77">
                  <c:v>3.9417999999999997</c:v>
                </c:pt>
                <c:pt idx="78">
                  <c:v>3.9344099999999997</c:v>
                </c:pt>
                <c:pt idx="79">
                  <c:v>3.9250800000000003</c:v>
                </c:pt>
                <c:pt idx="80">
                  <c:v>3.9161200000000003</c:v>
                </c:pt>
                <c:pt idx="81">
                  <c:v>3.9073799999999999</c:v>
                </c:pt>
                <c:pt idx="82">
                  <c:v>3.9013499999999999</c:v>
                </c:pt>
                <c:pt idx="83">
                  <c:v>3.89907</c:v>
                </c:pt>
                <c:pt idx="84">
                  <c:v>3.8977400000000002</c:v>
                </c:pt>
                <c:pt idx="85">
                  <c:v>3.89635</c:v>
                </c:pt>
                <c:pt idx="86">
                  <c:v>3.8978800000000002</c:v>
                </c:pt>
                <c:pt idx="87">
                  <c:v>3.9019199999999996</c:v>
                </c:pt>
                <c:pt idx="88">
                  <c:v>3.90496</c:v>
                </c:pt>
                <c:pt idx="89">
                  <c:v>3.9058199999999998</c:v>
                </c:pt>
                <c:pt idx="90">
                  <c:v>3.8978200000000003</c:v>
                </c:pt>
                <c:pt idx="91">
                  <c:v>3.8929599999999995</c:v>
                </c:pt>
                <c:pt idx="92">
                  <c:v>3.8872</c:v>
                </c:pt>
                <c:pt idx="93">
                  <c:v>3.9014799999999998</c:v>
                </c:pt>
                <c:pt idx="94">
                  <c:v>3.9102199999999998</c:v>
                </c:pt>
                <c:pt idx="95">
                  <c:v>3.8986199999999998</c:v>
                </c:pt>
                <c:pt idx="96">
                  <c:v>3.9081999999999999</c:v>
                </c:pt>
              </c:numCache>
            </c:numRef>
          </c:xVal>
          <c:yVal>
            <c:numRef>
              <c:f>[0]!FT_PH</c:f>
              <c:numCache>
                <c:formatCode>0.00</c:formatCode>
                <c:ptCount val="97"/>
                <c:pt idx="0">
                  <c:v>30.503299999999999</c:v>
                </c:pt>
                <c:pt idx="1">
                  <c:v>30.536799999999996</c:v>
                </c:pt>
                <c:pt idx="2">
                  <c:v>30.521700000000003</c:v>
                </c:pt>
                <c:pt idx="3">
                  <c:v>30.462199999999999</c:v>
                </c:pt>
                <c:pt idx="4">
                  <c:v>30.349299999999999</c:v>
                </c:pt>
                <c:pt idx="5">
                  <c:v>30.169499999999999</c:v>
                </c:pt>
                <c:pt idx="6">
                  <c:v>29.9375</c:v>
                </c:pt>
                <c:pt idx="7">
                  <c:v>29.6342</c:v>
                </c:pt>
                <c:pt idx="8">
                  <c:v>29.269499999999997</c:v>
                </c:pt>
                <c:pt idx="9">
                  <c:v>28.926500000000001</c:v>
                </c:pt>
                <c:pt idx="10">
                  <c:v>28.598200000000002</c:v>
                </c:pt>
                <c:pt idx="11">
                  <c:v>28.2682</c:v>
                </c:pt>
                <c:pt idx="12">
                  <c:v>27.983400000000003</c:v>
                </c:pt>
                <c:pt idx="13">
                  <c:v>27.7926</c:v>
                </c:pt>
                <c:pt idx="14">
                  <c:v>27.704899999999999</c:v>
                </c:pt>
                <c:pt idx="15">
                  <c:v>27.613900000000001</c:v>
                </c:pt>
                <c:pt idx="16">
                  <c:v>27.649699999999999</c:v>
                </c:pt>
                <c:pt idx="17">
                  <c:v>27.721600000000002</c:v>
                </c:pt>
                <c:pt idx="18">
                  <c:v>27.686300000000003</c:v>
                </c:pt>
                <c:pt idx="19">
                  <c:v>27.575100000000003</c:v>
                </c:pt>
                <c:pt idx="20">
                  <c:v>27.459099999999996</c:v>
                </c:pt>
                <c:pt idx="21">
                  <c:v>27.362300000000001</c:v>
                </c:pt>
                <c:pt idx="22">
                  <c:v>27.316600000000001</c:v>
                </c:pt>
                <c:pt idx="23">
                  <c:v>27.273900000000001</c:v>
                </c:pt>
                <c:pt idx="24">
                  <c:v>27.222099999999998</c:v>
                </c:pt>
                <c:pt idx="25">
                  <c:v>27.165499999999998</c:v>
                </c:pt>
                <c:pt idx="26">
                  <c:v>27.077500000000001</c:v>
                </c:pt>
                <c:pt idx="27">
                  <c:v>27.013100000000001</c:v>
                </c:pt>
                <c:pt idx="28">
                  <c:v>26.993499999999997</c:v>
                </c:pt>
                <c:pt idx="29">
                  <c:v>26.984200000000001</c:v>
                </c:pt>
                <c:pt idx="30">
                  <c:v>26.959300000000002</c:v>
                </c:pt>
                <c:pt idx="31">
                  <c:v>26.980799999999999</c:v>
                </c:pt>
                <c:pt idx="32">
                  <c:v>27.0776</c:v>
                </c:pt>
                <c:pt idx="33">
                  <c:v>27.253399999999999</c:v>
                </c:pt>
                <c:pt idx="34">
                  <c:v>27.475500000000004</c:v>
                </c:pt>
                <c:pt idx="35">
                  <c:v>27.691900000000004</c:v>
                </c:pt>
                <c:pt idx="36">
                  <c:v>27.953600000000002</c:v>
                </c:pt>
                <c:pt idx="37">
                  <c:v>28.150199999999998</c:v>
                </c:pt>
                <c:pt idx="38">
                  <c:v>28.291</c:v>
                </c:pt>
                <c:pt idx="39">
                  <c:v>28.385400000000001</c:v>
                </c:pt>
                <c:pt idx="40">
                  <c:v>28.440300000000001</c:v>
                </c:pt>
                <c:pt idx="41">
                  <c:v>28.453200000000002</c:v>
                </c:pt>
                <c:pt idx="42">
                  <c:v>28.447199999999999</c:v>
                </c:pt>
                <c:pt idx="43">
                  <c:v>28.402899999999999</c:v>
                </c:pt>
                <c:pt idx="44">
                  <c:v>28.326400000000003</c:v>
                </c:pt>
                <c:pt idx="45">
                  <c:v>28.237400000000001</c:v>
                </c:pt>
                <c:pt idx="46">
                  <c:v>28.027899999999999</c:v>
                </c:pt>
                <c:pt idx="47">
                  <c:v>27.7057</c:v>
                </c:pt>
                <c:pt idx="48">
                  <c:v>27.362199999999998</c:v>
                </c:pt>
                <c:pt idx="49">
                  <c:v>26.948399999999999</c:v>
                </c:pt>
                <c:pt idx="50">
                  <c:v>26.5519</c:v>
                </c:pt>
                <c:pt idx="51">
                  <c:v>26.209300000000002</c:v>
                </c:pt>
                <c:pt idx="52">
                  <c:v>25.848199999999999</c:v>
                </c:pt>
                <c:pt idx="53">
                  <c:v>25.512</c:v>
                </c:pt>
                <c:pt idx="54">
                  <c:v>25.219200000000004</c:v>
                </c:pt>
                <c:pt idx="55">
                  <c:v>24.986599999999999</c:v>
                </c:pt>
                <c:pt idx="56">
                  <c:v>24.7608</c:v>
                </c:pt>
                <c:pt idx="57">
                  <c:v>24.520800000000001</c:v>
                </c:pt>
                <c:pt idx="58">
                  <c:v>24.3292</c:v>
                </c:pt>
                <c:pt idx="59">
                  <c:v>24.0701</c:v>
                </c:pt>
                <c:pt idx="60">
                  <c:v>23.774999999999999</c:v>
                </c:pt>
                <c:pt idx="61">
                  <c:v>23.500599999999999</c:v>
                </c:pt>
                <c:pt idx="62">
                  <c:v>23.288900000000002</c:v>
                </c:pt>
                <c:pt idx="63">
                  <c:v>23.1294</c:v>
                </c:pt>
                <c:pt idx="64">
                  <c:v>23.003399999999999</c:v>
                </c:pt>
                <c:pt idx="65">
                  <c:v>22.82</c:v>
                </c:pt>
                <c:pt idx="66">
                  <c:v>22.645799999999998</c:v>
                </c:pt>
                <c:pt idx="67">
                  <c:v>22.423399999999997</c:v>
                </c:pt>
                <c:pt idx="68">
                  <c:v>22.237299999999998</c:v>
                </c:pt>
                <c:pt idx="69">
                  <c:v>22.054499999999997</c:v>
                </c:pt>
                <c:pt idx="70">
                  <c:v>21.8843</c:v>
                </c:pt>
                <c:pt idx="71">
                  <c:v>21.784600000000001</c:v>
                </c:pt>
                <c:pt idx="72">
                  <c:v>21.714600000000001</c:v>
                </c:pt>
                <c:pt idx="73">
                  <c:v>21.675599999999999</c:v>
                </c:pt>
                <c:pt idx="74">
                  <c:v>21.686700000000002</c:v>
                </c:pt>
                <c:pt idx="75">
                  <c:v>21.697900000000001</c:v>
                </c:pt>
                <c:pt idx="76">
                  <c:v>21.686900000000001</c:v>
                </c:pt>
                <c:pt idx="77">
                  <c:v>21.7347</c:v>
                </c:pt>
                <c:pt idx="78">
                  <c:v>21.823600000000003</c:v>
                </c:pt>
                <c:pt idx="79">
                  <c:v>21.895099999999999</c:v>
                </c:pt>
                <c:pt idx="80">
                  <c:v>21.918299999999999</c:v>
                </c:pt>
                <c:pt idx="81">
                  <c:v>21.912799999999997</c:v>
                </c:pt>
                <c:pt idx="82">
                  <c:v>21.875399999999999</c:v>
                </c:pt>
                <c:pt idx="83">
                  <c:v>21.749700000000001</c:v>
                </c:pt>
                <c:pt idx="84">
                  <c:v>21.676300000000001</c:v>
                </c:pt>
                <c:pt idx="85">
                  <c:v>21.585699999999999</c:v>
                </c:pt>
                <c:pt idx="86">
                  <c:v>21.3751</c:v>
                </c:pt>
                <c:pt idx="87">
                  <c:v>21.042300000000001</c:v>
                </c:pt>
                <c:pt idx="88">
                  <c:v>20.676300000000001</c:v>
                </c:pt>
                <c:pt idx="89">
                  <c:v>20.308399999999999</c:v>
                </c:pt>
                <c:pt idx="90">
                  <c:v>20.11</c:v>
                </c:pt>
                <c:pt idx="91">
                  <c:v>19.8325</c:v>
                </c:pt>
                <c:pt idx="92">
                  <c:v>19.723099999999999</c:v>
                </c:pt>
                <c:pt idx="93">
                  <c:v>19.575500000000002</c:v>
                </c:pt>
                <c:pt idx="94">
                  <c:v>19.601900000000001</c:v>
                </c:pt>
                <c:pt idx="95">
                  <c:v>19.8384</c:v>
                </c:pt>
                <c:pt idx="96">
                  <c:v>19.9998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4.9151400000000001</c:v>
                </c:pt>
                <c:pt idx="1">
                  <c:v>3.8978800000000002</c:v>
                </c:pt>
              </c:numCache>
            </c:numRef>
          </c:xVal>
          <c:yVal>
            <c:numRef>
              <c:f>info!$W$2:$W$3</c:f>
              <c:numCache>
                <c:formatCode>0.00</c:formatCode>
                <c:ptCount val="2"/>
                <c:pt idx="0">
                  <c:v>29.269499999999997</c:v>
                </c:pt>
                <c:pt idx="1">
                  <c:v>21.3751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3.9014799999999998</c:v>
                </c:pt>
                <c:pt idx="1">
                  <c:v>4.8927700000000005</c:v>
                </c:pt>
              </c:numCache>
            </c:numRef>
          </c:xVal>
          <c:yVal>
            <c:numRef>
              <c:f>info!$W$15:$W$16</c:f>
              <c:numCache>
                <c:formatCode>0.00_ </c:formatCode>
                <c:ptCount val="2"/>
                <c:pt idx="0">
                  <c:v>19.575500000000002</c:v>
                </c:pt>
                <c:pt idx="1">
                  <c:v>30.536799999999996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4.2326086597938142</c:v>
                </c:pt>
              </c:numCache>
            </c:numRef>
          </c:xVal>
          <c:yVal>
            <c:numRef>
              <c:f>info!$N$9</c:f>
              <c:numCache>
                <c:formatCode>0.0</c:formatCode>
                <c:ptCount val="1"/>
                <c:pt idx="0">
                  <c:v>25.346540206185573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55.625700000000002</c:v>
                </c:pt>
                <c:pt idx="1">
                  <c:v>29.511600000000001</c:v>
                </c:pt>
                <c:pt idx="2">
                  <c:v>31.564800000000002</c:v>
                </c:pt>
                <c:pt idx="3">
                  <c:v>38.5593</c:v>
                </c:pt>
                <c:pt idx="4">
                  <c:v>57.787999999999997</c:v>
                </c:pt>
                <c:pt idx="5">
                  <c:v>79.064499999999995</c:v>
                </c:pt>
                <c:pt idx="6">
                  <c:v>27.145499999999998</c:v>
                </c:pt>
                <c:pt idx="7">
                  <c:v>68.372399999999999</c:v>
                </c:pt>
                <c:pt idx="8">
                  <c:v>18.917000000000002</c:v>
                </c:pt>
                <c:pt idx="9">
                  <c:v>31.556999999999999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28.07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28.067299999999996</c:v>
                </c:pt>
                <c:pt idx="1">
                  <c:v>28.067299999999996</c:v>
                </c:pt>
                <c:pt idx="2">
                  <c:v>0</c:v>
                </c:pt>
              </c:numCache>
            </c:numRef>
          </c:xVal>
          <c:yVal>
            <c:numRef>
              <c:f>'R2'!$I$5:$I$7</c:f>
              <c:numCache>
                <c:formatCode>0.0_ </c:formatCode>
                <c:ptCount val="3"/>
                <c:pt idx="0">
                  <c:v>0</c:v>
                </c:pt>
                <c:pt idx="1">
                  <c:v>16.158625163133156</c:v>
                </c:pt>
                <c:pt idx="2">
                  <c:v>16.158625163133156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65.966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65.966000000000008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1.97898</c:v>
                </c:pt>
                <c:pt idx="1">
                  <c:v>1.97898</c:v>
                </c:pt>
                <c:pt idx="2">
                  <c:v>0</c:v>
                </c:pt>
              </c:numCache>
            </c:numRef>
          </c:xVal>
          <c:yVal>
            <c:numRef>
              <c:f>'R3'!$I$6:$I$8</c:f>
              <c:numCache>
                <c:formatCode>0.0_ </c:formatCode>
                <c:ptCount val="3"/>
                <c:pt idx="0">
                  <c:v>0</c:v>
                </c:pt>
                <c:pt idx="1">
                  <c:v>54.410674172785299</c:v>
                </c:pt>
                <c:pt idx="2">
                  <c:v>54.410674172785299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0.10908510237988622</c:v>
                </c:pt>
                <c:pt idx="1">
                  <c:v>0.10908510237988622</c:v>
                </c:pt>
                <c:pt idx="2">
                  <c:v>-7</c:v>
                </c:pt>
              </c:numCache>
            </c:numRef>
          </c:xVal>
          <c:yVal>
            <c:numRef>
              <c:f>'R'!$I$5:$I$7</c:f>
              <c:numCache>
                <c:formatCode>0.0_ </c:formatCode>
                <c:ptCount val="3"/>
                <c:pt idx="0">
                  <c:v>0</c:v>
                </c:pt>
                <c:pt idx="1">
                  <c:v>63.74421340436691</c:v>
                </c:pt>
                <c:pt idx="2">
                  <c:v>63.74421340436691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0.10908510237988622</c:v>
                </c:pt>
              </c:numCache>
            </c:numRef>
          </c:xVal>
          <c:yVal>
            <c:numRef>
              <c:f>'R'!$I$4</c:f>
              <c:numCache>
                <c:formatCode>0.00_ </c:formatCode>
                <c:ptCount val="1"/>
                <c:pt idx="0">
                  <c:v>63.74421340436691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28.07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28.067299999999996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7"/>
                <c:pt idx="0">
                  <c:v>4.8835800000000003</c:v>
                </c:pt>
                <c:pt idx="1">
                  <c:v>4.8927700000000005</c:v>
                </c:pt>
                <c:pt idx="2">
                  <c:v>4.9047800000000006</c:v>
                </c:pt>
                <c:pt idx="3">
                  <c:v>4.91648</c:v>
                </c:pt>
                <c:pt idx="4">
                  <c:v>4.9251299999999993</c:v>
                </c:pt>
                <c:pt idx="5">
                  <c:v>4.9285199999999998</c:v>
                </c:pt>
                <c:pt idx="6">
                  <c:v>4.9283200000000003</c:v>
                </c:pt>
                <c:pt idx="7">
                  <c:v>4.9231199999999999</c:v>
                </c:pt>
                <c:pt idx="8">
                  <c:v>4.9151400000000001</c:v>
                </c:pt>
                <c:pt idx="9">
                  <c:v>4.9048400000000001</c:v>
                </c:pt>
                <c:pt idx="10">
                  <c:v>4.8908000000000005</c:v>
                </c:pt>
                <c:pt idx="11">
                  <c:v>4.8717500000000005</c:v>
                </c:pt>
                <c:pt idx="12">
                  <c:v>4.8478300000000001</c:v>
                </c:pt>
                <c:pt idx="13">
                  <c:v>4.8204799999999999</c:v>
                </c:pt>
                <c:pt idx="14">
                  <c:v>4.7920600000000002</c:v>
                </c:pt>
                <c:pt idx="15">
                  <c:v>4.76105</c:v>
                </c:pt>
                <c:pt idx="16">
                  <c:v>4.7264099999999996</c:v>
                </c:pt>
                <c:pt idx="17">
                  <c:v>4.6932299999999998</c:v>
                </c:pt>
                <c:pt idx="18">
                  <c:v>4.66317</c:v>
                </c:pt>
                <c:pt idx="19">
                  <c:v>4.6346400000000001</c:v>
                </c:pt>
                <c:pt idx="20">
                  <c:v>4.6097400000000004</c:v>
                </c:pt>
                <c:pt idx="21">
                  <c:v>4.5844300000000002</c:v>
                </c:pt>
                <c:pt idx="22">
                  <c:v>4.5572099999999995</c:v>
                </c:pt>
                <c:pt idx="23">
                  <c:v>4.5305099999999996</c:v>
                </c:pt>
                <c:pt idx="24">
                  <c:v>4.5014199999999995</c:v>
                </c:pt>
                <c:pt idx="25">
                  <c:v>4.4734099999999994</c:v>
                </c:pt>
                <c:pt idx="26">
                  <c:v>4.4487800000000002</c:v>
                </c:pt>
                <c:pt idx="27">
                  <c:v>4.4201199999999998</c:v>
                </c:pt>
                <c:pt idx="28">
                  <c:v>4.3896899999999999</c:v>
                </c:pt>
                <c:pt idx="29">
                  <c:v>4.3645899999999997</c:v>
                </c:pt>
                <c:pt idx="30">
                  <c:v>4.3413000000000004</c:v>
                </c:pt>
                <c:pt idx="31">
                  <c:v>4.3192599999999999</c:v>
                </c:pt>
                <c:pt idx="32">
                  <c:v>4.2988599999999995</c:v>
                </c:pt>
                <c:pt idx="33">
                  <c:v>4.2779400000000001</c:v>
                </c:pt>
                <c:pt idx="34">
                  <c:v>4.2555199999999997</c:v>
                </c:pt>
                <c:pt idx="35">
                  <c:v>4.2340100000000005</c:v>
                </c:pt>
                <c:pt idx="36">
                  <c:v>4.2142800000000005</c:v>
                </c:pt>
                <c:pt idx="37">
                  <c:v>4.1970900000000002</c:v>
                </c:pt>
                <c:pt idx="38">
                  <c:v>4.1807999999999996</c:v>
                </c:pt>
                <c:pt idx="39">
                  <c:v>4.16411</c:v>
                </c:pt>
                <c:pt idx="40">
                  <c:v>4.1473100000000001</c:v>
                </c:pt>
                <c:pt idx="41">
                  <c:v>4.1301600000000001</c:v>
                </c:pt>
                <c:pt idx="42">
                  <c:v>4.1135299999999999</c:v>
                </c:pt>
                <c:pt idx="43">
                  <c:v>4.0956799999999998</c:v>
                </c:pt>
                <c:pt idx="44">
                  <c:v>4.0770600000000004</c:v>
                </c:pt>
                <c:pt idx="45">
                  <c:v>4.0578099999999999</c:v>
                </c:pt>
                <c:pt idx="46">
                  <c:v>4.0403400000000005</c:v>
                </c:pt>
                <c:pt idx="47">
                  <c:v>4.0281599999999997</c:v>
                </c:pt>
                <c:pt idx="48">
                  <c:v>4.0207300000000004</c:v>
                </c:pt>
                <c:pt idx="49">
                  <c:v>4.01952</c:v>
                </c:pt>
                <c:pt idx="50">
                  <c:v>4.0188100000000002</c:v>
                </c:pt>
                <c:pt idx="51">
                  <c:v>4.0168900000000001</c:v>
                </c:pt>
                <c:pt idx="52">
                  <c:v>4.0151900000000005</c:v>
                </c:pt>
                <c:pt idx="53">
                  <c:v>4.0143800000000001</c:v>
                </c:pt>
                <c:pt idx="54">
                  <c:v>4.0130600000000003</c:v>
                </c:pt>
                <c:pt idx="55">
                  <c:v>4.0108700000000006</c:v>
                </c:pt>
                <c:pt idx="56">
                  <c:v>4.0081199999999999</c:v>
                </c:pt>
                <c:pt idx="57">
                  <c:v>4.0038200000000002</c:v>
                </c:pt>
                <c:pt idx="58">
                  <c:v>3.9969999999999999</c:v>
                </c:pt>
                <c:pt idx="59">
                  <c:v>3.9911300000000001</c:v>
                </c:pt>
                <c:pt idx="60">
                  <c:v>3.9874700000000001</c:v>
                </c:pt>
                <c:pt idx="61">
                  <c:v>3.98272</c:v>
                </c:pt>
                <c:pt idx="62">
                  <c:v>3.9771000000000001</c:v>
                </c:pt>
                <c:pt idx="63">
                  <c:v>3.9717799999999999</c:v>
                </c:pt>
                <c:pt idx="64">
                  <c:v>3.9666800000000002</c:v>
                </c:pt>
                <c:pt idx="65">
                  <c:v>3.9670000000000001</c:v>
                </c:pt>
                <c:pt idx="66">
                  <c:v>3.9673599999999998</c:v>
                </c:pt>
                <c:pt idx="67">
                  <c:v>3.96645</c:v>
                </c:pt>
                <c:pt idx="68">
                  <c:v>3.9648299999999996</c:v>
                </c:pt>
                <c:pt idx="69">
                  <c:v>3.9652099999999999</c:v>
                </c:pt>
                <c:pt idx="70">
                  <c:v>3.9674199999999997</c:v>
                </c:pt>
                <c:pt idx="71">
                  <c:v>3.9669599999999998</c:v>
                </c:pt>
                <c:pt idx="72">
                  <c:v>3.9646699999999999</c:v>
                </c:pt>
                <c:pt idx="73">
                  <c:v>3.9620800000000003</c:v>
                </c:pt>
                <c:pt idx="74">
                  <c:v>3.95634</c:v>
                </c:pt>
                <c:pt idx="75">
                  <c:v>3.9500299999999999</c:v>
                </c:pt>
                <c:pt idx="76">
                  <c:v>3.9458199999999999</c:v>
                </c:pt>
                <c:pt idx="77">
                  <c:v>3.9417999999999997</c:v>
                </c:pt>
                <c:pt idx="78">
                  <c:v>3.9344099999999997</c:v>
                </c:pt>
                <c:pt idx="79">
                  <c:v>3.9250800000000003</c:v>
                </c:pt>
                <c:pt idx="80">
                  <c:v>3.9161200000000003</c:v>
                </c:pt>
                <c:pt idx="81">
                  <c:v>3.9073799999999999</c:v>
                </c:pt>
                <c:pt idx="82">
                  <c:v>3.9013499999999999</c:v>
                </c:pt>
                <c:pt idx="83">
                  <c:v>3.89907</c:v>
                </c:pt>
                <c:pt idx="84">
                  <c:v>3.8977400000000002</c:v>
                </c:pt>
                <c:pt idx="85">
                  <c:v>3.89635</c:v>
                </c:pt>
                <c:pt idx="86">
                  <c:v>3.8978800000000002</c:v>
                </c:pt>
                <c:pt idx="87">
                  <c:v>3.9019199999999996</c:v>
                </c:pt>
                <c:pt idx="88">
                  <c:v>3.90496</c:v>
                </c:pt>
                <c:pt idx="89">
                  <c:v>3.9058199999999998</c:v>
                </c:pt>
                <c:pt idx="90">
                  <c:v>3.8978200000000003</c:v>
                </c:pt>
                <c:pt idx="91">
                  <c:v>3.8929599999999995</c:v>
                </c:pt>
                <c:pt idx="92">
                  <c:v>3.8872</c:v>
                </c:pt>
                <c:pt idx="93">
                  <c:v>3.9014799999999998</c:v>
                </c:pt>
                <c:pt idx="94">
                  <c:v>3.9102199999999998</c:v>
                </c:pt>
                <c:pt idx="95">
                  <c:v>3.8986199999999998</c:v>
                </c:pt>
                <c:pt idx="96">
                  <c:v>3.9081999999999999</c:v>
                </c:pt>
              </c:numCache>
            </c:numRef>
          </c:xVal>
          <c:yVal>
            <c:numRef>
              <c:f>[0]!FT_PH</c:f>
              <c:numCache>
                <c:formatCode>0.00</c:formatCode>
                <c:ptCount val="97"/>
                <c:pt idx="0">
                  <c:v>30.503299999999999</c:v>
                </c:pt>
                <c:pt idx="1">
                  <c:v>30.536799999999996</c:v>
                </c:pt>
                <c:pt idx="2">
                  <c:v>30.521700000000003</c:v>
                </c:pt>
                <c:pt idx="3">
                  <c:v>30.462199999999999</c:v>
                </c:pt>
                <c:pt idx="4">
                  <c:v>30.349299999999999</c:v>
                </c:pt>
                <c:pt idx="5">
                  <c:v>30.169499999999999</c:v>
                </c:pt>
                <c:pt idx="6">
                  <c:v>29.9375</c:v>
                </c:pt>
                <c:pt idx="7">
                  <c:v>29.6342</c:v>
                </c:pt>
                <c:pt idx="8">
                  <c:v>29.269499999999997</c:v>
                </c:pt>
                <c:pt idx="9">
                  <c:v>28.926500000000001</c:v>
                </c:pt>
                <c:pt idx="10">
                  <c:v>28.598200000000002</c:v>
                </c:pt>
                <c:pt idx="11">
                  <c:v>28.2682</c:v>
                </c:pt>
                <c:pt idx="12">
                  <c:v>27.983400000000003</c:v>
                </c:pt>
                <c:pt idx="13">
                  <c:v>27.7926</c:v>
                </c:pt>
                <c:pt idx="14">
                  <c:v>27.704899999999999</c:v>
                </c:pt>
                <c:pt idx="15">
                  <c:v>27.613900000000001</c:v>
                </c:pt>
                <c:pt idx="16">
                  <c:v>27.649699999999999</c:v>
                </c:pt>
                <c:pt idx="17">
                  <c:v>27.721600000000002</c:v>
                </c:pt>
                <c:pt idx="18">
                  <c:v>27.686300000000003</c:v>
                </c:pt>
                <c:pt idx="19">
                  <c:v>27.575100000000003</c:v>
                </c:pt>
                <c:pt idx="20">
                  <c:v>27.459099999999996</c:v>
                </c:pt>
                <c:pt idx="21">
                  <c:v>27.362300000000001</c:v>
                </c:pt>
                <c:pt idx="22">
                  <c:v>27.316600000000001</c:v>
                </c:pt>
                <c:pt idx="23">
                  <c:v>27.273900000000001</c:v>
                </c:pt>
                <c:pt idx="24">
                  <c:v>27.222099999999998</c:v>
                </c:pt>
                <c:pt idx="25">
                  <c:v>27.165499999999998</c:v>
                </c:pt>
                <c:pt idx="26">
                  <c:v>27.077500000000001</c:v>
                </c:pt>
                <c:pt idx="27">
                  <c:v>27.013100000000001</c:v>
                </c:pt>
                <c:pt idx="28">
                  <c:v>26.993499999999997</c:v>
                </c:pt>
                <c:pt idx="29">
                  <c:v>26.984200000000001</c:v>
                </c:pt>
                <c:pt idx="30">
                  <c:v>26.959300000000002</c:v>
                </c:pt>
                <c:pt idx="31">
                  <c:v>26.980799999999999</c:v>
                </c:pt>
                <c:pt idx="32">
                  <c:v>27.0776</c:v>
                </c:pt>
                <c:pt idx="33">
                  <c:v>27.253399999999999</c:v>
                </c:pt>
                <c:pt idx="34">
                  <c:v>27.475500000000004</c:v>
                </c:pt>
                <c:pt idx="35">
                  <c:v>27.691900000000004</c:v>
                </c:pt>
                <c:pt idx="36">
                  <c:v>27.953600000000002</c:v>
                </c:pt>
                <c:pt idx="37">
                  <c:v>28.150199999999998</c:v>
                </c:pt>
                <c:pt idx="38">
                  <c:v>28.291</c:v>
                </c:pt>
                <c:pt idx="39">
                  <c:v>28.385400000000001</c:v>
                </c:pt>
                <c:pt idx="40">
                  <c:v>28.440300000000001</c:v>
                </c:pt>
                <c:pt idx="41">
                  <c:v>28.453200000000002</c:v>
                </c:pt>
                <c:pt idx="42">
                  <c:v>28.447199999999999</c:v>
                </c:pt>
                <c:pt idx="43">
                  <c:v>28.402899999999999</c:v>
                </c:pt>
                <c:pt idx="44">
                  <c:v>28.326400000000003</c:v>
                </c:pt>
                <c:pt idx="45">
                  <c:v>28.237400000000001</c:v>
                </c:pt>
                <c:pt idx="46">
                  <c:v>28.027899999999999</c:v>
                </c:pt>
                <c:pt idx="47">
                  <c:v>27.7057</c:v>
                </c:pt>
                <c:pt idx="48">
                  <c:v>27.362199999999998</c:v>
                </c:pt>
                <c:pt idx="49">
                  <c:v>26.948399999999999</c:v>
                </c:pt>
                <c:pt idx="50">
                  <c:v>26.5519</c:v>
                </c:pt>
                <c:pt idx="51">
                  <c:v>26.209300000000002</c:v>
                </c:pt>
                <c:pt idx="52">
                  <c:v>25.848199999999999</c:v>
                </c:pt>
                <c:pt idx="53">
                  <c:v>25.512</c:v>
                </c:pt>
                <c:pt idx="54">
                  <c:v>25.219200000000004</c:v>
                </c:pt>
                <c:pt idx="55">
                  <c:v>24.986599999999999</c:v>
                </c:pt>
                <c:pt idx="56">
                  <c:v>24.7608</c:v>
                </c:pt>
                <c:pt idx="57">
                  <c:v>24.520800000000001</c:v>
                </c:pt>
                <c:pt idx="58">
                  <c:v>24.3292</c:v>
                </c:pt>
                <c:pt idx="59">
                  <c:v>24.0701</c:v>
                </c:pt>
                <c:pt idx="60">
                  <c:v>23.774999999999999</c:v>
                </c:pt>
                <c:pt idx="61">
                  <c:v>23.500599999999999</c:v>
                </c:pt>
                <c:pt idx="62">
                  <c:v>23.288900000000002</c:v>
                </c:pt>
                <c:pt idx="63">
                  <c:v>23.1294</c:v>
                </c:pt>
                <c:pt idx="64">
                  <c:v>23.003399999999999</c:v>
                </c:pt>
                <c:pt idx="65">
                  <c:v>22.82</c:v>
                </c:pt>
                <c:pt idx="66">
                  <c:v>22.645799999999998</c:v>
                </c:pt>
                <c:pt idx="67">
                  <c:v>22.423399999999997</c:v>
                </c:pt>
                <c:pt idx="68">
                  <c:v>22.237299999999998</c:v>
                </c:pt>
                <c:pt idx="69">
                  <c:v>22.054499999999997</c:v>
                </c:pt>
                <c:pt idx="70">
                  <c:v>21.8843</c:v>
                </c:pt>
                <c:pt idx="71">
                  <c:v>21.784600000000001</c:v>
                </c:pt>
                <c:pt idx="72">
                  <c:v>21.714600000000001</c:v>
                </c:pt>
                <c:pt idx="73">
                  <c:v>21.675599999999999</c:v>
                </c:pt>
                <c:pt idx="74">
                  <c:v>21.686700000000002</c:v>
                </c:pt>
                <c:pt idx="75">
                  <c:v>21.697900000000001</c:v>
                </c:pt>
                <c:pt idx="76">
                  <c:v>21.686900000000001</c:v>
                </c:pt>
                <c:pt idx="77">
                  <c:v>21.7347</c:v>
                </c:pt>
                <c:pt idx="78">
                  <c:v>21.823600000000003</c:v>
                </c:pt>
                <c:pt idx="79">
                  <c:v>21.895099999999999</c:v>
                </c:pt>
                <c:pt idx="80">
                  <c:v>21.918299999999999</c:v>
                </c:pt>
                <c:pt idx="81">
                  <c:v>21.912799999999997</c:v>
                </c:pt>
                <c:pt idx="82">
                  <c:v>21.875399999999999</c:v>
                </c:pt>
                <c:pt idx="83">
                  <c:v>21.749700000000001</c:v>
                </c:pt>
                <c:pt idx="84">
                  <c:v>21.676300000000001</c:v>
                </c:pt>
                <c:pt idx="85">
                  <c:v>21.585699999999999</c:v>
                </c:pt>
                <c:pt idx="86">
                  <c:v>21.3751</c:v>
                </c:pt>
                <c:pt idx="87">
                  <c:v>21.042300000000001</c:v>
                </c:pt>
                <c:pt idx="88">
                  <c:v>20.676300000000001</c:v>
                </c:pt>
                <c:pt idx="89">
                  <c:v>20.308399999999999</c:v>
                </c:pt>
                <c:pt idx="90">
                  <c:v>20.11</c:v>
                </c:pt>
                <c:pt idx="91">
                  <c:v>19.8325</c:v>
                </c:pt>
                <c:pt idx="92">
                  <c:v>19.723099999999999</c:v>
                </c:pt>
                <c:pt idx="93">
                  <c:v>19.575500000000002</c:v>
                </c:pt>
                <c:pt idx="94">
                  <c:v>19.601900000000001</c:v>
                </c:pt>
                <c:pt idx="95">
                  <c:v>19.8384</c:v>
                </c:pt>
                <c:pt idx="96">
                  <c:v>19.9998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4.9151400000000001</c:v>
                </c:pt>
                <c:pt idx="1">
                  <c:v>3.8978800000000002</c:v>
                </c:pt>
              </c:numCache>
            </c:numRef>
          </c:xVal>
          <c:yVal>
            <c:numRef>
              <c:f>info!$W$2:$W$3</c:f>
              <c:numCache>
                <c:formatCode>0.00</c:formatCode>
                <c:ptCount val="2"/>
                <c:pt idx="0">
                  <c:v>29.269499999999997</c:v>
                </c:pt>
                <c:pt idx="1">
                  <c:v>21.3751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3.9014799999999998</c:v>
                </c:pt>
                <c:pt idx="1">
                  <c:v>4.8927700000000005</c:v>
                </c:pt>
              </c:numCache>
            </c:numRef>
          </c:xVal>
          <c:yVal>
            <c:numRef>
              <c:f>info!$W$15:$W$16</c:f>
              <c:numCache>
                <c:formatCode>0.00_ </c:formatCode>
                <c:ptCount val="2"/>
                <c:pt idx="0">
                  <c:v>19.575500000000002</c:v>
                </c:pt>
                <c:pt idx="1">
                  <c:v>30.536799999999996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4.2326086597938142</c:v>
                </c:pt>
              </c:numCache>
            </c:numRef>
          </c:xVal>
          <c:yVal>
            <c:numRef>
              <c:f>info!$N$9</c:f>
              <c:numCache>
                <c:formatCode>0.0</c:formatCode>
                <c:ptCount val="1"/>
                <c:pt idx="0">
                  <c:v>25.346540206185573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55.625700000000002</c:v>
                </c:pt>
                <c:pt idx="1">
                  <c:v>29.511600000000001</c:v>
                </c:pt>
                <c:pt idx="2">
                  <c:v>31.564800000000002</c:v>
                </c:pt>
                <c:pt idx="3">
                  <c:v>38.5593</c:v>
                </c:pt>
                <c:pt idx="4">
                  <c:v>57.787999999999997</c:v>
                </c:pt>
                <c:pt idx="5">
                  <c:v>79.064499999999995</c:v>
                </c:pt>
                <c:pt idx="6">
                  <c:v>27.145499999999998</c:v>
                </c:pt>
                <c:pt idx="7">
                  <c:v>68.372399999999999</c:v>
                </c:pt>
                <c:pt idx="8">
                  <c:v>18.917000000000002</c:v>
                </c:pt>
                <c:pt idx="9">
                  <c:v>31.556999999999999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28.07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28.067299999999996</c:v>
                </c:pt>
                <c:pt idx="1">
                  <c:v>28.067299999999996</c:v>
                </c:pt>
                <c:pt idx="2">
                  <c:v>0</c:v>
                </c:pt>
              </c:numCache>
            </c:numRef>
          </c:xVal>
          <c:yVal>
            <c:numRef>
              <c:f>'R2'!$I$5:$I$7</c:f>
              <c:numCache>
                <c:formatCode>0.0_ </c:formatCode>
                <c:ptCount val="3"/>
                <c:pt idx="0">
                  <c:v>0</c:v>
                </c:pt>
                <c:pt idx="1">
                  <c:v>16.158625163133156</c:v>
                </c:pt>
                <c:pt idx="2">
                  <c:v>16.158625163133156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65.966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65.966000000000008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1.97898</c:v>
                </c:pt>
                <c:pt idx="1">
                  <c:v>1.97898</c:v>
                </c:pt>
                <c:pt idx="2">
                  <c:v>0</c:v>
                </c:pt>
              </c:numCache>
            </c:numRef>
          </c:xVal>
          <c:yVal>
            <c:numRef>
              <c:f>'R3'!$I$6:$I$8</c:f>
              <c:numCache>
                <c:formatCode>0.0_ </c:formatCode>
                <c:ptCount val="3"/>
                <c:pt idx="0">
                  <c:v>0</c:v>
                </c:pt>
                <c:pt idx="1">
                  <c:v>54.410674172785299</c:v>
                </c:pt>
                <c:pt idx="2">
                  <c:v>54.410674172785299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0.10908510237988622</c:v>
                </c:pt>
                <c:pt idx="1">
                  <c:v>0.10908510237988622</c:v>
                </c:pt>
                <c:pt idx="2">
                  <c:v>-7</c:v>
                </c:pt>
              </c:numCache>
            </c:numRef>
          </c:xVal>
          <c:yVal>
            <c:numRef>
              <c:f>'R'!$I$5:$I$7</c:f>
              <c:numCache>
                <c:formatCode>0.0_ </c:formatCode>
                <c:ptCount val="3"/>
                <c:pt idx="0">
                  <c:v>0</c:v>
                </c:pt>
                <c:pt idx="1">
                  <c:v>63.74421340436691</c:v>
                </c:pt>
                <c:pt idx="2">
                  <c:v>63.74421340436691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0.10908510237988622</c:v>
                </c:pt>
              </c:numCache>
            </c:numRef>
          </c:xVal>
          <c:yVal>
            <c:numRef>
              <c:f>'R'!$I$4</c:f>
              <c:numCache>
                <c:formatCode>0.00_ </c:formatCode>
                <c:ptCount val="1"/>
                <c:pt idx="0">
                  <c:v>63.74421340436691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0.40446199999999999</c:v>
                </c:pt>
                <c:pt idx="2">
                  <c:v>0.80959199999999998</c:v>
                </c:pt>
                <c:pt idx="3">
                  <c:v>1.2161999999999999</c:v>
                </c:pt>
                <c:pt idx="4">
                  <c:v>1.62202</c:v>
                </c:pt>
                <c:pt idx="5">
                  <c:v>2.0300500000000001</c:v>
                </c:pt>
                <c:pt idx="6">
                  <c:v>2.4369499999999999</c:v>
                </c:pt>
                <c:pt idx="7">
                  <c:v>2.8413900000000001</c:v>
                </c:pt>
                <c:pt idx="8">
                  <c:v>3.2499099999999999</c:v>
                </c:pt>
                <c:pt idx="9">
                  <c:v>3.6543100000000002</c:v>
                </c:pt>
                <c:pt idx="10">
                  <c:v>4.0610400000000002</c:v>
                </c:pt>
                <c:pt idx="11">
                  <c:v>4.4660099999999998</c:v>
                </c:pt>
                <c:pt idx="12">
                  <c:v>4.8718300000000001</c:v>
                </c:pt>
                <c:pt idx="13">
                  <c:v>5.2807399999999998</c:v>
                </c:pt>
                <c:pt idx="14">
                  <c:v>5.6871299999999998</c:v>
                </c:pt>
                <c:pt idx="15">
                  <c:v>6.0903799999999997</c:v>
                </c:pt>
                <c:pt idx="16">
                  <c:v>6.4995500000000002</c:v>
                </c:pt>
                <c:pt idx="17">
                  <c:v>6.9037600000000001</c:v>
                </c:pt>
                <c:pt idx="18">
                  <c:v>7.3120200000000004</c:v>
                </c:pt>
                <c:pt idx="19">
                  <c:v>7.7178399999999998</c:v>
                </c:pt>
                <c:pt idx="20">
                  <c:v>8.1254799999999996</c:v>
                </c:pt>
                <c:pt idx="21">
                  <c:v>8.52956</c:v>
                </c:pt>
                <c:pt idx="22">
                  <c:v>8.9352699999999992</c:v>
                </c:pt>
                <c:pt idx="23">
                  <c:v>9.3403600000000004</c:v>
                </c:pt>
                <c:pt idx="24">
                  <c:v>9.7490000000000006</c:v>
                </c:pt>
                <c:pt idx="25">
                  <c:v>10.1539</c:v>
                </c:pt>
                <c:pt idx="26">
                  <c:v>10.562200000000001</c:v>
                </c:pt>
                <c:pt idx="27">
                  <c:v>10.9686</c:v>
                </c:pt>
                <c:pt idx="28">
                  <c:v>11.3721</c:v>
                </c:pt>
                <c:pt idx="29">
                  <c:v>11.7818</c:v>
                </c:pt>
                <c:pt idx="30">
                  <c:v>12.1854</c:v>
                </c:pt>
                <c:pt idx="31">
                  <c:v>12.5938</c:v>
                </c:pt>
                <c:pt idx="32">
                  <c:v>12.9998</c:v>
                </c:pt>
                <c:pt idx="33">
                  <c:v>13.4057</c:v>
                </c:pt>
                <c:pt idx="34">
                  <c:v>13.812799999999999</c:v>
                </c:pt>
                <c:pt idx="35">
                  <c:v>14.2178</c:v>
                </c:pt>
                <c:pt idx="36">
                  <c:v>14.6227</c:v>
                </c:pt>
                <c:pt idx="37">
                  <c:v>15.0305</c:v>
                </c:pt>
                <c:pt idx="38">
                  <c:v>15.4346</c:v>
                </c:pt>
                <c:pt idx="39">
                  <c:v>15.846299999999999</c:v>
                </c:pt>
                <c:pt idx="40">
                  <c:v>16.252300000000002</c:v>
                </c:pt>
                <c:pt idx="41">
                  <c:v>16.6554</c:v>
                </c:pt>
                <c:pt idx="42">
                  <c:v>17.0609</c:v>
                </c:pt>
                <c:pt idx="43">
                  <c:v>17.468</c:v>
                </c:pt>
                <c:pt idx="44">
                  <c:v>17.8766</c:v>
                </c:pt>
                <c:pt idx="45">
                  <c:v>18.2804</c:v>
                </c:pt>
                <c:pt idx="46">
                  <c:v>18.685600000000001</c:v>
                </c:pt>
                <c:pt idx="47">
                  <c:v>19.095400000000001</c:v>
                </c:pt>
                <c:pt idx="48">
                  <c:v>19.497699999999998</c:v>
                </c:pt>
                <c:pt idx="49">
                  <c:v>19.904800000000002</c:v>
                </c:pt>
                <c:pt idx="50">
                  <c:v>20.3125</c:v>
                </c:pt>
                <c:pt idx="51">
                  <c:v>20.718299999999999</c:v>
                </c:pt>
                <c:pt idx="52">
                  <c:v>21.125299999999999</c:v>
                </c:pt>
                <c:pt idx="53">
                  <c:v>21.531400000000001</c:v>
                </c:pt>
                <c:pt idx="54">
                  <c:v>21.936</c:v>
                </c:pt>
                <c:pt idx="55">
                  <c:v>22.341100000000001</c:v>
                </c:pt>
                <c:pt idx="56">
                  <c:v>22.75</c:v>
                </c:pt>
                <c:pt idx="57">
                  <c:v>23.153300000000002</c:v>
                </c:pt>
                <c:pt idx="58">
                  <c:v>23.562200000000001</c:v>
                </c:pt>
                <c:pt idx="59">
                  <c:v>23.968800000000002</c:v>
                </c:pt>
                <c:pt idx="60">
                  <c:v>24.372399999999999</c:v>
                </c:pt>
                <c:pt idx="61">
                  <c:v>24.78</c:v>
                </c:pt>
                <c:pt idx="62">
                  <c:v>25.1861</c:v>
                </c:pt>
                <c:pt idx="63">
                  <c:v>25.591899999999999</c:v>
                </c:pt>
                <c:pt idx="64">
                  <c:v>25.999500000000001</c:v>
                </c:pt>
                <c:pt idx="65">
                  <c:v>26.404199999999999</c:v>
                </c:pt>
                <c:pt idx="66">
                  <c:v>26.8096</c:v>
                </c:pt>
                <c:pt idx="67">
                  <c:v>27.222200000000001</c:v>
                </c:pt>
                <c:pt idx="68">
                  <c:v>27.623000000000001</c:v>
                </c:pt>
                <c:pt idx="69">
                  <c:v>28.029599999999999</c:v>
                </c:pt>
                <c:pt idx="70">
                  <c:v>28.4375</c:v>
                </c:pt>
                <c:pt idx="71">
                  <c:v>28.8429</c:v>
                </c:pt>
                <c:pt idx="72">
                  <c:v>29.2532</c:v>
                </c:pt>
                <c:pt idx="73">
                  <c:v>29.654499999999999</c:v>
                </c:pt>
                <c:pt idx="74">
                  <c:v>30.062200000000001</c:v>
                </c:pt>
                <c:pt idx="75">
                  <c:v>30.466699999999999</c:v>
                </c:pt>
                <c:pt idx="76">
                  <c:v>30.8749</c:v>
                </c:pt>
                <c:pt idx="77">
                  <c:v>31.2822</c:v>
                </c:pt>
                <c:pt idx="78">
                  <c:v>31.685199999999998</c:v>
                </c:pt>
                <c:pt idx="79">
                  <c:v>32.092300000000002</c:v>
                </c:pt>
                <c:pt idx="80">
                  <c:v>32.4985</c:v>
                </c:pt>
                <c:pt idx="81">
                  <c:v>32.906100000000002</c:v>
                </c:pt>
                <c:pt idx="82">
                  <c:v>33.313400000000001</c:v>
                </c:pt>
                <c:pt idx="83">
                  <c:v>33.719000000000001</c:v>
                </c:pt>
                <c:pt idx="84">
                  <c:v>34.123399999999997</c:v>
                </c:pt>
                <c:pt idx="85">
                  <c:v>34.529200000000003</c:v>
                </c:pt>
                <c:pt idx="86">
                  <c:v>34.934800000000003</c:v>
                </c:pt>
                <c:pt idx="87">
                  <c:v>35.344099999999997</c:v>
                </c:pt>
                <c:pt idx="88">
                  <c:v>35.749099999999999</c:v>
                </c:pt>
                <c:pt idx="89">
                  <c:v>36.1526</c:v>
                </c:pt>
                <c:pt idx="90">
                  <c:v>36.563899999999997</c:v>
                </c:pt>
                <c:pt idx="91">
                  <c:v>36.969000000000001</c:v>
                </c:pt>
                <c:pt idx="92">
                  <c:v>37.375</c:v>
                </c:pt>
                <c:pt idx="93">
                  <c:v>37.780500000000004</c:v>
                </c:pt>
                <c:pt idx="94">
                  <c:v>38.186500000000002</c:v>
                </c:pt>
                <c:pt idx="95">
                  <c:v>38.593299999999999</c:v>
                </c:pt>
                <c:pt idx="96">
                  <c:v>39.0002</c:v>
                </c:pt>
              </c:numCache>
            </c:numRef>
          </c:xVal>
          <c:yVal>
            <c:numRef>
              <c:f>FT!$J$2:$J$2000</c:f>
              <c:numCache>
                <c:formatCode>General</c:formatCode>
                <c:ptCount val="1999"/>
                <c:pt idx="0">
                  <c:v>4.8835800000000003</c:v>
                </c:pt>
                <c:pt idx="1">
                  <c:v>4.8927700000000005</c:v>
                </c:pt>
                <c:pt idx="2">
                  <c:v>4.9047800000000006</c:v>
                </c:pt>
                <c:pt idx="3">
                  <c:v>4.91648</c:v>
                </c:pt>
                <c:pt idx="4">
                  <c:v>4.9251299999999993</c:v>
                </c:pt>
                <c:pt idx="5">
                  <c:v>4.9285199999999998</c:v>
                </c:pt>
                <c:pt idx="6">
                  <c:v>4.9283200000000003</c:v>
                </c:pt>
                <c:pt idx="7">
                  <c:v>4.9231199999999999</c:v>
                </c:pt>
                <c:pt idx="8">
                  <c:v>4.9151400000000001</c:v>
                </c:pt>
                <c:pt idx="9">
                  <c:v>4.9048400000000001</c:v>
                </c:pt>
                <c:pt idx="10">
                  <c:v>4.8908000000000005</c:v>
                </c:pt>
                <c:pt idx="11">
                  <c:v>4.8717500000000005</c:v>
                </c:pt>
                <c:pt idx="12">
                  <c:v>4.8478300000000001</c:v>
                </c:pt>
                <c:pt idx="13">
                  <c:v>4.8204799999999999</c:v>
                </c:pt>
                <c:pt idx="14">
                  <c:v>4.7920600000000002</c:v>
                </c:pt>
                <c:pt idx="15">
                  <c:v>4.76105</c:v>
                </c:pt>
                <c:pt idx="16">
                  <c:v>4.7264099999999996</c:v>
                </c:pt>
                <c:pt idx="17">
                  <c:v>4.6932299999999998</c:v>
                </c:pt>
                <c:pt idx="18">
                  <c:v>4.66317</c:v>
                </c:pt>
                <c:pt idx="19">
                  <c:v>4.6346400000000001</c:v>
                </c:pt>
                <c:pt idx="20">
                  <c:v>4.6097400000000004</c:v>
                </c:pt>
                <c:pt idx="21">
                  <c:v>4.5844300000000002</c:v>
                </c:pt>
                <c:pt idx="22">
                  <c:v>4.5572099999999995</c:v>
                </c:pt>
                <c:pt idx="23">
                  <c:v>4.5305099999999996</c:v>
                </c:pt>
                <c:pt idx="24">
                  <c:v>4.5014199999999995</c:v>
                </c:pt>
                <c:pt idx="25">
                  <c:v>4.4734099999999994</c:v>
                </c:pt>
                <c:pt idx="26">
                  <c:v>4.4487800000000002</c:v>
                </c:pt>
                <c:pt idx="27">
                  <c:v>4.4201199999999998</c:v>
                </c:pt>
                <c:pt idx="28">
                  <c:v>4.3896899999999999</c:v>
                </c:pt>
                <c:pt idx="29">
                  <c:v>4.3645899999999997</c:v>
                </c:pt>
                <c:pt idx="30">
                  <c:v>4.3413000000000004</c:v>
                </c:pt>
                <c:pt idx="31">
                  <c:v>4.3192599999999999</c:v>
                </c:pt>
                <c:pt idx="32">
                  <c:v>4.2988599999999995</c:v>
                </c:pt>
                <c:pt idx="33">
                  <c:v>4.2779400000000001</c:v>
                </c:pt>
                <c:pt idx="34">
                  <c:v>4.2555199999999997</c:v>
                </c:pt>
                <c:pt idx="35">
                  <c:v>4.2340100000000005</c:v>
                </c:pt>
                <c:pt idx="36">
                  <c:v>4.2142800000000005</c:v>
                </c:pt>
                <c:pt idx="37">
                  <c:v>4.1970900000000002</c:v>
                </c:pt>
                <c:pt idx="38">
                  <c:v>4.1807999999999996</c:v>
                </c:pt>
                <c:pt idx="39">
                  <c:v>4.16411</c:v>
                </c:pt>
                <c:pt idx="40">
                  <c:v>4.1473100000000001</c:v>
                </c:pt>
                <c:pt idx="41">
                  <c:v>4.1301600000000001</c:v>
                </c:pt>
                <c:pt idx="42">
                  <c:v>4.1135299999999999</c:v>
                </c:pt>
                <c:pt idx="43">
                  <c:v>4.0956799999999998</c:v>
                </c:pt>
                <c:pt idx="44">
                  <c:v>4.0770600000000004</c:v>
                </c:pt>
                <c:pt idx="45">
                  <c:v>4.0578099999999999</c:v>
                </c:pt>
                <c:pt idx="46">
                  <c:v>4.0403400000000005</c:v>
                </c:pt>
                <c:pt idx="47">
                  <c:v>4.0281599999999997</c:v>
                </c:pt>
                <c:pt idx="48">
                  <c:v>4.0207300000000004</c:v>
                </c:pt>
                <c:pt idx="49">
                  <c:v>4.01952</c:v>
                </c:pt>
                <c:pt idx="50">
                  <c:v>4.0188100000000002</c:v>
                </c:pt>
                <c:pt idx="51">
                  <c:v>4.0168900000000001</c:v>
                </c:pt>
                <c:pt idx="52">
                  <c:v>4.0151900000000005</c:v>
                </c:pt>
                <c:pt idx="53">
                  <c:v>4.0143800000000001</c:v>
                </c:pt>
                <c:pt idx="54">
                  <c:v>4.0130600000000003</c:v>
                </c:pt>
                <c:pt idx="55">
                  <c:v>4.0108700000000006</c:v>
                </c:pt>
                <c:pt idx="56">
                  <c:v>4.0081199999999999</c:v>
                </c:pt>
                <c:pt idx="57">
                  <c:v>4.0038200000000002</c:v>
                </c:pt>
                <c:pt idx="58">
                  <c:v>3.9969999999999999</c:v>
                </c:pt>
                <c:pt idx="59">
                  <c:v>3.9911300000000001</c:v>
                </c:pt>
                <c:pt idx="60">
                  <c:v>3.9874700000000001</c:v>
                </c:pt>
                <c:pt idx="61">
                  <c:v>3.98272</c:v>
                </c:pt>
                <c:pt idx="62">
                  <c:v>3.9771000000000001</c:v>
                </c:pt>
                <c:pt idx="63">
                  <c:v>3.9717799999999999</c:v>
                </c:pt>
                <c:pt idx="64">
                  <c:v>3.9666800000000002</c:v>
                </c:pt>
                <c:pt idx="65">
                  <c:v>3.9670000000000001</c:v>
                </c:pt>
                <c:pt idx="66">
                  <c:v>3.9673599999999998</c:v>
                </c:pt>
                <c:pt idx="67">
                  <c:v>3.96645</c:v>
                </c:pt>
                <c:pt idx="68">
                  <c:v>3.9648299999999996</c:v>
                </c:pt>
                <c:pt idx="69">
                  <c:v>3.9652099999999999</c:v>
                </c:pt>
                <c:pt idx="70">
                  <c:v>3.9674199999999997</c:v>
                </c:pt>
                <c:pt idx="71">
                  <c:v>3.9669599999999998</c:v>
                </c:pt>
                <c:pt idx="72">
                  <c:v>3.9646699999999999</c:v>
                </c:pt>
                <c:pt idx="73">
                  <c:v>3.9620800000000003</c:v>
                </c:pt>
                <c:pt idx="74">
                  <c:v>3.95634</c:v>
                </c:pt>
                <c:pt idx="75">
                  <c:v>3.9500299999999999</c:v>
                </c:pt>
                <c:pt idx="76">
                  <c:v>3.9458199999999999</c:v>
                </c:pt>
                <c:pt idx="77">
                  <c:v>3.9417999999999997</c:v>
                </c:pt>
                <c:pt idx="78">
                  <c:v>3.9344099999999997</c:v>
                </c:pt>
                <c:pt idx="79">
                  <c:v>3.9250800000000003</c:v>
                </c:pt>
                <c:pt idx="80">
                  <c:v>3.9161200000000003</c:v>
                </c:pt>
                <c:pt idx="81">
                  <c:v>3.9073799999999999</c:v>
                </c:pt>
                <c:pt idx="82">
                  <c:v>3.9013499999999999</c:v>
                </c:pt>
                <c:pt idx="83">
                  <c:v>3.89907</c:v>
                </c:pt>
                <c:pt idx="84">
                  <c:v>3.8977400000000002</c:v>
                </c:pt>
                <c:pt idx="85">
                  <c:v>3.89635</c:v>
                </c:pt>
                <c:pt idx="86">
                  <c:v>3.8978800000000002</c:v>
                </c:pt>
                <c:pt idx="87">
                  <c:v>3.9019199999999996</c:v>
                </c:pt>
                <c:pt idx="88">
                  <c:v>3.90496</c:v>
                </c:pt>
                <c:pt idx="89">
                  <c:v>3.9058199999999998</c:v>
                </c:pt>
                <c:pt idx="90">
                  <c:v>3.8978200000000003</c:v>
                </c:pt>
                <c:pt idx="91">
                  <c:v>3.8929599999999995</c:v>
                </c:pt>
                <c:pt idx="92">
                  <c:v>3.8872</c:v>
                </c:pt>
                <c:pt idx="93">
                  <c:v>3.9014799999999998</c:v>
                </c:pt>
                <c:pt idx="94">
                  <c:v>3.9102199999999998</c:v>
                </c:pt>
                <c:pt idx="95">
                  <c:v>3.8986199999999998</c:v>
                </c:pt>
                <c:pt idx="96">
                  <c:v>3.9081999999999999</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4.8835800000000003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4.8835800000000003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4.8835800000000003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4.8835800000000003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4.8835800000000003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4.8835800000000003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4.8835800000000003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4.8835800000000003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4.8835800000000003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4.8835800000000003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4.8835800000000003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4.8835800000000003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4.8835800000000003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4.8835800000000003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4.8835800000000003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4.8835800000000003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4.8835800000000003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4.8835800000000003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4.8835800000000003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4.8835800000000003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4.8835800000000003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4.8835800000000003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4.8835800000000003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4.8835800000000003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0.40446199999999999</c:v>
                </c:pt>
                <c:pt idx="2">
                  <c:v>0.80959199999999998</c:v>
                </c:pt>
                <c:pt idx="3">
                  <c:v>1.2161999999999999</c:v>
                </c:pt>
                <c:pt idx="4">
                  <c:v>1.62202</c:v>
                </c:pt>
                <c:pt idx="5">
                  <c:v>2.0300500000000001</c:v>
                </c:pt>
                <c:pt idx="6">
                  <c:v>2.4369499999999999</c:v>
                </c:pt>
                <c:pt idx="7">
                  <c:v>2.8413900000000001</c:v>
                </c:pt>
                <c:pt idx="8">
                  <c:v>3.2499099999999999</c:v>
                </c:pt>
                <c:pt idx="9">
                  <c:v>3.6543100000000002</c:v>
                </c:pt>
                <c:pt idx="10">
                  <c:v>4.0610400000000002</c:v>
                </c:pt>
                <c:pt idx="11">
                  <c:v>4.4660099999999998</c:v>
                </c:pt>
                <c:pt idx="12">
                  <c:v>4.8718300000000001</c:v>
                </c:pt>
                <c:pt idx="13">
                  <c:v>5.2807399999999998</c:v>
                </c:pt>
                <c:pt idx="14">
                  <c:v>5.6871299999999998</c:v>
                </c:pt>
                <c:pt idx="15">
                  <c:v>6.0903799999999997</c:v>
                </c:pt>
                <c:pt idx="16">
                  <c:v>6.4995500000000002</c:v>
                </c:pt>
                <c:pt idx="17">
                  <c:v>6.9037600000000001</c:v>
                </c:pt>
                <c:pt idx="18">
                  <c:v>7.3120200000000004</c:v>
                </c:pt>
                <c:pt idx="19">
                  <c:v>7.7178399999999998</c:v>
                </c:pt>
                <c:pt idx="20">
                  <c:v>8.1254799999999996</c:v>
                </c:pt>
                <c:pt idx="21">
                  <c:v>8.52956</c:v>
                </c:pt>
                <c:pt idx="22">
                  <c:v>8.9352699999999992</c:v>
                </c:pt>
                <c:pt idx="23">
                  <c:v>9.3403600000000004</c:v>
                </c:pt>
                <c:pt idx="24">
                  <c:v>9.7490000000000006</c:v>
                </c:pt>
                <c:pt idx="25">
                  <c:v>10.1539</c:v>
                </c:pt>
                <c:pt idx="26">
                  <c:v>10.562200000000001</c:v>
                </c:pt>
                <c:pt idx="27">
                  <c:v>10.9686</c:v>
                </c:pt>
                <c:pt idx="28">
                  <c:v>11.3721</c:v>
                </c:pt>
                <c:pt idx="29">
                  <c:v>11.7818</c:v>
                </c:pt>
                <c:pt idx="30">
                  <c:v>12.1854</c:v>
                </c:pt>
                <c:pt idx="31">
                  <c:v>12.5938</c:v>
                </c:pt>
                <c:pt idx="32">
                  <c:v>12.9998</c:v>
                </c:pt>
                <c:pt idx="33">
                  <c:v>13.4057</c:v>
                </c:pt>
                <c:pt idx="34">
                  <c:v>13.812799999999999</c:v>
                </c:pt>
                <c:pt idx="35">
                  <c:v>14.2178</c:v>
                </c:pt>
                <c:pt idx="36">
                  <c:v>14.6227</c:v>
                </c:pt>
                <c:pt idx="37">
                  <c:v>15.0305</c:v>
                </c:pt>
                <c:pt idx="38">
                  <c:v>15.4346</c:v>
                </c:pt>
                <c:pt idx="39">
                  <c:v>15.846299999999999</c:v>
                </c:pt>
                <c:pt idx="40">
                  <c:v>16.252300000000002</c:v>
                </c:pt>
                <c:pt idx="41">
                  <c:v>16.6554</c:v>
                </c:pt>
                <c:pt idx="42">
                  <c:v>17.0609</c:v>
                </c:pt>
                <c:pt idx="43">
                  <c:v>17.468</c:v>
                </c:pt>
                <c:pt idx="44">
                  <c:v>17.8766</c:v>
                </c:pt>
                <c:pt idx="45">
                  <c:v>18.2804</c:v>
                </c:pt>
                <c:pt idx="46">
                  <c:v>18.685600000000001</c:v>
                </c:pt>
                <c:pt idx="47">
                  <c:v>19.095400000000001</c:v>
                </c:pt>
                <c:pt idx="48">
                  <c:v>19.497699999999998</c:v>
                </c:pt>
                <c:pt idx="49">
                  <c:v>19.904800000000002</c:v>
                </c:pt>
                <c:pt idx="50">
                  <c:v>20.3125</c:v>
                </c:pt>
                <c:pt idx="51">
                  <c:v>20.718299999999999</c:v>
                </c:pt>
                <c:pt idx="52">
                  <c:v>21.125299999999999</c:v>
                </c:pt>
                <c:pt idx="53">
                  <c:v>21.531400000000001</c:v>
                </c:pt>
                <c:pt idx="54">
                  <c:v>21.936</c:v>
                </c:pt>
                <c:pt idx="55">
                  <c:v>22.341100000000001</c:v>
                </c:pt>
                <c:pt idx="56">
                  <c:v>22.75</c:v>
                </c:pt>
                <c:pt idx="57">
                  <c:v>23.153300000000002</c:v>
                </c:pt>
                <c:pt idx="58">
                  <c:v>23.562200000000001</c:v>
                </c:pt>
                <c:pt idx="59">
                  <c:v>23.968800000000002</c:v>
                </c:pt>
                <c:pt idx="60">
                  <c:v>24.372399999999999</c:v>
                </c:pt>
                <c:pt idx="61">
                  <c:v>24.78</c:v>
                </c:pt>
                <c:pt idx="62">
                  <c:v>25.1861</c:v>
                </c:pt>
                <c:pt idx="63">
                  <c:v>25.591899999999999</c:v>
                </c:pt>
                <c:pt idx="64">
                  <c:v>25.999500000000001</c:v>
                </c:pt>
                <c:pt idx="65">
                  <c:v>26.404199999999999</c:v>
                </c:pt>
                <c:pt idx="66">
                  <c:v>26.8096</c:v>
                </c:pt>
                <c:pt idx="67">
                  <c:v>27.222200000000001</c:v>
                </c:pt>
                <c:pt idx="68">
                  <c:v>27.623000000000001</c:v>
                </c:pt>
                <c:pt idx="69">
                  <c:v>28.029599999999999</c:v>
                </c:pt>
                <c:pt idx="70">
                  <c:v>28.4375</c:v>
                </c:pt>
                <c:pt idx="71">
                  <c:v>28.8429</c:v>
                </c:pt>
                <c:pt idx="72">
                  <c:v>29.2532</c:v>
                </c:pt>
                <c:pt idx="73">
                  <c:v>29.654499999999999</c:v>
                </c:pt>
                <c:pt idx="74">
                  <c:v>30.062200000000001</c:v>
                </c:pt>
                <c:pt idx="75">
                  <c:v>30.466699999999999</c:v>
                </c:pt>
                <c:pt idx="76">
                  <c:v>30.8749</c:v>
                </c:pt>
                <c:pt idx="77">
                  <c:v>31.2822</c:v>
                </c:pt>
                <c:pt idx="78">
                  <c:v>31.685199999999998</c:v>
                </c:pt>
                <c:pt idx="79">
                  <c:v>32.092300000000002</c:v>
                </c:pt>
                <c:pt idx="80">
                  <c:v>32.4985</c:v>
                </c:pt>
                <c:pt idx="81">
                  <c:v>32.906100000000002</c:v>
                </c:pt>
                <c:pt idx="82">
                  <c:v>33.313400000000001</c:v>
                </c:pt>
                <c:pt idx="83">
                  <c:v>33.719000000000001</c:v>
                </c:pt>
                <c:pt idx="84">
                  <c:v>34.123399999999997</c:v>
                </c:pt>
                <c:pt idx="85">
                  <c:v>34.529200000000003</c:v>
                </c:pt>
                <c:pt idx="86">
                  <c:v>34.934800000000003</c:v>
                </c:pt>
                <c:pt idx="87">
                  <c:v>35.344099999999997</c:v>
                </c:pt>
                <c:pt idx="88">
                  <c:v>35.749099999999999</c:v>
                </c:pt>
                <c:pt idx="89">
                  <c:v>36.1526</c:v>
                </c:pt>
                <c:pt idx="90">
                  <c:v>36.563899999999997</c:v>
                </c:pt>
                <c:pt idx="91">
                  <c:v>36.969000000000001</c:v>
                </c:pt>
                <c:pt idx="92">
                  <c:v>37.375</c:v>
                </c:pt>
                <c:pt idx="93">
                  <c:v>37.780500000000004</c:v>
                </c:pt>
                <c:pt idx="94">
                  <c:v>38.186500000000002</c:v>
                </c:pt>
                <c:pt idx="95">
                  <c:v>38.593299999999999</c:v>
                </c:pt>
                <c:pt idx="96">
                  <c:v>39.0002</c:v>
                </c:pt>
              </c:numCache>
            </c:numRef>
          </c:xVal>
          <c:yVal>
            <c:numRef>
              <c:f>FT!$K$2:$K$2000</c:f>
              <c:numCache>
                <c:formatCode>General</c:formatCode>
                <c:ptCount val="1999"/>
                <c:pt idx="0">
                  <c:v>30.503299999999999</c:v>
                </c:pt>
                <c:pt idx="1">
                  <c:v>30.536799999999996</c:v>
                </c:pt>
                <c:pt idx="2">
                  <c:v>30.521700000000003</c:v>
                </c:pt>
                <c:pt idx="3">
                  <c:v>30.462199999999999</c:v>
                </c:pt>
                <c:pt idx="4">
                  <c:v>30.349299999999999</c:v>
                </c:pt>
                <c:pt idx="5">
                  <c:v>30.169499999999999</c:v>
                </c:pt>
                <c:pt idx="6">
                  <c:v>29.9375</c:v>
                </c:pt>
                <c:pt idx="7">
                  <c:v>29.6342</c:v>
                </c:pt>
                <c:pt idx="8">
                  <c:v>29.269499999999997</c:v>
                </c:pt>
                <c:pt idx="9">
                  <c:v>28.926500000000001</c:v>
                </c:pt>
                <c:pt idx="10">
                  <c:v>28.598200000000002</c:v>
                </c:pt>
                <c:pt idx="11">
                  <c:v>28.2682</c:v>
                </c:pt>
                <c:pt idx="12">
                  <c:v>27.983400000000003</c:v>
                </c:pt>
                <c:pt idx="13">
                  <c:v>27.7926</c:v>
                </c:pt>
                <c:pt idx="14">
                  <c:v>27.704899999999999</c:v>
                </c:pt>
                <c:pt idx="15">
                  <c:v>27.613900000000001</c:v>
                </c:pt>
                <c:pt idx="16">
                  <c:v>27.649699999999999</c:v>
                </c:pt>
                <c:pt idx="17">
                  <c:v>27.721600000000002</c:v>
                </c:pt>
                <c:pt idx="18">
                  <c:v>27.686300000000003</c:v>
                </c:pt>
                <c:pt idx="19">
                  <c:v>27.575100000000003</c:v>
                </c:pt>
                <c:pt idx="20">
                  <c:v>27.459099999999996</c:v>
                </c:pt>
                <c:pt idx="21">
                  <c:v>27.362300000000001</c:v>
                </c:pt>
                <c:pt idx="22">
                  <c:v>27.316600000000001</c:v>
                </c:pt>
                <c:pt idx="23">
                  <c:v>27.273900000000001</c:v>
                </c:pt>
                <c:pt idx="24">
                  <c:v>27.222099999999998</c:v>
                </c:pt>
                <c:pt idx="25">
                  <c:v>27.165499999999998</c:v>
                </c:pt>
                <c:pt idx="26">
                  <c:v>27.077500000000001</c:v>
                </c:pt>
                <c:pt idx="27">
                  <c:v>27.013100000000001</c:v>
                </c:pt>
                <c:pt idx="28">
                  <c:v>26.993499999999997</c:v>
                </c:pt>
                <c:pt idx="29">
                  <c:v>26.984200000000001</c:v>
                </c:pt>
                <c:pt idx="30">
                  <c:v>26.959300000000002</c:v>
                </c:pt>
                <c:pt idx="31">
                  <c:v>26.980799999999999</c:v>
                </c:pt>
                <c:pt idx="32">
                  <c:v>27.0776</c:v>
                </c:pt>
                <c:pt idx="33">
                  <c:v>27.253399999999999</c:v>
                </c:pt>
                <c:pt idx="34">
                  <c:v>27.475500000000004</c:v>
                </c:pt>
                <c:pt idx="35">
                  <c:v>27.691900000000004</c:v>
                </c:pt>
                <c:pt idx="36">
                  <c:v>27.953600000000002</c:v>
                </c:pt>
                <c:pt idx="37">
                  <c:v>28.150199999999998</c:v>
                </c:pt>
                <c:pt idx="38">
                  <c:v>28.291</c:v>
                </c:pt>
                <c:pt idx="39">
                  <c:v>28.385400000000001</c:v>
                </c:pt>
                <c:pt idx="40">
                  <c:v>28.440300000000001</c:v>
                </c:pt>
                <c:pt idx="41">
                  <c:v>28.453200000000002</c:v>
                </c:pt>
                <c:pt idx="42">
                  <c:v>28.447199999999999</c:v>
                </c:pt>
                <c:pt idx="43">
                  <c:v>28.402899999999999</c:v>
                </c:pt>
                <c:pt idx="44">
                  <c:v>28.326400000000003</c:v>
                </c:pt>
                <c:pt idx="45">
                  <c:v>28.237400000000001</c:v>
                </c:pt>
                <c:pt idx="46">
                  <c:v>28.027899999999999</c:v>
                </c:pt>
                <c:pt idx="47">
                  <c:v>27.7057</c:v>
                </c:pt>
                <c:pt idx="48">
                  <c:v>27.362199999999998</c:v>
                </c:pt>
                <c:pt idx="49">
                  <c:v>26.948399999999999</c:v>
                </c:pt>
                <c:pt idx="50">
                  <c:v>26.5519</c:v>
                </c:pt>
                <c:pt idx="51">
                  <c:v>26.209300000000002</c:v>
                </c:pt>
                <c:pt idx="52">
                  <c:v>25.848199999999999</c:v>
                </c:pt>
                <c:pt idx="53">
                  <c:v>25.512</c:v>
                </c:pt>
                <c:pt idx="54">
                  <c:v>25.219200000000004</c:v>
                </c:pt>
                <c:pt idx="55">
                  <c:v>24.986599999999999</c:v>
                </c:pt>
                <c:pt idx="56">
                  <c:v>24.7608</c:v>
                </c:pt>
                <c:pt idx="57">
                  <c:v>24.520800000000001</c:v>
                </c:pt>
                <c:pt idx="58">
                  <c:v>24.3292</c:v>
                </c:pt>
                <c:pt idx="59">
                  <c:v>24.0701</c:v>
                </c:pt>
                <c:pt idx="60">
                  <c:v>23.774999999999999</c:v>
                </c:pt>
                <c:pt idx="61">
                  <c:v>23.500599999999999</c:v>
                </c:pt>
                <c:pt idx="62">
                  <c:v>23.288900000000002</c:v>
                </c:pt>
                <c:pt idx="63">
                  <c:v>23.1294</c:v>
                </c:pt>
                <c:pt idx="64">
                  <c:v>23.003399999999999</c:v>
                </c:pt>
                <c:pt idx="65">
                  <c:v>22.82</c:v>
                </c:pt>
                <c:pt idx="66">
                  <c:v>22.645799999999998</c:v>
                </c:pt>
                <c:pt idx="67">
                  <c:v>22.423399999999997</c:v>
                </c:pt>
                <c:pt idx="68">
                  <c:v>22.237299999999998</c:v>
                </c:pt>
                <c:pt idx="69">
                  <c:v>22.054499999999997</c:v>
                </c:pt>
                <c:pt idx="70">
                  <c:v>21.8843</c:v>
                </c:pt>
                <c:pt idx="71">
                  <c:v>21.784600000000001</c:v>
                </c:pt>
                <c:pt idx="72">
                  <c:v>21.714600000000001</c:v>
                </c:pt>
                <c:pt idx="73">
                  <c:v>21.675599999999999</c:v>
                </c:pt>
                <c:pt idx="74">
                  <c:v>21.686700000000002</c:v>
                </c:pt>
                <c:pt idx="75">
                  <c:v>21.697900000000001</c:v>
                </c:pt>
                <c:pt idx="76">
                  <c:v>21.686900000000001</c:v>
                </c:pt>
                <c:pt idx="77">
                  <c:v>21.7347</c:v>
                </c:pt>
                <c:pt idx="78">
                  <c:v>21.823600000000003</c:v>
                </c:pt>
                <c:pt idx="79">
                  <c:v>21.895099999999999</c:v>
                </c:pt>
                <c:pt idx="80">
                  <c:v>21.918299999999999</c:v>
                </c:pt>
                <c:pt idx="81">
                  <c:v>21.912799999999997</c:v>
                </c:pt>
                <c:pt idx="82">
                  <c:v>21.875399999999999</c:v>
                </c:pt>
                <c:pt idx="83">
                  <c:v>21.749700000000001</c:v>
                </c:pt>
                <c:pt idx="84">
                  <c:v>21.676300000000001</c:v>
                </c:pt>
                <c:pt idx="85">
                  <c:v>21.585699999999999</c:v>
                </c:pt>
                <c:pt idx="86">
                  <c:v>21.3751</c:v>
                </c:pt>
                <c:pt idx="87">
                  <c:v>21.042300000000001</c:v>
                </c:pt>
                <c:pt idx="88">
                  <c:v>20.676300000000001</c:v>
                </c:pt>
                <c:pt idx="89">
                  <c:v>20.308399999999999</c:v>
                </c:pt>
                <c:pt idx="90">
                  <c:v>20.11</c:v>
                </c:pt>
                <c:pt idx="91">
                  <c:v>19.8325</c:v>
                </c:pt>
                <c:pt idx="92">
                  <c:v>19.723099999999999</c:v>
                </c:pt>
                <c:pt idx="93">
                  <c:v>19.575500000000002</c:v>
                </c:pt>
                <c:pt idx="94">
                  <c:v>19.601900000000001</c:v>
                </c:pt>
                <c:pt idx="95">
                  <c:v>19.8384</c:v>
                </c:pt>
                <c:pt idx="96">
                  <c:v>19.9998</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30.503299999999999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30.503299999999999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30.503299999999999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30.503299999999999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30.503299999999999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30.503299999999999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30.503299999999999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30.503299999999999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30.503299999999999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30.503299999999999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30.503299999999999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30.503299999999999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30.503299999999999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30.503299999999999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30.503299999999999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30.503299999999999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30.503299999999999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30.503299999999999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30.503299999999999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30.503299999999999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30.503299999999999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30.503299999999999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30.503299999999999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30.503299999999999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0.40446199999999999</c:v>
                </c:pt>
                <c:pt idx="2">
                  <c:v>0.80959199999999998</c:v>
                </c:pt>
                <c:pt idx="3">
                  <c:v>1.2161999999999999</c:v>
                </c:pt>
                <c:pt idx="4">
                  <c:v>1.62202</c:v>
                </c:pt>
                <c:pt idx="5">
                  <c:v>2.0300500000000001</c:v>
                </c:pt>
                <c:pt idx="6">
                  <c:v>2.4369499999999999</c:v>
                </c:pt>
                <c:pt idx="7">
                  <c:v>2.8413900000000001</c:v>
                </c:pt>
                <c:pt idx="8">
                  <c:v>3.2499099999999999</c:v>
                </c:pt>
                <c:pt idx="9">
                  <c:v>3.6543100000000002</c:v>
                </c:pt>
                <c:pt idx="10">
                  <c:v>4.0610400000000002</c:v>
                </c:pt>
                <c:pt idx="11">
                  <c:v>4.4660099999999998</c:v>
                </c:pt>
                <c:pt idx="12">
                  <c:v>4.8718300000000001</c:v>
                </c:pt>
                <c:pt idx="13">
                  <c:v>5.2807399999999998</c:v>
                </c:pt>
                <c:pt idx="14">
                  <c:v>5.6871299999999998</c:v>
                </c:pt>
                <c:pt idx="15">
                  <c:v>6.0903799999999997</c:v>
                </c:pt>
                <c:pt idx="16">
                  <c:v>6.4995500000000002</c:v>
                </c:pt>
                <c:pt idx="17">
                  <c:v>6.9037600000000001</c:v>
                </c:pt>
                <c:pt idx="18">
                  <c:v>7.3120200000000004</c:v>
                </c:pt>
                <c:pt idx="19">
                  <c:v>7.7178399999999998</c:v>
                </c:pt>
                <c:pt idx="20">
                  <c:v>8.1254799999999996</c:v>
                </c:pt>
                <c:pt idx="21">
                  <c:v>8.52956</c:v>
                </c:pt>
                <c:pt idx="22">
                  <c:v>8.9352699999999992</c:v>
                </c:pt>
                <c:pt idx="23">
                  <c:v>9.3403600000000004</c:v>
                </c:pt>
                <c:pt idx="24">
                  <c:v>9.7490000000000006</c:v>
                </c:pt>
                <c:pt idx="25">
                  <c:v>10.1539</c:v>
                </c:pt>
                <c:pt idx="26">
                  <c:v>10.562200000000001</c:v>
                </c:pt>
                <c:pt idx="27">
                  <c:v>10.9686</c:v>
                </c:pt>
                <c:pt idx="28">
                  <c:v>11.3721</c:v>
                </c:pt>
                <c:pt idx="29">
                  <c:v>11.7818</c:v>
                </c:pt>
                <c:pt idx="30">
                  <c:v>12.1854</c:v>
                </c:pt>
                <c:pt idx="31">
                  <c:v>12.5938</c:v>
                </c:pt>
                <c:pt idx="32">
                  <c:v>12.9998</c:v>
                </c:pt>
                <c:pt idx="33">
                  <c:v>13.4057</c:v>
                </c:pt>
                <c:pt idx="34">
                  <c:v>13.812799999999999</c:v>
                </c:pt>
                <c:pt idx="35">
                  <c:v>14.2178</c:v>
                </c:pt>
                <c:pt idx="36">
                  <c:v>14.6227</c:v>
                </c:pt>
                <c:pt idx="37">
                  <c:v>15.0305</c:v>
                </c:pt>
                <c:pt idx="38">
                  <c:v>15.4346</c:v>
                </c:pt>
                <c:pt idx="39">
                  <c:v>15.846299999999999</c:v>
                </c:pt>
                <c:pt idx="40">
                  <c:v>16.252300000000002</c:v>
                </c:pt>
                <c:pt idx="41">
                  <c:v>16.6554</c:v>
                </c:pt>
                <c:pt idx="42">
                  <c:v>17.0609</c:v>
                </c:pt>
                <c:pt idx="43">
                  <c:v>17.468</c:v>
                </c:pt>
                <c:pt idx="44">
                  <c:v>17.8766</c:v>
                </c:pt>
                <c:pt idx="45">
                  <c:v>18.2804</c:v>
                </c:pt>
                <c:pt idx="46">
                  <c:v>18.685600000000001</c:v>
                </c:pt>
                <c:pt idx="47">
                  <c:v>19.095400000000001</c:v>
                </c:pt>
                <c:pt idx="48">
                  <c:v>19.497699999999998</c:v>
                </c:pt>
                <c:pt idx="49">
                  <c:v>19.904800000000002</c:v>
                </c:pt>
                <c:pt idx="50">
                  <c:v>20.3125</c:v>
                </c:pt>
                <c:pt idx="51">
                  <c:v>20.718299999999999</c:v>
                </c:pt>
                <c:pt idx="52">
                  <c:v>21.125299999999999</c:v>
                </c:pt>
                <c:pt idx="53">
                  <c:v>21.531400000000001</c:v>
                </c:pt>
                <c:pt idx="54">
                  <c:v>21.936</c:v>
                </c:pt>
                <c:pt idx="55">
                  <c:v>22.341100000000001</c:v>
                </c:pt>
                <c:pt idx="56">
                  <c:v>22.75</c:v>
                </c:pt>
                <c:pt idx="57">
                  <c:v>23.153300000000002</c:v>
                </c:pt>
                <c:pt idx="58">
                  <c:v>23.562200000000001</c:v>
                </c:pt>
                <c:pt idx="59">
                  <c:v>23.968800000000002</c:v>
                </c:pt>
                <c:pt idx="60">
                  <c:v>24.372399999999999</c:v>
                </c:pt>
                <c:pt idx="61">
                  <c:v>24.78</c:v>
                </c:pt>
                <c:pt idx="62">
                  <c:v>25.1861</c:v>
                </c:pt>
                <c:pt idx="63">
                  <c:v>25.591899999999999</c:v>
                </c:pt>
                <c:pt idx="64">
                  <c:v>25.999500000000001</c:v>
                </c:pt>
                <c:pt idx="65">
                  <c:v>26.404199999999999</c:v>
                </c:pt>
                <c:pt idx="66">
                  <c:v>26.8096</c:v>
                </c:pt>
                <c:pt idx="67">
                  <c:v>27.222200000000001</c:v>
                </c:pt>
                <c:pt idx="68">
                  <c:v>27.623000000000001</c:v>
                </c:pt>
                <c:pt idx="69">
                  <c:v>28.029599999999999</c:v>
                </c:pt>
                <c:pt idx="70">
                  <c:v>28.4375</c:v>
                </c:pt>
                <c:pt idx="71">
                  <c:v>28.8429</c:v>
                </c:pt>
                <c:pt idx="72">
                  <c:v>29.2532</c:v>
                </c:pt>
                <c:pt idx="73">
                  <c:v>29.654499999999999</c:v>
                </c:pt>
                <c:pt idx="74">
                  <c:v>30.062200000000001</c:v>
                </c:pt>
                <c:pt idx="75">
                  <c:v>30.466699999999999</c:v>
                </c:pt>
                <c:pt idx="76">
                  <c:v>30.8749</c:v>
                </c:pt>
                <c:pt idx="77">
                  <c:v>31.2822</c:v>
                </c:pt>
                <c:pt idx="78">
                  <c:v>31.685199999999998</c:v>
                </c:pt>
                <c:pt idx="79">
                  <c:v>32.092300000000002</c:v>
                </c:pt>
                <c:pt idx="80">
                  <c:v>32.4985</c:v>
                </c:pt>
                <c:pt idx="81">
                  <c:v>32.906100000000002</c:v>
                </c:pt>
                <c:pt idx="82">
                  <c:v>33.313400000000001</c:v>
                </c:pt>
                <c:pt idx="83">
                  <c:v>33.719000000000001</c:v>
                </c:pt>
                <c:pt idx="84">
                  <c:v>34.123399999999997</c:v>
                </c:pt>
                <c:pt idx="85">
                  <c:v>34.529200000000003</c:v>
                </c:pt>
                <c:pt idx="86">
                  <c:v>34.934800000000003</c:v>
                </c:pt>
                <c:pt idx="87">
                  <c:v>35.344099999999997</c:v>
                </c:pt>
                <c:pt idx="88">
                  <c:v>35.749099999999999</c:v>
                </c:pt>
                <c:pt idx="89">
                  <c:v>36.1526</c:v>
                </c:pt>
                <c:pt idx="90">
                  <c:v>36.563899999999997</c:v>
                </c:pt>
                <c:pt idx="91">
                  <c:v>36.969000000000001</c:v>
                </c:pt>
                <c:pt idx="92">
                  <c:v>37.375</c:v>
                </c:pt>
                <c:pt idx="93">
                  <c:v>37.780500000000004</c:v>
                </c:pt>
                <c:pt idx="94">
                  <c:v>38.186500000000002</c:v>
                </c:pt>
                <c:pt idx="95">
                  <c:v>38.593299999999999</c:v>
                </c:pt>
                <c:pt idx="96">
                  <c:v>39.0002</c:v>
                </c:pt>
              </c:numCache>
            </c:numRef>
          </c:xVal>
          <c:yVal>
            <c:numRef>
              <c:f>FT!$L$2:$L$2000</c:f>
              <c:numCache>
                <c:formatCode>General</c:formatCode>
                <c:ptCount val="1999"/>
                <c:pt idx="0">
                  <c:v>6.2460940539522234</c:v>
                </c:pt>
                <c:pt idx="1">
                  <c:v>6.2412089675173759</c:v>
                </c:pt>
                <c:pt idx="2">
                  <c:v>6.2228479157067182</c:v>
                </c:pt>
                <c:pt idx="3">
                  <c:v>6.1959369304868526</c:v>
                </c:pt>
                <c:pt idx="4">
                  <c:v>6.1621317609890509</c:v>
                </c:pt>
                <c:pt idx="5">
                  <c:v>6.1214117016873217</c:v>
                </c:pt>
                <c:pt idx="6">
                  <c:v>6.0745852542042718</c:v>
                </c:pt>
                <c:pt idx="7">
                  <c:v>6.0193942053007037</c:v>
                </c:pt>
                <c:pt idx="8">
                  <c:v>5.9549677120082025</c:v>
                </c:pt>
                <c:pt idx="9">
                  <c:v>5.8975420197192978</c:v>
                </c:pt>
                <c:pt idx="10">
                  <c:v>5.8473460374580846</c:v>
                </c:pt>
                <c:pt idx="11">
                  <c:v>5.8024734438343506</c:v>
                </c:pt>
                <c:pt idx="12">
                  <c:v>5.7723558788158833</c:v>
                </c:pt>
                <c:pt idx="13">
                  <c:v>5.7655254248539567</c:v>
                </c:pt>
                <c:pt idx="14">
                  <c:v>5.7814175949382935</c:v>
                </c:pt>
                <c:pt idx="15">
                  <c:v>5.7999600928366641</c:v>
                </c:pt>
                <c:pt idx="16">
                  <c:v>5.8500426327804824</c:v>
                </c:pt>
                <c:pt idx="17">
                  <c:v>5.9067209576347217</c:v>
                </c:pt>
                <c:pt idx="18">
                  <c:v>5.9372272509902064</c:v>
                </c:pt>
                <c:pt idx="19">
                  <c:v>5.9497825073792141</c:v>
                </c:pt>
                <c:pt idx="20">
                  <c:v>5.9567567802088606</c:v>
                </c:pt>
                <c:pt idx="21">
                  <c:v>5.9685282576023626</c:v>
                </c:pt>
                <c:pt idx="22">
                  <c:v>5.9941499294524512</c:v>
                </c:pt>
                <c:pt idx="23">
                  <c:v>6.020050722766312</c:v>
                </c:pt>
                <c:pt idx="24">
                  <c:v>6.0474472499788954</c:v>
                </c:pt>
                <c:pt idx="25">
                  <c:v>6.0726604536583952</c:v>
                </c:pt>
                <c:pt idx="26">
                  <c:v>6.0865001191337846</c:v>
                </c:pt>
                <c:pt idx="27">
                  <c:v>6.1113951657421071</c:v>
                </c:pt>
                <c:pt idx="28">
                  <c:v>6.1492952805323382</c:v>
                </c:pt>
                <c:pt idx="29">
                  <c:v>6.1825280266875016</c:v>
                </c:pt>
                <c:pt idx="30">
                  <c:v>6.2099601501854282</c:v>
                </c:pt>
                <c:pt idx="31">
                  <c:v>6.2466255793816527</c:v>
                </c:pt>
                <c:pt idx="32">
                  <c:v>6.2987861898270712</c:v>
                </c:pt>
                <c:pt idx="33">
                  <c:v>6.3706830857842789</c:v>
                </c:pt>
                <c:pt idx="34">
                  <c:v>6.4564377561379116</c:v>
                </c:pt>
                <c:pt idx="35">
                  <c:v>6.5403482750395021</c:v>
                </c:pt>
                <c:pt idx="36">
                  <c:v>6.6330666211072824</c:v>
                </c:pt>
                <c:pt idx="37">
                  <c:v>6.707075616677268</c:v>
                </c:pt>
                <c:pt idx="38">
                  <c:v>6.7668867202449299</c:v>
                </c:pt>
                <c:pt idx="39">
                  <c:v>6.8166787140589467</c:v>
                </c:pt>
                <c:pt idx="40">
                  <c:v>6.8575293382939781</c:v>
                </c:pt>
                <c:pt idx="41">
                  <c:v>6.8891277819745484</c:v>
                </c:pt>
                <c:pt idx="42">
                  <c:v>6.9155202466008507</c:v>
                </c:pt>
                <c:pt idx="43">
                  <c:v>6.9348435424642547</c:v>
                </c:pt>
                <c:pt idx="44">
                  <c:v>6.9477515660794786</c:v>
                </c:pt>
                <c:pt idx="45">
                  <c:v>6.9587782572372783</c:v>
                </c:pt>
                <c:pt idx="46">
                  <c:v>6.9370152016909454</c:v>
                </c:pt>
                <c:pt idx="47">
                  <c:v>6.8780038528757554</c:v>
                </c:pt>
                <c:pt idx="48">
                  <c:v>6.8052816279630806</c:v>
                </c:pt>
                <c:pt idx="49">
                  <c:v>6.7043826128492956</c:v>
                </c:pt>
                <c:pt idx="50">
                  <c:v>6.6069060244201641</c:v>
                </c:pt>
                <c:pt idx="51">
                  <c:v>6.5247741411888303</c:v>
                </c:pt>
                <c:pt idx="52">
                  <c:v>6.4376032018410072</c:v>
                </c:pt>
                <c:pt idx="53">
                  <c:v>6.3551532241591477</c:v>
                </c:pt>
                <c:pt idx="54">
                  <c:v>6.2842818198581636</c:v>
                </c:pt>
                <c:pt idx="55">
                  <c:v>6.2297207339056104</c:v>
                </c:pt>
                <c:pt idx="56">
                  <c:v>6.1776593515164215</c:v>
                </c:pt>
                <c:pt idx="57">
                  <c:v>6.1243512445614439</c:v>
                </c:pt>
                <c:pt idx="58">
                  <c:v>6.0868651488616461</c:v>
                </c:pt>
                <c:pt idx="59">
                  <c:v>6.0308985174624725</c:v>
                </c:pt>
                <c:pt idx="60">
                  <c:v>5.962427303528302</c:v>
                </c:pt>
                <c:pt idx="61">
                  <c:v>5.9006407681182704</c:v>
                </c:pt>
                <c:pt idx="62">
                  <c:v>5.8557491639636927</c:v>
                </c:pt>
                <c:pt idx="63">
                  <c:v>5.8234343291924526</c:v>
                </c:pt>
                <c:pt idx="64">
                  <c:v>5.7991569776236043</c:v>
                </c:pt>
                <c:pt idx="65">
                  <c:v>5.7524577766574234</c:v>
                </c:pt>
                <c:pt idx="66">
                  <c:v>5.708027504436199</c:v>
                </c:pt>
                <c:pt idx="67">
                  <c:v>5.6532667750759487</c:v>
                </c:pt>
                <c:pt idx="68">
                  <c:v>5.6086389580385543</c:v>
                </c:pt>
                <c:pt idx="69">
                  <c:v>5.5620004993430356</c:v>
                </c:pt>
                <c:pt idx="70">
                  <c:v>5.5160028431575183</c:v>
                </c:pt>
                <c:pt idx="71">
                  <c:v>5.4915098715389119</c:v>
                </c:pt>
                <c:pt idx="72">
                  <c:v>5.4770258306492092</c:v>
                </c:pt>
                <c:pt idx="73">
                  <c:v>5.4707628316439845</c:v>
                </c:pt>
                <c:pt idx="74">
                  <c:v>5.4815056339950567</c:v>
                </c:pt>
                <c:pt idx="75">
                  <c:v>5.4930975207783233</c:v>
                </c:pt>
                <c:pt idx="76">
                  <c:v>5.4961706311995995</c:v>
                </c:pt>
                <c:pt idx="77">
                  <c:v>5.5139022781470395</c:v>
                </c:pt>
                <c:pt idx="78">
                  <c:v>5.5468545474416757</c:v>
                </c:pt>
                <c:pt idx="79">
                  <c:v>5.578255729819519</c:v>
                </c:pt>
                <c:pt idx="80">
                  <c:v>5.5969428924547762</c:v>
                </c:pt>
                <c:pt idx="81">
                  <c:v>5.6080545019936627</c:v>
                </c:pt>
                <c:pt idx="82">
                  <c:v>5.6071359913875964</c:v>
                </c:pt>
                <c:pt idx="83">
                  <c:v>5.5781763343566544</c:v>
                </c:pt>
                <c:pt idx="84">
                  <c:v>5.5612483131250414</c:v>
                </c:pt>
                <c:pt idx="85">
                  <c:v>5.5399797246140619</c:v>
                </c:pt>
                <c:pt idx="86">
                  <c:v>5.483775796073763</c:v>
                </c:pt>
                <c:pt idx="87">
                  <c:v>5.3928066182802317</c:v>
                </c:pt>
                <c:pt idx="88">
                  <c:v>5.2948813816274694</c:v>
                </c:pt>
                <c:pt idx="89">
                  <c:v>5.1995227634658026</c:v>
                </c:pt>
                <c:pt idx="90">
                  <c:v>5.1592941695614467</c:v>
                </c:pt>
                <c:pt idx="91">
                  <c:v>5.0944525502445446</c:v>
                </c:pt>
                <c:pt idx="92">
                  <c:v>5.0738577896686561</c:v>
                </c:pt>
                <c:pt idx="93">
                  <c:v>5.0174549145452501</c:v>
                </c:pt>
                <c:pt idx="94">
                  <c:v>5.0129915963807665</c:v>
                </c:pt>
                <c:pt idx="95">
                  <c:v>5.0885698016221124</c:v>
                </c:pt>
                <c:pt idx="96">
                  <c:v>5.1173941968169494</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1.9696057004281311E-2</c:v>
                </c:pt>
                <c:pt idx="7">
                  <c:v>0</c:v>
                </c:pt>
                <c:pt idx="8">
                  <c:v>4.9361695757612047E-2</c:v>
                </c:pt>
                <c:pt idx="9">
                  <c:v>0</c:v>
                </c:pt>
                <c:pt idx="10">
                  <c:v>0</c:v>
                </c:pt>
                <c:pt idx="11">
                  <c:v>3.4468129696715664E-2</c:v>
                </c:pt>
                <c:pt idx="12">
                  <c:v>0</c:v>
                </c:pt>
                <c:pt idx="13">
                  <c:v>8.6139935930061987E-2</c:v>
                </c:pt>
                <c:pt idx="14">
                  <c:v>0</c:v>
                </c:pt>
                <c:pt idx="15">
                  <c:v>0</c:v>
                </c:pt>
                <c:pt idx="16">
                  <c:v>0.10686925541151462</c:v>
                </c:pt>
                <c:pt idx="17">
                  <c:v>0</c:v>
                </c:pt>
                <c:pt idx="18">
                  <c:v>0</c:v>
                </c:pt>
                <c:pt idx="19">
                  <c:v>0.11702134666626748</c:v>
                </c:pt>
                <c:pt idx="20">
                  <c:v>0</c:v>
                </c:pt>
                <c:pt idx="21">
                  <c:v>0.14455944432801413</c:v>
                </c:pt>
                <c:pt idx="22">
                  <c:v>0</c:v>
                </c:pt>
                <c:pt idx="23">
                  <c:v>0</c:v>
                </c:pt>
                <c:pt idx="24">
                  <c:v>0.17747732103829225</c:v>
                </c:pt>
                <c:pt idx="25">
                  <c:v>0</c:v>
                </c:pt>
                <c:pt idx="26">
                  <c:v>0.14781174216340828</c:v>
                </c:pt>
                <c:pt idx="27">
                  <c:v>0</c:v>
                </c:pt>
                <c:pt idx="28">
                  <c:v>0</c:v>
                </c:pt>
                <c:pt idx="29">
                  <c:v>0.13285710008682375</c:v>
                </c:pt>
                <c:pt idx="30">
                  <c:v>0</c:v>
                </c:pt>
                <c:pt idx="31">
                  <c:v>0.13784198077901857</c:v>
                </c:pt>
                <c:pt idx="32">
                  <c:v>0</c:v>
                </c:pt>
                <c:pt idx="33">
                  <c:v>0</c:v>
                </c:pt>
                <c:pt idx="34">
                  <c:v>0.15027364450166161</c:v>
                </c:pt>
                <c:pt idx="35">
                  <c:v>0</c:v>
                </c:pt>
                <c:pt idx="36">
                  <c:v>0</c:v>
                </c:pt>
                <c:pt idx="37">
                  <c:v>0.1617325828568007</c:v>
                </c:pt>
                <c:pt idx="38">
                  <c:v>0</c:v>
                </c:pt>
                <c:pt idx="39">
                  <c:v>0.20893625939343136</c:v>
                </c:pt>
                <c:pt idx="40">
                  <c:v>0</c:v>
                </c:pt>
                <c:pt idx="41">
                  <c:v>0</c:v>
                </c:pt>
                <c:pt idx="42">
                  <c:v>0.21237088709918864</c:v>
                </c:pt>
                <c:pt idx="43">
                  <c:v>0</c:v>
                </c:pt>
                <c:pt idx="44">
                  <c:v>0.30182329870363162</c:v>
                </c:pt>
                <c:pt idx="45">
                  <c:v>0</c:v>
                </c:pt>
                <c:pt idx="46">
                  <c:v>0</c:v>
                </c:pt>
                <c:pt idx="47">
                  <c:v>0.39285650130235616</c:v>
                </c:pt>
                <c:pt idx="48">
                  <c:v>0</c:v>
                </c:pt>
                <c:pt idx="49">
                  <c:v>0.45045657315649229</c:v>
                </c:pt>
                <c:pt idx="50">
                  <c:v>0</c:v>
                </c:pt>
                <c:pt idx="51">
                  <c:v>0</c:v>
                </c:pt>
                <c:pt idx="52">
                  <c:v>0.50480225142959789</c:v>
                </c:pt>
                <c:pt idx="53">
                  <c:v>0</c:v>
                </c:pt>
                <c:pt idx="54">
                  <c:v>0</c:v>
                </c:pt>
                <c:pt idx="55">
                  <c:v>0.61468219514385802</c:v>
                </c:pt>
                <c:pt idx="56">
                  <c:v>0</c:v>
                </c:pt>
                <c:pt idx="57">
                  <c:v>0.67893775635460019</c:v>
                </c:pt>
                <c:pt idx="58">
                  <c:v>0</c:v>
                </c:pt>
                <c:pt idx="59">
                  <c:v>0</c:v>
                </c:pt>
                <c:pt idx="60">
                  <c:v>0.6524325618993444</c:v>
                </c:pt>
                <c:pt idx="61">
                  <c:v>0</c:v>
                </c:pt>
                <c:pt idx="62">
                  <c:v>0.71620011376904891</c:v>
                </c:pt>
                <c:pt idx="63">
                  <c:v>0</c:v>
                </c:pt>
                <c:pt idx="64">
                  <c:v>0</c:v>
                </c:pt>
                <c:pt idx="65">
                  <c:v>0.74328313523547196</c:v>
                </c:pt>
                <c:pt idx="66">
                  <c:v>0</c:v>
                </c:pt>
                <c:pt idx="67">
                  <c:v>0.70732612796024075</c:v>
                </c:pt>
                <c:pt idx="68">
                  <c:v>0</c:v>
                </c:pt>
                <c:pt idx="69">
                  <c:v>0</c:v>
                </c:pt>
                <c:pt idx="70">
                  <c:v>0.64340588605131577</c:v>
                </c:pt>
                <c:pt idx="71">
                  <c:v>0</c:v>
                </c:pt>
                <c:pt idx="72">
                  <c:v>0</c:v>
                </c:pt>
                <c:pt idx="73">
                  <c:v>0.74817520433519957</c:v>
                </c:pt>
                <c:pt idx="74">
                  <c:v>0</c:v>
                </c:pt>
                <c:pt idx="75">
                  <c:v>0.68212927756653985</c:v>
                </c:pt>
                <c:pt idx="76">
                  <c:v>0</c:v>
                </c:pt>
                <c:pt idx="77">
                  <c:v>0</c:v>
                </c:pt>
                <c:pt idx="78">
                  <c:v>0.71656537229424278</c:v>
                </c:pt>
                <c:pt idx="79">
                  <c:v>0</c:v>
                </c:pt>
                <c:pt idx="80">
                  <c:v>0.62072991826592017</c:v>
                </c:pt>
                <c:pt idx="81">
                  <c:v>0</c:v>
                </c:pt>
                <c:pt idx="82">
                  <c:v>0</c:v>
                </c:pt>
                <c:pt idx="83">
                  <c:v>0.66613873836112691</c:v>
                </c:pt>
                <c:pt idx="84">
                  <c:v>0</c:v>
                </c:pt>
                <c:pt idx="85">
                  <c:v>0</c:v>
                </c:pt>
                <c:pt idx="86">
                  <c:v>0.67209664381305956</c:v>
                </c:pt>
                <c:pt idx="87">
                  <c:v>0</c:v>
                </c:pt>
                <c:pt idx="88">
                  <c:v>0.68264423220861647</c:v>
                </c:pt>
                <c:pt idx="89">
                  <c:v>0</c:v>
                </c:pt>
                <c:pt idx="90">
                  <c:v>0</c:v>
                </c:pt>
                <c:pt idx="91">
                  <c:v>0.77744678303044823</c:v>
                </c:pt>
                <c:pt idx="92">
                  <c:v>0</c:v>
                </c:pt>
                <c:pt idx="93">
                  <c:v>0.65717493488218914</c:v>
                </c:pt>
                <c:pt idx="94">
                  <c:v>0</c:v>
                </c:pt>
                <c:pt idx="95">
                  <c:v>0</c:v>
                </c:pt>
                <c:pt idx="96">
                  <c:v>0.70680817939582641</c:v>
                </c:pt>
                <c:pt idx="97">
                  <c:v>0</c:v>
                </c:pt>
                <c:pt idx="98">
                  <c:v>0.72814586389629055</c:v>
                </c:pt>
                <c:pt idx="99">
                  <c:v>0</c:v>
                </c:pt>
                <c:pt idx="100">
                  <c:v>0</c:v>
                </c:pt>
                <c:pt idx="101">
                  <c:v>0.83656477350977521</c:v>
                </c:pt>
                <c:pt idx="102">
                  <c:v>0</c:v>
                </c:pt>
                <c:pt idx="103">
                  <c:v>0</c:v>
                </c:pt>
                <c:pt idx="104">
                  <c:v>0.78121613125355527</c:v>
                </c:pt>
                <c:pt idx="105">
                  <c:v>0</c:v>
                </c:pt>
                <c:pt idx="106">
                  <c:v>0.92386156103110673</c:v>
                </c:pt>
                <c:pt idx="107">
                  <c:v>0</c:v>
                </c:pt>
                <c:pt idx="108">
                  <c:v>0</c:v>
                </c:pt>
                <c:pt idx="109">
                  <c:v>0.88665608814107366</c:v>
                </c:pt>
                <c:pt idx="110">
                  <c:v>0</c:v>
                </c:pt>
                <c:pt idx="111">
                  <c:v>0.97422532259513184</c:v>
                </c:pt>
                <c:pt idx="112">
                  <c:v>0</c:v>
                </c:pt>
                <c:pt idx="113">
                  <c:v>0</c:v>
                </c:pt>
                <c:pt idx="114">
                  <c:v>1</c:v>
                </c:pt>
                <c:pt idx="115">
                  <c:v>0</c:v>
                </c:pt>
                <c:pt idx="116">
                  <c:v>0.8564144786084249</c:v>
                </c:pt>
                <c:pt idx="117">
                  <c:v>0</c:v>
                </c:pt>
                <c:pt idx="118">
                  <c:v>0</c:v>
                </c:pt>
                <c:pt idx="119">
                  <c:v>0.89349720068261429</c:v>
                </c:pt>
                <c:pt idx="120">
                  <c:v>0</c:v>
                </c:pt>
                <c:pt idx="121">
                  <c:v>0</c:v>
                </c:pt>
                <c:pt idx="122">
                  <c:v>0.83784317834795363</c:v>
                </c:pt>
                <c:pt idx="123">
                  <c:v>0</c:v>
                </c:pt>
                <c:pt idx="124">
                  <c:v>0.78912008622496332</c:v>
                </c:pt>
                <c:pt idx="125">
                  <c:v>0</c:v>
                </c:pt>
                <c:pt idx="126">
                  <c:v>0</c:v>
                </c:pt>
                <c:pt idx="127">
                  <c:v>0.75735457022244845</c:v>
                </c:pt>
                <c:pt idx="128">
                  <c:v>0</c:v>
                </c:pt>
                <c:pt idx="129">
                  <c:v>0.63319062303523854</c:v>
                </c:pt>
                <c:pt idx="130">
                  <c:v>0</c:v>
                </c:pt>
                <c:pt idx="131">
                  <c:v>0</c:v>
                </c:pt>
                <c:pt idx="132">
                  <c:v>0.46544115445645334</c:v>
                </c:pt>
                <c:pt idx="133">
                  <c:v>0</c:v>
                </c:pt>
                <c:pt idx="134">
                  <c:v>0.52069997904254361</c:v>
                </c:pt>
                <c:pt idx="135">
                  <c:v>0</c:v>
                </c:pt>
                <c:pt idx="136">
                  <c:v>0</c:v>
                </c:pt>
                <c:pt idx="137">
                  <c:v>0.51042483757971324</c:v>
                </c:pt>
                <c:pt idx="138">
                  <c:v>0</c:v>
                </c:pt>
                <c:pt idx="139">
                  <c:v>0</c:v>
                </c:pt>
                <c:pt idx="140">
                  <c:v>0.64082213107391994</c:v>
                </c:pt>
                <c:pt idx="141">
                  <c:v>0</c:v>
                </c:pt>
                <c:pt idx="142">
                  <c:v>0.67905751324810637</c:v>
                </c:pt>
                <c:pt idx="143">
                  <c:v>0</c:v>
                </c:pt>
                <c:pt idx="144">
                  <c:v>0</c:v>
                </c:pt>
                <c:pt idx="145">
                  <c:v>0.73653483428639865</c:v>
                </c:pt>
                <c:pt idx="146">
                  <c:v>0</c:v>
                </c:pt>
                <c:pt idx="147">
                  <c:v>0.76151911619412593</c:v>
                </c:pt>
                <c:pt idx="148">
                  <c:v>0</c:v>
                </c:pt>
                <c:pt idx="149">
                  <c:v>0</c:v>
                </c:pt>
                <c:pt idx="150">
                  <c:v>0.89553306787221931</c:v>
                </c:pt>
                <c:pt idx="151">
                  <c:v>0</c:v>
                </c:pt>
                <c:pt idx="152">
                  <c:v>0.89045537558755716</c:v>
                </c:pt>
                <c:pt idx="153">
                  <c:v>0</c:v>
                </c:pt>
                <c:pt idx="154">
                  <c:v>0</c:v>
                </c:pt>
                <c:pt idx="155">
                  <c:v>0.88753929523068165</c:v>
                </c:pt>
                <c:pt idx="156">
                  <c:v>0</c:v>
                </c:pt>
                <c:pt idx="157">
                  <c:v>0</c:v>
                </c:pt>
                <c:pt idx="158">
                  <c:v>0.68683871740367053</c:v>
                </c:pt>
                <c:pt idx="159">
                  <c:v>0</c:v>
                </c:pt>
                <c:pt idx="160">
                  <c:v>0.49343432831352352</c:v>
                </c:pt>
                <c:pt idx="161">
                  <c:v>0</c:v>
                </c:pt>
                <c:pt idx="162">
                  <c:v>0</c:v>
                </c:pt>
                <c:pt idx="163">
                  <c:v>0.37224933385227987</c:v>
                </c:pt>
                <c:pt idx="164">
                  <c:v>0</c:v>
                </c:pt>
                <c:pt idx="165">
                  <c:v>0.2311855932457112</c:v>
                </c:pt>
                <c:pt idx="166">
                  <c:v>0</c:v>
                </c:pt>
                <c:pt idx="167">
                  <c:v>0</c:v>
                </c:pt>
                <c:pt idx="168">
                  <c:v>0.12057752761893356</c:v>
                </c:pt>
                <c:pt idx="169">
                  <c:v>0</c:v>
                </c:pt>
                <c:pt idx="170">
                  <c:v>0</c:v>
                </c:pt>
                <c:pt idx="171">
                  <c:v>0.10936169575761205</c:v>
                </c:pt>
                <c:pt idx="172">
                  <c:v>0</c:v>
                </c:pt>
                <c:pt idx="173">
                  <c:v>5.3616957576120471E-2</c:v>
                </c:pt>
                <c:pt idx="174">
                  <c:v>0</c:v>
                </c:pt>
                <c:pt idx="175">
                  <c:v>0</c:v>
                </c:pt>
                <c:pt idx="176">
                  <c:v>3.1398161731684679E-2</c:v>
                </c:pt>
                <c:pt idx="177">
                  <c:v>0</c:v>
                </c:pt>
                <c:pt idx="178">
                  <c:v>2.4042573575641449E-2</c:v>
                </c:pt>
                <c:pt idx="179">
                  <c:v>0</c:v>
                </c:pt>
                <c:pt idx="180">
                  <c:v>0</c:v>
                </c:pt>
                <c:pt idx="181">
                  <c:v>2.3951378701236491E-2</c:v>
                </c:pt>
                <c:pt idx="182">
                  <c:v>0</c:v>
                </c:pt>
                <c:pt idx="183">
                  <c:v>7.6899793419358707E-3</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0.78183633275488607</c:v>
                </c:pt>
                <c:pt idx="4">
                  <c:v>0</c:v>
                </c:pt>
                <c:pt idx="5">
                  <c:v>0</c:v>
                </c:pt>
                <c:pt idx="6">
                  <c:v>1</c:v>
                </c:pt>
                <c:pt idx="7">
                  <c:v>0</c:v>
                </c:pt>
                <c:pt idx="8">
                  <c:v>0.54817710285971832</c:v>
                </c:pt>
                <c:pt idx="9">
                  <c:v>0</c:v>
                </c:pt>
                <c:pt idx="10">
                  <c:v>0</c:v>
                </c:pt>
                <c:pt idx="11">
                  <c:v>0.43125590446999584</c:v>
                </c:pt>
                <c:pt idx="12">
                  <c:v>0</c:v>
                </c:pt>
                <c:pt idx="13">
                  <c:v>0.34989820946341321</c:v>
                </c:pt>
                <c:pt idx="14">
                  <c:v>0</c:v>
                </c:pt>
                <c:pt idx="15">
                  <c:v>0</c:v>
                </c:pt>
                <c:pt idx="16">
                  <c:v>0.28840270744075813</c:v>
                </c:pt>
                <c:pt idx="17">
                  <c:v>0</c:v>
                </c:pt>
                <c:pt idx="18">
                  <c:v>0</c:v>
                </c:pt>
                <c:pt idx="19">
                  <c:v>0.25028845572553271</c:v>
                </c:pt>
                <c:pt idx="20">
                  <c:v>0</c:v>
                </c:pt>
                <c:pt idx="21">
                  <c:v>0.21696231088124199</c:v>
                </c:pt>
                <c:pt idx="22">
                  <c:v>0</c:v>
                </c:pt>
                <c:pt idx="23">
                  <c:v>0</c:v>
                </c:pt>
                <c:pt idx="24">
                  <c:v>0.19187803348534738</c:v>
                </c:pt>
                <c:pt idx="25">
                  <c:v>0</c:v>
                </c:pt>
                <c:pt idx="26">
                  <c:v>0.17340031433848604</c:v>
                </c:pt>
                <c:pt idx="27">
                  <c:v>0</c:v>
                </c:pt>
                <c:pt idx="28">
                  <c:v>0</c:v>
                </c:pt>
                <c:pt idx="29">
                  <c:v>0.15864972258518095</c:v>
                </c:pt>
                <c:pt idx="30">
                  <c:v>0</c:v>
                </c:pt>
                <c:pt idx="31">
                  <c:v>0.14540651473763369</c:v>
                </c:pt>
                <c:pt idx="32">
                  <c:v>0</c:v>
                </c:pt>
                <c:pt idx="33">
                  <c:v>0</c:v>
                </c:pt>
                <c:pt idx="34">
                  <c:v>0.13053054236149253</c:v>
                </c:pt>
                <c:pt idx="35">
                  <c:v>0</c:v>
                </c:pt>
                <c:pt idx="36">
                  <c:v>0</c:v>
                </c:pt>
                <c:pt idx="37">
                  <c:v>0.12492226092564895</c:v>
                </c:pt>
                <c:pt idx="38">
                  <c:v>0</c:v>
                </c:pt>
                <c:pt idx="39">
                  <c:v>0.11382356819219844</c:v>
                </c:pt>
                <c:pt idx="40">
                  <c:v>0</c:v>
                </c:pt>
                <c:pt idx="41">
                  <c:v>0</c:v>
                </c:pt>
                <c:pt idx="42">
                  <c:v>0.10844855647868361</c:v>
                </c:pt>
                <c:pt idx="43">
                  <c:v>0</c:v>
                </c:pt>
                <c:pt idx="44">
                  <c:v>0.1009917323152608</c:v>
                </c:pt>
                <c:pt idx="45">
                  <c:v>0</c:v>
                </c:pt>
                <c:pt idx="46">
                  <c:v>0</c:v>
                </c:pt>
                <c:pt idx="47">
                  <c:v>9.3941264897534141E-2</c:v>
                </c:pt>
                <c:pt idx="48">
                  <c:v>0</c:v>
                </c:pt>
                <c:pt idx="49">
                  <c:v>8.9020217508081007E-2</c:v>
                </c:pt>
                <c:pt idx="50">
                  <c:v>0</c:v>
                </c:pt>
                <c:pt idx="51">
                  <c:v>0</c:v>
                </c:pt>
                <c:pt idx="52">
                  <c:v>8.3459593061685863E-2</c:v>
                </c:pt>
                <c:pt idx="53">
                  <c:v>0</c:v>
                </c:pt>
                <c:pt idx="54">
                  <c:v>0</c:v>
                </c:pt>
                <c:pt idx="55">
                  <c:v>7.808707660785702E-2</c:v>
                </c:pt>
                <c:pt idx="56">
                  <c:v>0</c:v>
                </c:pt>
                <c:pt idx="57">
                  <c:v>7.3231227142278643E-2</c:v>
                </c:pt>
                <c:pt idx="58">
                  <c:v>0</c:v>
                </c:pt>
                <c:pt idx="59">
                  <c:v>0</c:v>
                </c:pt>
                <c:pt idx="60">
                  <c:v>6.8500807710619255E-2</c:v>
                </c:pt>
                <c:pt idx="61">
                  <c:v>0</c:v>
                </c:pt>
                <c:pt idx="62">
                  <c:v>6.3833090943148624E-2</c:v>
                </c:pt>
                <c:pt idx="63">
                  <c:v>0</c:v>
                </c:pt>
                <c:pt idx="64">
                  <c:v>0</c:v>
                </c:pt>
                <c:pt idx="65">
                  <c:v>6.0961244688895348E-2</c:v>
                </c:pt>
                <c:pt idx="66">
                  <c:v>0</c:v>
                </c:pt>
                <c:pt idx="67">
                  <c:v>5.711370248633358E-2</c:v>
                </c:pt>
                <c:pt idx="68">
                  <c:v>0</c:v>
                </c:pt>
                <c:pt idx="69">
                  <c:v>0</c:v>
                </c:pt>
                <c:pt idx="70">
                  <c:v>5.2681750700877682E-2</c:v>
                </c:pt>
                <c:pt idx="71">
                  <c:v>0</c:v>
                </c:pt>
                <c:pt idx="72">
                  <c:v>0</c:v>
                </c:pt>
                <c:pt idx="73">
                  <c:v>4.8781536283954034E-2</c:v>
                </c:pt>
                <c:pt idx="74">
                  <c:v>0</c:v>
                </c:pt>
                <c:pt idx="75">
                  <c:v>4.5779244770868331E-2</c:v>
                </c:pt>
                <c:pt idx="76">
                  <c:v>0</c:v>
                </c:pt>
                <c:pt idx="77">
                  <c:v>0</c:v>
                </c:pt>
                <c:pt idx="78">
                  <c:v>4.2674128794286316E-2</c:v>
                </c:pt>
                <c:pt idx="79">
                  <c:v>0</c:v>
                </c:pt>
                <c:pt idx="80">
                  <c:v>4.0825586066707088E-2</c:v>
                </c:pt>
                <c:pt idx="81">
                  <c:v>0</c:v>
                </c:pt>
                <c:pt idx="82">
                  <c:v>0</c:v>
                </c:pt>
                <c:pt idx="83">
                  <c:v>3.8929411055220867E-2</c:v>
                </c:pt>
                <c:pt idx="84">
                  <c:v>0</c:v>
                </c:pt>
                <c:pt idx="85">
                  <c:v>0</c:v>
                </c:pt>
                <c:pt idx="86">
                  <c:v>3.625318327813333E-2</c:v>
                </c:pt>
                <c:pt idx="87">
                  <c:v>0</c:v>
                </c:pt>
                <c:pt idx="88">
                  <c:v>3.5495711377413239E-2</c:v>
                </c:pt>
                <c:pt idx="89">
                  <c:v>0</c:v>
                </c:pt>
                <c:pt idx="90">
                  <c:v>0</c:v>
                </c:pt>
                <c:pt idx="91">
                  <c:v>3.3270952664701411E-2</c:v>
                </c:pt>
                <c:pt idx="92">
                  <c:v>0</c:v>
                </c:pt>
                <c:pt idx="93">
                  <c:v>3.0933339038666373E-2</c:v>
                </c:pt>
                <c:pt idx="94">
                  <c:v>0</c:v>
                </c:pt>
                <c:pt idx="95">
                  <c:v>0</c:v>
                </c:pt>
                <c:pt idx="96">
                  <c:v>2.9583947070452719E-2</c:v>
                </c:pt>
                <c:pt idx="97">
                  <c:v>0</c:v>
                </c:pt>
                <c:pt idx="98">
                  <c:v>2.7810657422116587E-2</c:v>
                </c:pt>
                <c:pt idx="99">
                  <c:v>0</c:v>
                </c:pt>
                <c:pt idx="100">
                  <c:v>0</c:v>
                </c:pt>
                <c:pt idx="101">
                  <c:v>2.7233783029363353E-2</c:v>
                </c:pt>
                <c:pt idx="102">
                  <c:v>0</c:v>
                </c:pt>
                <c:pt idx="103">
                  <c:v>0</c:v>
                </c:pt>
                <c:pt idx="104">
                  <c:v>2.5736404867890948E-2</c:v>
                </c:pt>
                <c:pt idx="105">
                  <c:v>0</c:v>
                </c:pt>
                <c:pt idx="106">
                  <c:v>2.4735632795015231E-2</c:v>
                </c:pt>
                <c:pt idx="107">
                  <c:v>0</c:v>
                </c:pt>
                <c:pt idx="108">
                  <c:v>0</c:v>
                </c:pt>
                <c:pt idx="109">
                  <c:v>2.3539242244973776E-2</c:v>
                </c:pt>
                <c:pt idx="110">
                  <c:v>0</c:v>
                </c:pt>
                <c:pt idx="111">
                  <c:v>2.2862038648410229E-2</c:v>
                </c:pt>
                <c:pt idx="112">
                  <c:v>0</c:v>
                </c:pt>
                <c:pt idx="113">
                  <c:v>0</c:v>
                </c:pt>
                <c:pt idx="114">
                  <c:v>2.1866281800447956E-2</c:v>
                </c:pt>
                <c:pt idx="115">
                  <c:v>0</c:v>
                </c:pt>
                <c:pt idx="116">
                  <c:v>2.018329090609525E-2</c:v>
                </c:pt>
                <c:pt idx="117">
                  <c:v>0</c:v>
                </c:pt>
                <c:pt idx="118">
                  <c:v>0</c:v>
                </c:pt>
                <c:pt idx="119">
                  <c:v>1.9654073502790456E-2</c:v>
                </c:pt>
                <c:pt idx="120">
                  <c:v>0</c:v>
                </c:pt>
                <c:pt idx="121">
                  <c:v>0</c:v>
                </c:pt>
                <c:pt idx="122">
                  <c:v>1.8505339942197434E-2</c:v>
                </c:pt>
                <c:pt idx="123">
                  <c:v>0</c:v>
                </c:pt>
                <c:pt idx="124">
                  <c:v>1.7226161122771991E-2</c:v>
                </c:pt>
                <c:pt idx="125">
                  <c:v>0</c:v>
                </c:pt>
                <c:pt idx="126">
                  <c:v>0</c:v>
                </c:pt>
                <c:pt idx="127">
                  <c:v>1.6927693476568487E-2</c:v>
                </c:pt>
                <c:pt idx="128">
                  <c:v>0</c:v>
                </c:pt>
                <c:pt idx="129">
                  <c:v>1.484590573220196E-2</c:v>
                </c:pt>
                <c:pt idx="130">
                  <c:v>0</c:v>
                </c:pt>
                <c:pt idx="131">
                  <c:v>0</c:v>
                </c:pt>
                <c:pt idx="132">
                  <c:v>1.2974806845282957E-2</c:v>
                </c:pt>
                <c:pt idx="133">
                  <c:v>0</c:v>
                </c:pt>
                <c:pt idx="134">
                  <c:v>1.2006646087115345E-2</c:v>
                </c:pt>
                <c:pt idx="135">
                  <c:v>0</c:v>
                </c:pt>
                <c:pt idx="136">
                  <c:v>0</c:v>
                </c:pt>
                <c:pt idx="137">
                  <c:v>1.1442297403875E-2</c:v>
                </c:pt>
                <c:pt idx="138">
                  <c:v>0</c:v>
                </c:pt>
                <c:pt idx="139">
                  <c:v>0</c:v>
                </c:pt>
                <c:pt idx="140">
                  <c:v>1.0454075746053617E-2</c:v>
                </c:pt>
                <c:pt idx="141">
                  <c:v>0</c:v>
                </c:pt>
                <c:pt idx="142">
                  <c:v>9.3655248844219177E-3</c:v>
                </c:pt>
                <c:pt idx="143">
                  <c:v>0</c:v>
                </c:pt>
                <c:pt idx="144">
                  <c:v>0</c:v>
                </c:pt>
                <c:pt idx="145">
                  <c:v>8.6682603882045958E-3</c:v>
                </c:pt>
                <c:pt idx="146">
                  <c:v>0</c:v>
                </c:pt>
                <c:pt idx="147">
                  <c:v>7.1307357218831982E-3</c:v>
                </c:pt>
                <c:pt idx="148">
                  <c:v>0</c:v>
                </c:pt>
                <c:pt idx="149">
                  <c:v>0</c:v>
                </c:pt>
                <c:pt idx="150">
                  <c:v>6.3532029215093346E-3</c:v>
                </c:pt>
                <c:pt idx="151">
                  <c:v>0</c:v>
                </c:pt>
                <c:pt idx="152">
                  <c:v>5.0564831676575611E-3</c:v>
                </c:pt>
                <c:pt idx="153">
                  <c:v>0</c:v>
                </c:pt>
                <c:pt idx="154">
                  <c:v>0</c:v>
                </c:pt>
                <c:pt idx="155">
                  <c:v>3.7973899534273371E-3</c:v>
                </c:pt>
                <c:pt idx="156">
                  <c:v>0</c:v>
                </c:pt>
                <c:pt idx="157">
                  <c:v>0</c:v>
                </c:pt>
                <c:pt idx="158">
                  <c:v>2.6762277770875325E-3</c:v>
                </c:pt>
                <c:pt idx="159">
                  <c:v>0</c:v>
                </c:pt>
                <c:pt idx="160">
                  <c:v>1.9864737654696528E-3</c:v>
                </c:pt>
                <c:pt idx="161">
                  <c:v>0</c:v>
                </c:pt>
                <c:pt idx="162">
                  <c:v>0</c:v>
                </c:pt>
                <c:pt idx="163">
                  <c:v>1.2716436292845555E-3</c:v>
                </c:pt>
                <c:pt idx="164">
                  <c:v>0</c:v>
                </c:pt>
                <c:pt idx="165">
                  <c:v>8.2017456490885668E-4</c:v>
                </c:pt>
                <c:pt idx="166">
                  <c:v>0</c:v>
                </c:pt>
                <c:pt idx="167">
                  <c:v>0</c:v>
                </c:pt>
                <c:pt idx="168">
                  <c:v>3.4612463565193935E-4</c:v>
                </c:pt>
                <c:pt idx="169">
                  <c:v>0</c:v>
                </c:pt>
                <c:pt idx="170">
                  <c:v>2.6084110658195403E-4</c:v>
                </c:pt>
                <c:pt idx="171">
                  <c:v>0</c:v>
                </c:pt>
                <c:pt idx="172">
                  <c:v>0</c:v>
                </c:pt>
                <c:pt idx="173">
                  <c:v>1.2792529360497801E-4</c:v>
                </c:pt>
                <c:pt idx="174">
                  <c:v>0</c:v>
                </c:pt>
                <c:pt idx="175">
                  <c:v>0</c:v>
                </c:pt>
                <c:pt idx="176">
                  <c:v>6.771788910221026E-5</c:v>
                </c:pt>
                <c:pt idx="177">
                  <c:v>0</c:v>
                </c:pt>
                <c:pt idx="178">
                  <c:v>3.5106574394104626E-5</c:v>
                </c:pt>
                <c:pt idx="179">
                  <c:v>0</c:v>
                </c:pt>
                <c:pt idx="180">
                  <c:v>0</c:v>
                </c:pt>
                <c:pt idx="181">
                  <c:v>3.7626539621549154E-5</c:v>
                </c:pt>
                <c:pt idx="182">
                  <c:v>0</c:v>
                </c:pt>
                <c:pt idx="183">
                  <c:v>1.5045674740330553E-5</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(29.1 , 54.4)
염려하는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29.076468053014882</c:v>
                </c:pt>
              </c:numCache>
            </c:numRef>
          </c:xVal>
          <c:yVal>
            <c:numRef>
              <c:f>info!$W$20:$W$21</c:f>
              <c:numCache>
                <c:formatCode>General</c:formatCode>
                <c:ptCount val="2"/>
                <c:pt idx="0">
                  <c:v>50</c:v>
                </c:pt>
                <c:pt idx="1">
                  <c:v>54.410674172785299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31.683199999999999</c:v>
                      </c:pt>
                    </c:numCache>
                  </c:numRef>
                </c:xVal>
                <c:yVal>
                  <c:numRef>
                    <c:extLst>
                      <c:ext uri="{02D57815-91ED-43cb-92C2-25804820EDAC}">
                        <c15:formulaRef>
                          <c15:sqref>info!$W$18</c15:sqref>
                        </c15:formulaRef>
                      </c:ext>
                    </c:extLst>
                    <c:numCache>
                      <c:formatCode>General</c:formatCode>
                      <c:ptCount val="1"/>
                      <c:pt idx="0">
                        <c:v>52.907600000000002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(29.1 , 54.4)
염려하는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29.076468053014882</c:v>
                </c:pt>
              </c:numCache>
            </c:numRef>
          </c:xVal>
          <c:yVal>
            <c:numRef>
              <c:f>info!$W$20:$W$21</c:f>
              <c:numCache>
                <c:formatCode>General</c:formatCode>
                <c:ptCount val="2"/>
                <c:pt idx="0">
                  <c:v>50</c:v>
                </c:pt>
                <c:pt idx="1">
                  <c:v>54.410674172785299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55.625700000000002</c:v>
                </c:pt>
                <c:pt idx="1">
                  <c:v>29.511600000000001</c:v>
                </c:pt>
                <c:pt idx="2">
                  <c:v>31.564800000000002</c:v>
                </c:pt>
                <c:pt idx="3">
                  <c:v>38.5593</c:v>
                </c:pt>
                <c:pt idx="4">
                  <c:v>57.787999999999997</c:v>
                </c:pt>
                <c:pt idx="5">
                  <c:v>79.064499999999995</c:v>
                </c:pt>
                <c:pt idx="6">
                  <c:v>27.145499999999998</c:v>
                </c:pt>
                <c:pt idx="7">
                  <c:v>68.372399999999999</c:v>
                </c:pt>
                <c:pt idx="8">
                  <c:v>18.917000000000002</c:v>
                </c:pt>
                <c:pt idx="9">
                  <c:v>31.556999999999999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0.4756037805901922</c:v>
                </c:pt>
                <c:pt idx="1">
                  <c:v>0.31778104620780478</c:v>
                </c:pt>
                <c:pt idx="2">
                  <c:v>0.20661517320200307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1.9696057004281311E-2</c:v>
                </c:pt>
                <c:pt idx="7">
                  <c:v>0</c:v>
                </c:pt>
                <c:pt idx="8">
                  <c:v>4.9361695757612047E-2</c:v>
                </c:pt>
                <c:pt idx="9">
                  <c:v>0</c:v>
                </c:pt>
                <c:pt idx="10">
                  <c:v>0</c:v>
                </c:pt>
                <c:pt idx="11">
                  <c:v>3.4468129696715664E-2</c:v>
                </c:pt>
                <c:pt idx="12">
                  <c:v>0</c:v>
                </c:pt>
                <c:pt idx="13">
                  <c:v>8.6139935930061987E-2</c:v>
                </c:pt>
                <c:pt idx="14">
                  <c:v>0</c:v>
                </c:pt>
                <c:pt idx="15">
                  <c:v>0</c:v>
                </c:pt>
                <c:pt idx="16">
                  <c:v>0.10686925541151462</c:v>
                </c:pt>
                <c:pt idx="17">
                  <c:v>0</c:v>
                </c:pt>
                <c:pt idx="18">
                  <c:v>0</c:v>
                </c:pt>
                <c:pt idx="19">
                  <c:v>0.11702134666626748</c:v>
                </c:pt>
                <c:pt idx="20">
                  <c:v>0</c:v>
                </c:pt>
                <c:pt idx="21">
                  <c:v>0.14455944432801413</c:v>
                </c:pt>
                <c:pt idx="22">
                  <c:v>0</c:v>
                </c:pt>
                <c:pt idx="23">
                  <c:v>0</c:v>
                </c:pt>
                <c:pt idx="24">
                  <c:v>0.17747732103829225</c:v>
                </c:pt>
                <c:pt idx="25">
                  <c:v>0</c:v>
                </c:pt>
                <c:pt idx="26">
                  <c:v>0.14781174216340828</c:v>
                </c:pt>
                <c:pt idx="27">
                  <c:v>0</c:v>
                </c:pt>
                <c:pt idx="28">
                  <c:v>0</c:v>
                </c:pt>
                <c:pt idx="29">
                  <c:v>0.13285710008682375</c:v>
                </c:pt>
                <c:pt idx="30">
                  <c:v>0</c:v>
                </c:pt>
                <c:pt idx="31">
                  <c:v>0.13784198077901857</c:v>
                </c:pt>
                <c:pt idx="32">
                  <c:v>0</c:v>
                </c:pt>
                <c:pt idx="33">
                  <c:v>0</c:v>
                </c:pt>
                <c:pt idx="34">
                  <c:v>0.15027364450166161</c:v>
                </c:pt>
                <c:pt idx="35">
                  <c:v>0</c:v>
                </c:pt>
                <c:pt idx="36">
                  <c:v>0</c:v>
                </c:pt>
                <c:pt idx="37">
                  <c:v>0.1617325828568007</c:v>
                </c:pt>
                <c:pt idx="38">
                  <c:v>0</c:v>
                </c:pt>
                <c:pt idx="39">
                  <c:v>0.20893625939343136</c:v>
                </c:pt>
                <c:pt idx="40">
                  <c:v>0</c:v>
                </c:pt>
                <c:pt idx="41">
                  <c:v>0</c:v>
                </c:pt>
                <c:pt idx="42">
                  <c:v>0.21237088709918864</c:v>
                </c:pt>
                <c:pt idx="43">
                  <c:v>0</c:v>
                </c:pt>
                <c:pt idx="44">
                  <c:v>0.30182329870363162</c:v>
                </c:pt>
                <c:pt idx="45">
                  <c:v>0</c:v>
                </c:pt>
                <c:pt idx="46">
                  <c:v>0</c:v>
                </c:pt>
                <c:pt idx="47">
                  <c:v>0.39285650130235616</c:v>
                </c:pt>
                <c:pt idx="48">
                  <c:v>0</c:v>
                </c:pt>
                <c:pt idx="49">
                  <c:v>0.45045657315649229</c:v>
                </c:pt>
                <c:pt idx="50">
                  <c:v>0</c:v>
                </c:pt>
                <c:pt idx="51">
                  <c:v>0</c:v>
                </c:pt>
                <c:pt idx="52">
                  <c:v>0.50480225142959789</c:v>
                </c:pt>
                <c:pt idx="53">
                  <c:v>0</c:v>
                </c:pt>
                <c:pt idx="54">
                  <c:v>0</c:v>
                </c:pt>
                <c:pt idx="55">
                  <c:v>0.61468219514385802</c:v>
                </c:pt>
                <c:pt idx="56">
                  <c:v>0</c:v>
                </c:pt>
                <c:pt idx="57">
                  <c:v>0.67893775635460019</c:v>
                </c:pt>
                <c:pt idx="58">
                  <c:v>0</c:v>
                </c:pt>
                <c:pt idx="59">
                  <c:v>0</c:v>
                </c:pt>
                <c:pt idx="60">
                  <c:v>0.6524325618993444</c:v>
                </c:pt>
                <c:pt idx="61">
                  <c:v>0</c:v>
                </c:pt>
                <c:pt idx="62">
                  <c:v>0.71620011376904891</c:v>
                </c:pt>
                <c:pt idx="63">
                  <c:v>0</c:v>
                </c:pt>
                <c:pt idx="64">
                  <c:v>0</c:v>
                </c:pt>
                <c:pt idx="65">
                  <c:v>0.74328313523547196</c:v>
                </c:pt>
                <c:pt idx="66">
                  <c:v>0</c:v>
                </c:pt>
                <c:pt idx="67">
                  <c:v>0.70732612796024075</c:v>
                </c:pt>
                <c:pt idx="68">
                  <c:v>0</c:v>
                </c:pt>
                <c:pt idx="69">
                  <c:v>0</c:v>
                </c:pt>
                <c:pt idx="70">
                  <c:v>0.64340588605131577</c:v>
                </c:pt>
                <c:pt idx="71">
                  <c:v>0</c:v>
                </c:pt>
                <c:pt idx="72">
                  <c:v>0</c:v>
                </c:pt>
                <c:pt idx="73">
                  <c:v>0.74817520433519957</c:v>
                </c:pt>
                <c:pt idx="74">
                  <c:v>0</c:v>
                </c:pt>
                <c:pt idx="75">
                  <c:v>0.68212927756653985</c:v>
                </c:pt>
                <c:pt idx="76">
                  <c:v>0</c:v>
                </c:pt>
                <c:pt idx="77">
                  <c:v>0</c:v>
                </c:pt>
                <c:pt idx="78">
                  <c:v>0.71656537229424278</c:v>
                </c:pt>
                <c:pt idx="79">
                  <c:v>0</c:v>
                </c:pt>
                <c:pt idx="80">
                  <c:v>0.62072991826592017</c:v>
                </c:pt>
                <c:pt idx="81">
                  <c:v>0</c:v>
                </c:pt>
                <c:pt idx="82">
                  <c:v>0</c:v>
                </c:pt>
                <c:pt idx="83">
                  <c:v>0.66613873836112691</c:v>
                </c:pt>
                <c:pt idx="84">
                  <c:v>0</c:v>
                </c:pt>
                <c:pt idx="85">
                  <c:v>0</c:v>
                </c:pt>
                <c:pt idx="86">
                  <c:v>0.67209664381305956</c:v>
                </c:pt>
                <c:pt idx="87">
                  <c:v>0</c:v>
                </c:pt>
                <c:pt idx="88">
                  <c:v>0.68264423220861647</c:v>
                </c:pt>
                <c:pt idx="89">
                  <c:v>0</c:v>
                </c:pt>
                <c:pt idx="90">
                  <c:v>0</c:v>
                </c:pt>
                <c:pt idx="91">
                  <c:v>0.77744678303044823</c:v>
                </c:pt>
                <c:pt idx="92">
                  <c:v>0</c:v>
                </c:pt>
                <c:pt idx="93">
                  <c:v>0.65717493488218914</c:v>
                </c:pt>
                <c:pt idx="94">
                  <c:v>0</c:v>
                </c:pt>
                <c:pt idx="95">
                  <c:v>0</c:v>
                </c:pt>
                <c:pt idx="96">
                  <c:v>0.70680817939582641</c:v>
                </c:pt>
                <c:pt idx="97">
                  <c:v>0</c:v>
                </c:pt>
                <c:pt idx="98">
                  <c:v>0.72814586389629055</c:v>
                </c:pt>
                <c:pt idx="99">
                  <c:v>0</c:v>
                </c:pt>
                <c:pt idx="100">
                  <c:v>0</c:v>
                </c:pt>
                <c:pt idx="101">
                  <c:v>0.83656477350977521</c:v>
                </c:pt>
                <c:pt idx="102">
                  <c:v>0</c:v>
                </c:pt>
                <c:pt idx="103">
                  <c:v>0</c:v>
                </c:pt>
                <c:pt idx="104">
                  <c:v>0.78121613125355527</c:v>
                </c:pt>
                <c:pt idx="105">
                  <c:v>0</c:v>
                </c:pt>
                <c:pt idx="106">
                  <c:v>0.92386156103110673</c:v>
                </c:pt>
                <c:pt idx="107">
                  <c:v>0</c:v>
                </c:pt>
                <c:pt idx="108">
                  <c:v>0</c:v>
                </c:pt>
                <c:pt idx="109">
                  <c:v>0.88665608814107366</c:v>
                </c:pt>
                <c:pt idx="110">
                  <c:v>0</c:v>
                </c:pt>
                <c:pt idx="111">
                  <c:v>0.97422532259513184</c:v>
                </c:pt>
                <c:pt idx="112">
                  <c:v>0</c:v>
                </c:pt>
                <c:pt idx="113">
                  <c:v>0</c:v>
                </c:pt>
                <c:pt idx="114">
                  <c:v>1</c:v>
                </c:pt>
                <c:pt idx="115">
                  <c:v>0</c:v>
                </c:pt>
                <c:pt idx="116">
                  <c:v>0.8564144786084249</c:v>
                </c:pt>
                <c:pt idx="117">
                  <c:v>0</c:v>
                </c:pt>
                <c:pt idx="118">
                  <c:v>0</c:v>
                </c:pt>
                <c:pt idx="119">
                  <c:v>0.89349720068261429</c:v>
                </c:pt>
                <c:pt idx="120">
                  <c:v>0</c:v>
                </c:pt>
                <c:pt idx="121">
                  <c:v>0</c:v>
                </c:pt>
                <c:pt idx="122">
                  <c:v>0.83784317834795363</c:v>
                </c:pt>
                <c:pt idx="123">
                  <c:v>0</c:v>
                </c:pt>
                <c:pt idx="124">
                  <c:v>0.78912008622496332</c:v>
                </c:pt>
                <c:pt idx="125">
                  <c:v>0</c:v>
                </c:pt>
                <c:pt idx="126">
                  <c:v>0</c:v>
                </c:pt>
                <c:pt idx="127">
                  <c:v>0.75735457022244845</c:v>
                </c:pt>
                <c:pt idx="128">
                  <c:v>0</c:v>
                </c:pt>
                <c:pt idx="129">
                  <c:v>0.63319062303523854</c:v>
                </c:pt>
                <c:pt idx="130">
                  <c:v>0</c:v>
                </c:pt>
                <c:pt idx="131">
                  <c:v>0</c:v>
                </c:pt>
                <c:pt idx="132">
                  <c:v>0.46544115445645334</c:v>
                </c:pt>
                <c:pt idx="133">
                  <c:v>0</c:v>
                </c:pt>
                <c:pt idx="134">
                  <c:v>0.52069997904254361</c:v>
                </c:pt>
                <c:pt idx="135">
                  <c:v>0</c:v>
                </c:pt>
                <c:pt idx="136">
                  <c:v>0</c:v>
                </c:pt>
                <c:pt idx="137">
                  <c:v>0.51042483757971324</c:v>
                </c:pt>
                <c:pt idx="138">
                  <c:v>0</c:v>
                </c:pt>
                <c:pt idx="139">
                  <c:v>0</c:v>
                </c:pt>
                <c:pt idx="140">
                  <c:v>0.64082213107391994</c:v>
                </c:pt>
                <c:pt idx="141">
                  <c:v>0</c:v>
                </c:pt>
                <c:pt idx="142">
                  <c:v>0.67905751324810637</c:v>
                </c:pt>
                <c:pt idx="143">
                  <c:v>0</c:v>
                </c:pt>
                <c:pt idx="144">
                  <c:v>0</c:v>
                </c:pt>
                <c:pt idx="145">
                  <c:v>0.73653483428639865</c:v>
                </c:pt>
                <c:pt idx="146">
                  <c:v>0</c:v>
                </c:pt>
                <c:pt idx="147">
                  <c:v>0.76151911619412593</c:v>
                </c:pt>
                <c:pt idx="148">
                  <c:v>0</c:v>
                </c:pt>
                <c:pt idx="149">
                  <c:v>0</c:v>
                </c:pt>
                <c:pt idx="150">
                  <c:v>0.89553306787221931</c:v>
                </c:pt>
                <c:pt idx="151">
                  <c:v>0</c:v>
                </c:pt>
                <c:pt idx="152">
                  <c:v>0.89045537558755716</c:v>
                </c:pt>
                <c:pt idx="153">
                  <c:v>0</c:v>
                </c:pt>
                <c:pt idx="154">
                  <c:v>0</c:v>
                </c:pt>
                <c:pt idx="155">
                  <c:v>0.88753929523068165</c:v>
                </c:pt>
                <c:pt idx="156">
                  <c:v>0</c:v>
                </c:pt>
                <c:pt idx="157">
                  <c:v>0</c:v>
                </c:pt>
                <c:pt idx="158">
                  <c:v>0.68683871740367053</c:v>
                </c:pt>
                <c:pt idx="159">
                  <c:v>0</c:v>
                </c:pt>
                <c:pt idx="160">
                  <c:v>0.49343432831352352</c:v>
                </c:pt>
                <c:pt idx="161">
                  <c:v>0</c:v>
                </c:pt>
                <c:pt idx="162">
                  <c:v>0</c:v>
                </c:pt>
                <c:pt idx="163">
                  <c:v>0.37224933385227987</c:v>
                </c:pt>
                <c:pt idx="164">
                  <c:v>0</c:v>
                </c:pt>
                <c:pt idx="165">
                  <c:v>0.2311855932457112</c:v>
                </c:pt>
                <c:pt idx="166">
                  <c:v>0</c:v>
                </c:pt>
                <c:pt idx="167">
                  <c:v>0</c:v>
                </c:pt>
                <c:pt idx="168">
                  <c:v>0.12057752761893356</c:v>
                </c:pt>
                <c:pt idx="169">
                  <c:v>0</c:v>
                </c:pt>
                <c:pt idx="170">
                  <c:v>0</c:v>
                </c:pt>
                <c:pt idx="171">
                  <c:v>0.10936169575761205</c:v>
                </c:pt>
                <c:pt idx="172">
                  <c:v>0</c:v>
                </c:pt>
                <c:pt idx="173">
                  <c:v>5.3616957576120471E-2</c:v>
                </c:pt>
                <c:pt idx="174">
                  <c:v>0</c:v>
                </c:pt>
                <c:pt idx="175">
                  <c:v>0</c:v>
                </c:pt>
                <c:pt idx="176">
                  <c:v>3.1398161731684679E-2</c:v>
                </c:pt>
                <c:pt idx="177">
                  <c:v>0</c:v>
                </c:pt>
                <c:pt idx="178">
                  <c:v>2.4042573575641449E-2</c:v>
                </c:pt>
                <c:pt idx="179">
                  <c:v>0</c:v>
                </c:pt>
                <c:pt idx="180">
                  <c:v>0</c:v>
                </c:pt>
                <c:pt idx="181">
                  <c:v>2.3951378701236491E-2</c:v>
                </c:pt>
                <c:pt idx="182">
                  <c:v>0</c:v>
                </c:pt>
                <c:pt idx="183">
                  <c:v>7.6899793419358707E-3</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7"/>
                <c:pt idx="0">
                  <c:v>4.8835800000000003</c:v>
                </c:pt>
                <c:pt idx="1">
                  <c:v>4.8927700000000005</c:v>
                </c:pt>
                <c:pt idx="2">
                  <c:v>4.9047800000000006</c:v>
                </c:pt>
                <c:pt idx="3">
                  <c:v>4.91648</c:v>
                </c:pt>
                <c:pt idx="4">
                  <c:v>4.9251299999999993</c:v>
                </c:pt>
                <c:pt idx="5">
                  <c:v>4.9285199999999998</c:v>
                </c:pt>
                <c:pt idx="6">
                  <c:v>4.9283200000000003</c:v>
                </c:pt>
                <c:pt idx="7">
                  <c:v>4.9231199999999999</c:v>
                </c:pt>
                <c:pt idx="8">
                  <c:v>4.9151400000000001</c:v>
                </c:pt>
                <c:pt idx="9">
                  <c:v>4.9048400000000001</c:v>
                </c:pt>
                <c:pt idx="10">
                  <c:v>4.8908000000000005</c:v>
                </c:pt>
                <c:pt idx="11">
                  <c:v>4.8717500000000005</c:v>
                </c:pt>
                <c:pt idx="12">
                  <c:v>4.8478300000000001</c:v>
                </c:pt>
                <c:pt idx="13">
                  <c:v>4.8204799999999999</c:v>
                </c:pt>
                <c:pt idx="14">
                  <c:v>4.7920600000000002</c:v>
                </c:pt>
                <c:pt idx="15">
                  <c:v>4.76105</c:v>
                </c:pt>
                <c:pt idx="16">
                  <c:v>4.7264099999999996</c:v>
                </c:pt>
                <c:pt idx="17">
                  <c:v>4.6932299999999998</c:v>
                </c:pt>
                <c:pt idx="18">
                  <c:v>4.66317</c:v>
                </c:pt>
                <c:pt idx="19">
                  <c:v>4.6346400000000001</c:v>
                </c:pt>
                <c:pt idx="20">
                  <c:v>4.6097400000000004</c:v>
                </c:pt>
                <c:pt idx="21">
                  <c:v>4.5844300000000002</c:v>
                </c:pt>
                <c:pt idx="22">
                  <c:v>4.5572099999999995</c:v>
                </c:pt>
                <c:pt idx="23">
                  <c:v>4.5305099999999996</c:v>
                </c:pt>
                <c:pt idx="24">
                  <c:v>4.5014199999999995</c:v>
                </c:pt>
                <c:pt idx="25">
                  <c:v>4.4734099999999994</c:v>
                </c:pt>
                <c:pt idx="26">
                  <c:v>4.4487800000000002</c:v>
                </c:pt>
                <c:pt idx="27">
                  <c:v>4.4201199999999998</c:v>
                </c:pt>
                <c:pt idx="28">
                  <c:v>4.3896899999999999</c:v>
                </c:pt>
                <c:pt idx="29">
                  <c:v>4.3645899999999997</c:v>
                </c:pt>
                <c:pt idx="30">
                  <c:v>4.3413000000000004</c:v>
                </c:pt>
                <c:pt idx="31">
                  <c:v>4.3192599999999999</c:v>
                </c:pt>
                <c:pt idx="32">
                  <c:v>4.2988599999999995</c:v>
                </c:pt>
                <c:pt idx="33">
                  <c:v>4.2779400000000001</c:v>
                </c:pt>
                <c:pt idx="34">
                  <c:v>4.2555199999999997</c:v>
                </c:pt>
                <c:pt idx="35">
                  <c:v>4.2340100000000005</c:v>
                </c:pt>
                <c:pt idx="36">
                  <c:v>4.2142800000000005</c:v>
                </c:pt>
                <c:pt idx="37">
                  <c:v>4.1970900000000002</c:v>
                </c:pt>
                <c:pt idx="38">
                  <c:v>4.1807999999999996</c:v>
                </c:pt>
                <c:pt idx="39">
                  <c:v>4.16411</c:v>
                </c:pt>
                <c:pt idx="40">
                  <c:v>4.1473100000000001</c:v>
                </c:pt>
                <c:pt idx="41">
                  <c:v>4.1301600000000001</c:v>
                </c:pt>
                <c:pt idx="42">
                  <c:v>4.1135299999999999</c:v>
                </c:pt>
                <c:pt idx="43">
                  <c:v>4.0956799999999998</c:v>
                </c:pt>
                <c:pt idx="44">
                  <c:v>4.0770600000000004</c:v>
                </c:pt>
                <c:pt idx="45">
                  <c:v>4.0578099999999999</c:v>
                </c:pt>
                <c:pt idx="46">
                  <c:v>4.0403400000000005</c:v>
                </c:pt>
                <c:pt idx="47">
                  <c:v>4.0281599999999997</c:v>
                </c:pt>
                <c:pt idx="48">
                  <c:v>4.0207300000000004</c:v>
                </c:pt>
                <c:pt idx="49">
                  <c:v>4.01952</c:v>
                </c:pt>
                <c:pt idx="50">
                  <c:v>4.0188100000000002</c:v>
                </c:pt>
                <c:pt idx="51">
                  <c:v>4.0168900000000001</c:v>
                </c:pt>
                <c:pt idx="52">
                  <c:v>4.0151900000000005</c:v>
                </c:pt>
                <c:pt idx="53">
                  <c:v>4.0143800000000001</c:v>
                </c:pt>
                <c:pt idx="54">
                  <c:v>4.0130600000000003</c:v>
                </c:pt>
                <c:pt idx="55">
                  <c:v>4.0108700000000006</c:v>
                </c:pt>
                <c:pt idx="56">
                  <c:v>4.0081199999999999</c:v>
                </c:pt>
                <c:pt idx="57">
                  <c:v>4.0038200000000002</c:v>
                </c:pt>
                <c:pt idx="58">
                  <c:v>3.9969999999999999</c:v>
                </c:pt>
                <c:pt idx="59">
                  <c:v>3.9911300000000001</c:v>
                </c:pt>
                <c:pt idx="60">
                  <c:v>3.9874700000000001</c:v>
                </c:pt>
                <c:pt idx="61">
                  <c:v>3.98272</c:v>
                </c:pt>
                <c:pt idx="62">
                  <c:v>3.9771000000000001</c:v>
                </c:pt>
                <c:pt idx="63">
                  <c:v>3.9717799999999999</c:v>
                </c:pt>
                <c:pt idx="64">
                  <c:v>3.9666800000000002</c:v>
                </c:pt>
                <c:pt idx="65">
                  <c:v>3.9670000000000001</c:v>
                </c:pt>
                <c:pt idx="66">
                  <c:v>3.9673599999999998</c:v>
                </c:pt>
                <c:pt idx="67">
                  <c:v>3.96645</c:v>
                </c:pt>
                <c:pt idx="68">
                  <c:v>3.9648299999999996</c:v>
                </c:pt>
                <c:pt idx="69">
                  <c:v>3.9652099999999999</c:v>
                </c:pt>
                <c:pt idx="70">
                  <c:v>3.9674199999999997</c:v>
                </c:pt>
                <c:pt idx="71">
                  <c:v>3.9669599999999998</c:v>
                </c:pt>
                <c:pt idx="72">
                  <c:v>3.9646699999999999</c:v>
                </c:pt>
                <c:pt idx="73">
                  <c:v>3.9620800000000003</c:v>
                </c:pt>
                <c:pt idx="74">
                  <c:v>3.95634</c:v>
                </c:pt>
                <c:pt idx="75">
                  <c:v>3.9500299999999999</c:v>
                </c:pt>
                <c:pt idx="76">
                  <c:v>3.9458199999999999</c:v>
                </c:pt>
                <c:pt idx="77">
                  <c:v>3.9417999999999997</c:v>
                </c:pt>
                <c:pt idx="78">
                  <c:v>3.9344099999999997</c:v>
                </c:pt>
                <c:pt idx="79">
                  <c:v>3.9250800000000003</c:v>
                </c:pt>
                <c:pt idx="80">
                  <c:v>3.9161200000000003</c:v>
                </c:pt>
                <c:pt idx="81">
                  <c:v>3.9073799999999999</c:v>
                </c:pt>
                <c:pt idx="82">
                  <c:v>3.9013499999999999</c:v>
                </c:pt>
                <c:pt idx="83">
                  <c:v>3.89907</c:v>
                </c:pt>
                <c:pt idx="84">
                  <c:v>3.8977400000000002</c:v>
                </c:pt>
                <c:pt idx="85">
                  <c:v>3.89635</c:v>
                </c:pt>
                <c:pt idx="86">
                  <c:v>3.8978800000000002</c:v>
                </c:pt>
                <c:pt idx="87">
                  <c:v>3.9019199999999996</c:v>
                </c:pt>
                <c:pt idx="88">
                  <c:v>3.90496</c:v>
                </c:pt>
                <c:pt idx="89">
                  <c:v>3.9058199999999998</c:v>
                </c:pt>
                <c:pt idx="90">
                  <c:v>3.8978200000000003</c:v>
                </c:pt>
                <c:pt idx="91">
                  <c:v>3.8929599999999995</c:v>
                </c:pt>
                <c:pt idx="92">
                  <c:v>3.8872</c:v>
                </c:pt>
                <c:pt idx="93">
                  <c:v>3.9014799999999998</c:v>
                </c:pt>
                <c:pt idx="94">
                  <c:v>3.9102199999999998</c:v>
                </c:pt>
                <c:pt idx="95">
                  <c:v>3.8986199999999998</c:v>
                </c:pt>
                <c:pt idx="96">
                  <c:v>3.9081999999999999</c:v>
                </c:pt>
              </c:numCache>
              <c:extLst xmlns:c15="http://schemas.microsoft.com/office/drawing/2012/chart"/>
            </c:numRef>
          </c:xVal>
          <c:yVal>
            <c:numRef>
              <c:f>[0]!FT_PH</c:f>
              <c:numCache>
                <c:formatCode>0.00</c:formatCode>
                <c:ptCount val="97"/>
                <c:pt idx="0">
                  <c:v>30.503299999999999</c:v>
                </c:pt>
                <c:pt idx="1">
                  <c:v>30.536799999999996</c:v>
                </c:pt>
                <c:pt idx="2">
                  <c:v>30.521700000000003</c:v>
                </c:pt>
                <c:pt idx="3">
                  <c:v>30.462199999999999</c:v>
                </c:pt>
                <c:pt idx="4">
                  <c:v>30.349299999999999</c:v>
                </c:pt>
                <c:pt idx="5">
                  <c:v>30.169499999999999</c:v>
                </c:pt>
                <c:pt idx="6">
                  <c:v>29.9375</c:v>
                </c:pt>
                <c:pt idx="7">
                  <c:v>29.6342</c:v>
                </c:pt>
                <c:pt idx="8">
                  <c:v>29.269499999999997</c:v>
                </c:pt>
                <c:pt idx="9">
                  <c:v>28.926500000000001</c:v>
                </c:pt>
                <c:pt idx="10">
                  <c:v>28.598200000000002</c:v>
                </c:pt>
                <c:pt idx="11">
                  <c:v>28.2682</c:v>
                </c:pt>
                <c:pt idx="12">
                  <c:v>27.983400000000003</c:v>
                </c:pt>
                <c:pt idx="13">
                  <c:v>27.7926</c:v>
                </c:pt>
                <c:pt idx="14">
                  <c:v>27.704899999999999</c:v>
                </c:pt>
                <c:pt idx="15">
                  <c:v>27.613900000000001</c:v>
                </c:pt>
                <c:pt idx="16">
                  <c:v>27.649699999999999</c:v>
                </c:pt>
                <c:pt idx="17">
                  <c:v>27.721600000000002</c:v>
                </c:pt>
                <c:pt idx="18">
                  <c:v>27.686300000000003</c:v>
                </c:pt>
                <c:pt idx="19">
                  <c:v>27.575100000000003</c:v>
                </c:pt>
                <c:pt idx="20">
                  <c:v>27.459099999999996</c:v>
                </c:pt>
                <c:pt idx="21">
                  <c:v>27.362300000000001</c:v>
                </c:pt>
                <c:pt idx="22">
                  <c:v>27.316600000000001</c:v>
                </c:pt>
                <c:pt idx="23">
                  <c:v>27.273900000000001</c:v>
                </c:pt>
                <c:pt idx="24">
                  <c:v>27.222099999999998</c:v>
                </c:pt>
                <c:pt idx="25">
                  <c:v>27.165499999999998</c:v>
                </c:pt>
                <c:pt idx="26">
                  <c:v>27.077500000000001</c:v>
                </c:pt>
                <c:pt idx="27">
                  <c:v>27.013100000000001</c:v>
                </c:pt>
                <c:pt idx="28">
                  <c:v>26.993499999999997</c:v>
                </c:pt>
                <c:pt idx="29">
                  <c:v>26.984200000000001</c:v>
                </c:pt>
                <c:pt idx="30">
                  <c:v>26.959300000000002</c:v>
                </c:pt>
                <c:pt idx="31">
                  <c:v>26.980799999999999</c:v>
                </c:pt>
                <c:pt idx="32">
                  <c:v>27.0776</c:v>
                </c:pt>
                <c:pt idx="33">
                  <c:v>27.253399999999999</c:v>
                </c:pt>
                <c:pt idx="34">
                  <c:v>27.475500000000004</c:v>
                </c:pt>
                <c:pt idx="35">
                  <c:v>27.691900000000004</c:v>
                </c:pt>
                <c:pt idx="36">
                  <c:v>27.953600000000002</c:v>
                </c:pt>
                <c:pt idx="37">
                  <c:v>28.150199999999998</c:v>
                </c:pt>
                <c:pt idx="38">
                  <c:v>28.291</c:v>
                </c:pt>
                <c:pt idx="39">
                  <c:v>28.385400000000001</c:v>
                </c:pt>
                <c:pt idx="40">
                  <c:v>28.440300000000001</c:v>
                </c:pt>
                <c:pt idx="41">
                  <c:v>28.453200000000002</c:v>
                </c:pt>
                <c:pt idx="42">
                  <c:v>28.447199999999999</c:v>
                </c:pt>
                <c:pt idx="43">
                  <c:v>28.402899999999999</c:v>
                </c:pt>
                <c:pt idx="44">
                  <c:v>28.326400000000003</c:v>
                </c:pt>
                <c:pt idx="45">
                  <c:v>28.237400000000001</c:v>
                </c:pt>
                <c:pt idx="46">
                  <c:v>28.027899999999999</c:v>
                </c:pt>
                <c:pt idx="47">
                  <c:v>27.7057</c:v>
                </c:pt>
                <c:pt idx="48">
                  <c:v>27.362199999999998</c:v>
                </c:pt>
                <c:pt idx="49">
                  <c:v>26.948399999999999</c:v>
                </c:pt>
                <c:pt idx="50">
                  <c:v>26.5519</c:v>
                </c:pt>
                <c:pt idx="51">
                  <c:v>26.209300000000002</c:v>
                </c:pt>
                <c:pt idx="52">
                  <c:v>25.848199999999999</c:v>
                </c:pt>
                <c:pt idx="53">
                  <c:v>25.512</c:v>
                </c:pt>
                <c:pt idx="54">
                  <c:v>25.219200000000004</c:v>
                </c:pt>
                <c:pt idx="55">
                  <c:v>24.986599999999999</c:v>
                </c:pt>
                <c:pt idx="56">
                  <c:v>24.7608</c:v>
                </c:pt>
                <c:pt idx="57">
                  <c:v>24.520800000000001</c:v>
                </c:pt>
                <c:pt idx="58">
                  <c:v>24.3292</c:v>
                </c:pt>
                <c:pt idx="59">
                  <c:v>24.0701</c:v>
                </c:pt>
                <c:pt idx="60">
                  <c:v>23.774999999999999</c:v>
                </c:pt>
                <c:pt idx="61">
                  <c:v>23.500599999999999</c:v>
                </c:pt>
                <c:pt idx="62">
                  <c:v>23.288900000000002</c:v>
                </c:pt>
                <c:pt idx="63">
                  <c:v>23.1294</c:v>
                </c:pt>
                <c:pt idx="64">
                  <c:v>23.003399999999999</c:v>
                </c:pt>
                <c:pt idx="65">
                  <c:v>22.82</c:v>
                </c:pt>
                <c:pt idx="66">
                  <c:v>22.645799999999998</c:v>
                </c:pt>
                <c:pt idx="67">
                  <c:v>22.423399999999997</c:v>
                </c:pt>
                <c:pt idx="68">
                  <c:v>22.237299999999998</c:v>
                </c:pt>
                <c:pt idx="69">
                  <c:v>22.054499999999997</c:v>
                </c:pt>
                <c:pt idx="70">
                  <c:v>21.8843</c:v>
                </c:pt>
                <c:pt idx="71">
                  <c:v>21.784600000000001</c:v>
                </c:pt>
                <c:pt idx="72">
                  <c:v>21.714600000000001</c:v>
                </c:pt>
                <c:pt idx="73">
                  <c:v>21.675599999999999</c:v>
                </c:pt>
                <c:pt idx="74">
                  <c:v>21.686700000000002</c:v>
                </c:pt>
                <c:pt idx="75">
                  <c:v>21.697900000000001</c:v>
                </c:pt>
                <c:pt idx="76">
                  <c:v>21.686900000000001</c:v>
                </c:pt>
                <c:pt idx="77">
                  <c:v>21.7347</c:v>
                </c:pt>
                <c:pt idx="78">
                  <c:v>21.823600000000003</c:v>
                </c:pt>
                <c:pt idx="79">
                  <c:v>21.895099999999999</c:v>
                </c:pt>
                <c:pt idx="80">
                  <c:v>21.918299999999999</c:v>
                </c:pt>
                <c:pt idx="81">
                  <c:v>21.912799999999997</c:v>
                </c:pt>
                <c:pt idx="82">
                  <c:v>21.875399999999999</c:v>
                </c:pt>
                <c:pt idx="83">
                  <c:v>21.749700000000001</c:v>
                </c:pt>
                <c:pt idx="84">
                  <c:v>21.676300000000001</c:v>
                </c:pt>
                <c:pt idx="85">
                  <c:v>21.585699999999999</c:v>
                </c:pt>
                <c:pt idx="86">
                  <c:v>21.3751</c:v>
                </c:pt>
                <c:pt idx="87">
                  <c:v>21.042300000000001</c:v>
                </c:pt>
                <c:pt idx="88">
                  <c:v>20.676300000000001</c:v>
                </c:pt>
                <c:pt idx="89">
                  <c:v>20.308399999999999</c:v>
                </c:pt>
                <c:pt idx="90">
                  <c:v>20.11</c:v>
                </c:pt>
                <c:pt idx="91">
                  <c:v>19.8325</c:v>
                </c:pt>
                <c:pt idx="92">
                  <c:v>19.723099999999999</c:v>
                </c:pt>
                <c:pt idx="93">
                  <c:v>19.575500000000002</c:v>
                </c:pt>
                <c:pt idx="94">
                  <c:v>19.601900000000001</c:v>
                </c:pt>
                <c:pt idx="95">
                  <c:v>19.8384</c:v>
                </c:pt>
                <c:pt idx="96">
                  <c:v>19.9998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4.8835800000000003</c:v>
                </c:pt>
              </c:numCache>
            </c:numRef>
          </c:xVal>
          <c:yVal>
            <c:numRef>
              <c:f>[0]!FT_PH01</c:f>
              <c:numCache>
                <c:formatCode>0.00</c:formatCode>
                <c:ptCount val="1"/>
                <c:pt idx="0">
                  <c:v>30.503299999999999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4.8835800000000003</c:v>
                </c:pt>
              </c:numCache>
            </c:numRef>
          </c:xVal>
          <c:yVal>
            <c:numRef>
              <c:f>[0]!FT_PH02</c:f>
              <c:numCache>
                <c:formatCode>0.00</c:formatCode>
                <c:ptCount val="1"/>
                <c:pt idx="0">
                  <c:v>30.503299999999999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4.8835800000000003</c:v>
                </c:pt>
              </c:numCache>
            </c:numRef>
          </c:xVal>
          <c:yVal>
            <c:numRef>
              <c:f>[0]!FT_PH03</c:f>
              <c:numCache>
                <c:formatCode>0.00</c:formatCode>
                <c:ptCount val="1"/>
                <c:pt idx="0">
                  <c:v>30.503299999999999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4.8835800000000003</c:v>
                </c:pt>
              </c:numCache>
            </c:numRef>
          </c:xVal>
          <c:yVal>
            <c:numRef>
              <c:f>[0]!FT_PH04</c:f>
              <c:numCache>
                <c:formatCode>0.00</c:formatCode>
                <c:ptCount val="1"/>
                <c:pt idx="0">
                  <c:v>30.503299999999999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4.8835800000000003</c:v>
                </c:pt>
              </c:numCache>
            </c:numRef>
          </c:xVal>
          <c:yVal>
            <c:numRef>
              <c:f>[0]!FT_PH05</c:f>
              <c:numCache>
                <c:formatCode>0.00</c:formatCode>
                <c:ptCount val="1"/>
                <c:pt idx="0">
                  <c:v>30.503299999999999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4.8835800000000003</c:v>
                </c:pt>
              </c:numCache>
            </c:numRef>
          </c:xVal>
          <c:yVal>
            <c:numRef>
              <c:f>[0]!FT_PH06</c:f>
              <c:numCache>
                <c:formatCode>0.00</c:formatCode>
                <c:ptCount val="1"/>
                <c:pt idx="0">
                  <c:v>30.503299999999999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4.8835800000000003</c:v>
                </c:pt>
              </c:numCache>
            </c:numRef>
          </c:xVal>
          <c:yVal>
            <c:numRef>
              <c:f>[0]!FT_PH07</c:f>
              <c:numCache>
                <c:formatCode>0.00</c:formatCode>
                <c:ptCount val="1"/>
                <c:pt idx="0">
                  <c:v>30.503299999999999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4.8835800000000003</c:v>
                </c:pt>
              </c:numCache>
            </c:numRef>
          </c:xVal>
          <c:yVal>
            <c:numRef>
              <c:f>[0]!FT_PH08</c:f>
              <c:numCache>
                <c:formatCode>0.00</c:formatCode>
                <c:ptCount val="1"/>
                <c:pt idx="0">
                  <c:v>30.503299999999999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4.8835800000000003</c:v>
                </c:pt>
              </c:numCache>
            </c:numRef>
          </c:xVal>
          <c:yVal>
            <c:numRef>
              <c:f>[0]!FT_PH09</c:f>
              <c:numCache>
                <c:formatCode>0.00</c:formatCode>
                <c:ptCount val="1"/>
                <c:pt idx="0">
                  <c:v>30.503299999999999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4.8835800000000003</c:v>
                </c:pt>
              </c:numCache>
            </c:numRef>
          </c:xVal>
          <c:yVal>
            <c:numRef>
              <c:f>[0]!FT_PH10</c:f>
              <c:numCache>
                <c:formatCode>0.00</c:formatCode>
                <c:ptCount val="1"/>
                <c:pt idx="0">
                  <c:v>30.503299999999999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4.8835800000000003</c:v>
                </c:pt>
              </c:numCache>
            </c:numRef>
          </c:xVal>
          <c:yVal>
            <c:numRef>
              <c:f>[0]!FT_PH11</c:f>
              <c:numCache>
                <c:formatCode>0.00</c:formatCode>
                <c:ptCount val="1"/>
                <c:pt idx="0">
                  <c:v>30.503299999999999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4.8835800000000003</c:v>
                </c:pt>
              </c:numCache>
            </c:numRef>
          </c:xVal>
          <c:yVal>
            <c:numRef>
              <c:f>[0]!FT_PH12</c:f>
              <c:numCache>
                <c:formatCode>0.00</c:formatCode>
                <c:ptCount val="1"/>
                <c:pt idx="0">
                  <c:v>30.503299999999999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4.8835800000000003</c:v>
                </c:pt>
              </c:numCache>
            </c:numRef>
          </c:xVal>
          <c:yVal>
            <c:numRef>
              <c:f>[0]!FT_PH13</c:f>
              <c:numCache>
                <c:formatCode>0.00</c:formatCode>
                <c:ptCount val="1"/>
                <c:pt idx="0">
                  <c:v>30.503299999999999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4.8835800000000003</c:v>
                </c:pt>
              </c:numCache>
            </c:numRef>
          </c:xVal>
          <c:yVal>
            <c:numRef>
              <c:f>[0]!FT_PH14</c:f>
              <c:numCache>
                <c:formatCode>0.00</c:formatCode>
                <c:ptCount val="1"/>
                <c:pt idx="0">
                  <c:v>30.503299999999999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4.8835800000000003</c:v>
                </c:pt>
              </c:numCache>
            </c:numRef>
          </c:xVal>
          <c:yVal>
            <c:numRef>
              <c:f>[0]!FT_PH15</c:f>
              <c:numCache>
                <c:formatCode>0.00</c:formatCode>
                <c:ptCount val="1"/>
                <c:pt idx="0">
                  <c:v>30.503299999999999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4.8835800000000003</c:v>
                </c:pt>
              </c:numCache>
            </c:numRef>
          </c:xVal>
          <c:yVal>
            <c:numRef>
              <c:f>[0]!FT_PH16</c:f>
              <c:numCache>
                <c:formatCode>0.00</c:formatCode>
                <c:ptCount val="1"/>
                <c:pt idx="0">
                  <c:v>30.503299999999999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4.8835800000000003</c:v>
                </c:pt>
              </c:numCache>
            </c:numRef>
          </c:xVal>
          <c:yVal>
            <c:numRef>
              <c:f>[0]!FT_PH17</c:f>
              <c:numCache>
                <c:formatCode>0.00</c:formatCode>
                <c:ptCount val="1"/>
                <c:pt idx="0">
                  <c:v>30.503299999999999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4.8835800000000003</c:v>
                </c:pt>
              </c:numCache>
            </c:numRef>
          </c:xVal>
          <c:yVal>
            <c:numRef>
              <c:f>[0]!FT_PH18</c:f>
              <c:numCache>
                <c:formatCode>0.00</c:formatCode>
                <c:ptCount val="1"/>
                <c:pt idx="0">
                  <c:v>30.503299999999999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4.8835800000000003</c:v>
                </c:pt>
              </c:numCache>
            </c:numRef>
          </c:xVal>
          <c:yVal>
            <c:numRef>
              <c:f>[0]!FT_PH19</c:f>
              <c:numCache>
                <c:formatCode>0.00</c:formatCode>
                <c:ptCount val="1"/>
                <c:pt idx="0">
                  <c:v>30.503299999999999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4.8835800000000003</c:v>
                </c:pt>
              </c:numCache>
            </c:numRef>
          </c:xVal>
          <c:yVal>
            <c:numRef>
              <c:f>[0]!FT_PH20</c:f>
              <c:numCache>
                <c:formatCode>0.00</c:formatCode>
                <c:ptCount val="1"/>
                <c:pt idx="0">
                  <c:v>30.503299999999999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4.8835800000000003</c:v>
                </c:pt>
              </c:numCache>
            </c:numRef>
          </c:xVal>
          <c:yVal>
            <c:numRef>
              <c:f>[0]!FT_PH21</c:f>
              <c:numCache>
                <c:formatCode>0.00</c:formatCode>
                <c:ptCount val="1"/>
                <c:pt idx="0">
                  <c:v>30.503299999999999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4.8835800000000003</c:v>
                </c:pt>
              </c:numCache>
            </c:numRef>
          </c:xVal>
          <c:yVal>
            <c:numRef>
              <c:f>[0]!FT_PH22</c:f>
              <c:numCache>
                <c:formatCode>0.00</c:formatCode>
                <c:ptCount val="1"/>
                <c:pt idx="0">
                  <c:v>30.503299999999999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4.8835800000000003</c:v>
                </c:pt>
              </c:numCache>
            </c:numRef>
          </c:xVal>
          <c:yVal>
            <c:numRef>
              <c:f>[0]!FT_PH23</c:f>
              <c:numCache>
                <c:formatCode>0.00</c:formatCode>
                <c:ptCount val="1"/>
                <c:pt idx="0">
                  <c:v>30.503299999999999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4.8835800000000003</c:v>
                </c:pt>
              </c:numCache>
            </c:numRef>
          </c:xVal>
          <c:yVal>
            <c:numRef>
              <c:f>[0]!FT_PH24</c:f>
              <c:numCache>
                <c:formatCode>0.00</c:formatCode>
                <c:ptCount val="1"/>
                <c:pt idx="0">
                  <c:v>30.503299999999999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4.8835800000000003</c:v>
                </c:pt>
              </c:numCache>
            </c:numRef>
          </c:xVal>
          <c:yVal>
            <c:numRef>
              <c:f>info!$H$2</c:f>
              <c:numCache>
                <c:formatCode>0.00</c:formatCode>
                <c:ptCount val="1"/>
                <c:pt idx="0">
                  <c:v>30.503299999999999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0.21062322286856897</c:v>
                </c:pt>
                <c:pt idx="1">
                  <c:v>0.17898848158745559</c:v>
                </c:pt>
                <c:pt idx="2">
                  <c:v>0.61038829554397556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7"/>
                <c:pt idx="0">
                  <c:v>0</c:v>
                </c:pt>
                <c:pt idx="1">
                  <c:v>0.40446199999999999</c:v>
                </c:pt>
                <c:pt idx="2">
                  <c:v>0.80959199999999998</c:v>
                </c:pt>
                <c:pt idx="3">
                  <c:v>1.2161999999999999</c:v>
                </c:pt>
                <c:pt idx="4">
                  <c:v>1.62202</c:v>
                </c:pt>
                <c:pt idx="5">
                  <c:v>2.0300500000000001</c:v>
                </c:pt>
                <c:pt idx="6">
                  <c:v>2.4369499999999999</c:v>
                </c:pt>
                <c:pt idx="7">
                  <c:v>2.8413900000000001</c:v>
                </c:pt>
                <c:pt idx="8">
                  <c:v>3.2499099999999999</c:v>
                </c:pt>
                <c:pt idx="9">
                  <c:v>3.6543100000000002</c:v>
                </c:pt>
                <c:pt idx="10">
                  <c:v>4.0610400000000002</c:v>
                </c:pt>
                <c:pt idx="11">
                  <c:v>4.4660099999999998</c:v>
                </c:pt>
                <c:pt idx="12">
                  <c:v>4.8718300000000001</c:v>
                </c:pt>
                <c:pt idx="13">
                  <c:v>5.2807399999999998</c:v>
                </c:pt>
                <c:pt idx="14">
                  <c:v>5.6871299999999998</c:v>
                </c:pt>
                <c:pt idx="15">
                  <c:v>6.0903799999999997</c:v>
                </c:pt>
                <c:pt idx="16">
                  <c:v>6.4995500000000002</c:v>
                </c:pt>
                <c:pt idx="17">
                  <c:v>6.9037600000000001</c:v>
                </c:pt>
                <c:pt idx="18">
                  <c:v>7.3120200000000004</c:v>
                </c:pt>
                <c:pt idx="19">
                  <c:v>7.7178399999999998</c:v>
                </c:pt>
                <c:pt idx="20">
                  <c:v>8.1254799999999996</c:v>
                </c:pt>
                <c:pt idx="21">
                  <c:v>8.52956</c:v>
                </c:pt>
                <c:pt idx="22">
                  <c:v>8.9352699999999992</c:v>
                </c:pt>
                <c:pt idx="23">
                  <c:v>9.3403600000000004</c:v>
                </c:pt>
                <c:pt idx="24">
                  <c:v>9.7490000000000006</c:v>
                </c:pt>
                <c:pt idx="25">
                  <c:v>10.1539</c:v>
                </c:pt>
                <c:pt idx="26">
                  <c:v>10.562200000000001</c:v>
                </c:pt>
                <c:pt idx="27">
                  <c:v>10.9686</c:v>
                </c:pt>
                <c:pt idx="28">
                  <c:v>11.3721</c:v>
                </c:pt>
                <c:pt idx="29">
                  <c:v>11.7818</c:v>
                </c:pt>
                <c:pt idx="30">
                  <c:v>12.1854</c:v>
                </c:pt>
                <c:pt idx="31">
                  <c:v>12.5938</c:v>
                </c:pt>
                <c:pt idx="32">
                  <c:v>12.9998</c:v>
                </c:pt>
                <c:pt idx="33">
                  <c:v>13.4057</c:v>
                </c:pt>
                <c:pt idx="34">
                  <c:v>13.812799999999999</c:v>
                </c:pt>
                <c:pt idx="35">
                  <c:v>14.2178</c:v>
                </c:pt>
                <c:pt idx="36">
                  <c:v>14.6227</c:v>
                </c:pt>
                <c:pt idx="37">
                  <c:v>15.0305</c:v>
                </c:pt>
                <c:pt idx="38">
                  <c:v>15.4346</c:v>
                </c:pt>
                <c:pt idx="39">
                  <c:v>15.846299999999999</c:v>
                </c:pt>
                <c:pt idx="40">
                  <c:v>16.252300000000002</c:v>
                </c:pt>
                <c:pt idx="41">
                  <c:v>16.6554</c:v>
                </c:pt>
                <c:pt idx="42">
                  <c:v>17.0609</c:v>
                </c:pt>
                <c:pt idx="43">
                  <c:v>17.468</c:v>
                </c:pt>
                <c:pt idx="44">
                  <c:v>17.8766</c:v>
                </c:pt>
                <c:pt idx="45">
                  <c:v>18.2804</c:v>
                </c:pt>
                <c:pt idx="46">
                  <c:v>18.685600000000001</c:v>
                </c:pt>
                <c:pt idx="47">
                  <c:v>19.095400000000001</c:v>
                </c:pt>
                <c:pt idx="48">
                  <c:v>19.497699999999998</c:v>
                </c:pt>
                <c:pt idx="49">
                  <c:v>19.904800000000002</c:v>
                </c:pt>
                <c:pt idx="50">
                  <c:v>20.3125</c:v>
                </c:pt>
                <c:pt idx="51">
                  <c:v>20.718299999999999</c:v>
                </c:pt>
                <c:pt idx="52">
                  <c:v>21.125299999999999</c:v>
                </c:pt>
                <c:pt idx="53">
                  <c:v>21.531400000000001</c:v>
                </c:pt>
                <c:pt idx="54">
                  <c:v>21.936</c:v>
                </c:pt>
                <c:pt idx="55">
                  <c:v>22.341100000000001</c:v>
                </c:pt>
                <c:pt idx="56">
                  <c:v>22.75</c:v>
                </c:pt>
                <c:pt idx="57">
                  <c:v>23.153300000000002</c:v>
                </c:pt>
                <c:pt idx="58">
                  <c:v>23.562200000000001</c:v>
                </c:pt>
                <c:pt idx="59">
                  <c:v>23.968800000000002</c:v>
                </c:pt>
                <c:pt idx="60">
                  <c:v>24.372399999999999</c:v>
                </c:pt>
                <c:pt idx="61">
                  <c:v>24.78</c:v>
                </c:pt>
                <c:pt idx="62">
                  <c:v>25.1861</c:v>
                </c:pt>
                <c:pt idx="63">
                  <c:v>25.591899999999999</c:v>
                </c:pt>
                <c:pt idx="64">
                  <c:v>25.999500000000001</c:v>
                </c:pt>
                <c:pt idx="65">
                  <c:v>26.404199999999999</c:v>
                </c:pt>
                <c:pt idx="66">
                  <c:v>26.8096</c:v>
                </c:pt>
                <c:pt idx="67">
                  <c:v>27.222200000000001</c:v>
                </c:pt>
                <c:pt idx="68">
                  <c:v>27.623000000000001</c:v>
                </c:pt>
                <c:pt idx="69">
                  <c:v>28.029599999999999</c:v>
                </c:pt>
                <c:pt idx="70">
                  <c:v>28.4375</c:v>
                </c:pt>
                <c:pt idx="71">
                  <c:v>28.8429</c:v>
                </c:pt>
                <c:pt idx="72">
                  <c:v>29.2532</c:v>
                </c:pt>
                <c:pt idx="73">
                  <c:v>29.654499999999999</c:v>
                </c:pt>
                <c:pt idx="74">
                  <c:v>30.062200000000001</c:v>
                </c:pt>
                <c:pt idx="75">
                  <c:v>30.466699999999999</c:v>
                </c:pt>
                <c:pt idx="76">
                  <c:v>30.8749</c:v>
                </c:pt>
                <c:pt idx="77">
                  <c:v>31.2822</c:v>
                </c:pt>
                <c:pt idx="78">
                  <c:v>31.685199999999998</c:v>
                </c:pt>
                <c:pt idx="79">
                  <c:v>32.092300000000002</c:v>
                </c:pt>
                <c:pt idx="80">
                  <c:v>32.4985</c:v>
                </c:pt>
                <c:pt idx="81">
                  <c:v>32.906100000000002</c:v>
                </c:pt>
                <c:pt idx="82">
                  <c:v>33.313400000000001</c:v>
                </c:pt>
                <c:pt idx="83">
                  <c:v>33.719000000000001</c:v>
                </c:pt>
                <c:pt idx="84">
                  <c:v>34.123399999999997</c:v>
                </c:pt>
                <c:pt idx="85">
                  <c:v>34.529200000000003</c:v>
                </c:pt>
                <c:pt idx="86">
                  <c:v>34.934800000000003</c:v>
                </c:pt>
                <c:pt idx="87">
                  <c:v>35.344099999999997</c:v>
                </c:pt>
                <c:pt idx="88">
                  <c:v>35.749099999999999</c:v>
                </c:pt>
                <c:pt idx="89">
                  <c:v>36.1526</c:v>
                </c:pt>
                <c:pt idx="90">
                  <c:v>36.563899999999997</c:v>
                </c:pt>
                <c:pt idx="91">
                  <c:v>36.969000000000001</c:v>
                </c:pt>
                <c:pt idx="92">
                  <c:v>37.375</c:v>
                </c:pt>
                <c:pt idx="93">
                  <c:v>37.780500000000004</c:v>
                </c:pt>
                <c:pt idx="94">
                  <c:v>38.186500000000002</c:v>
                </c:pt>
                <c:pt idx="95">
                  <c:v>38.593299999999999</c:v>
                </c:pt>
                <c:pt idx="96">
                  <c:v>39.0002</c:v>
                </c:pt>
              </c:numCache>
            </c:numRef>
          </c:xVal>
          <c:yVal>
            <c:numRef>
              <c:f>[0]!FT_E</c:f>
              <c:numCache>
                <c:formatCode>0.00</c:formatCode>
                <c:ptCount val="97"/>
                <c:pt idx="0">
                  <c:v>4.8835800000000003</c:v>
                </c:pt>
                <c:pt idx="1">
                  <c:v>4.8927700000000005</c:v>
                </c:pt>
                <c:pt idx="2">
                  <c:v>4.9047800000000006</c:v>
                </c:pt>
                <c:pt idx="3">
                  <c:v>4.91648</c:v>
                </c:pt>
                <c:pt idx="4">
                  <c:v>4.9251299999999993</c:v>
                </c:pt>
                <c:pt idx="5">
                  <c:v>4.9285199999999998</c:v>
                </c:pt>
                <c:pt idx="6">
                  <c:v>4.9283200000000003</c:v>
                </c:pt>
                <c:pt idx="7">
                  <c:v>4.9231199999999999</c:v>
                </c:pt>
                <c:pt idx="8">
                  <c:v>4.9151400000000001</c:v>
                </c:pt>
                <c:pt idx="9">
                  <c:v>4.9048400000000001</c:v>
                </c:pt>
                <c:pt idx="10">
                  <c:v>4.8908000000000005</c:v>
                </c:pt>
                <c:pt idx="11">
                  <c:v>4.8717500000000005</c:v>
                </c:pt>
                <c:pt idx="12">
                  <c:v>4.8478300000000001</c:v>
                </c:pt>
                <c:pt idx="13">
                  <c:v>4.8204799999999999</c:v>
                </c:pt>
                <c:pt idx="14">
                  <c:v>4.7920600000000002</c:v>
                </c:pt>
                <c:pt idx="15">
                  <c:v>4.76105</c:v>
                </c:pt>
                <c:pt idx="16">
                  <c:v>4.7264099999999996</c:v>
                </c:pt>
                <c:pt idx="17">
                  <c:v>4.6932299999999998</c:v>
                </c:pt>
                <c:pt idx="18">
                  <c:v>4.66317</c:v>
                </c:pt>
                <c:pt idx="19">
                  <c:v>4.6346400000000001</c:v>
                </c:pt>
                <c:pt idx="20">
                  <c:v>4.6097400000000004</c:v>
                </c:pt>
                <c:pt idx="21">
                  <c:v>4.5844300000000002</c:v>
                </c:pt>
                <c:pt idx="22">
                  <c:v>4.5572099999999995</c:v>
                </c:pt>
                <c:pt idx="23">
                  <c:v>4.5305099999999996</c:v>
                </c:pt>
                <c:pt idx="24">
                  <c:v>4.5014199999999995</c:v>
                </c:pt>
                <c:pt idx="25">
                  <c:v>4.4734099999999994</c:v>
                </c:pt>
                <c:pt idx="26">
                  <c:v>4.4487800000000002</c:v>
                </c:pt>
                <c:pt idx="27">
                  <c:v>4.4201199999999998</c:v>
                </c:pt>
                <c:pt idx="28">
                  <c:v>4.3896899999999999</c:v>
                </c:pt>
                <c:pt idx="29">
                  <c:v>4.3645899999999997</c:v>
                </c:pt>
                <c:pt idx="30">
                  <c:v>4.3413000000000004</c:v>
                </c:pt>
                <c:pt idx="31">
                  <c:v>4.3192599999999999</c:v>
                </c:pt>
                <c:pt idx="32">
                  <c:v>4.2988599999999995</c:v>
                </c:pt>
                <c:pt idx="33">
                  <c:v>4.2779400000000001</c:v>
                </c:pt>
                <c:pt idx="34">
                  <c:v>4.2555199999999997</c:v>
                </c:pt>
                <c:pt idx="35">
                  <c:v>4.2340100000000005</c:v>
                </c:pt>
                <c:pt idx="36">
                  <c:v>4.2142800000000005</c:v>
                </c:pt>
                <c:pt idx="37">
                  <c:v>4.1970900000000002</c:v>
                </c:pt>
                <c:pt idx="38">
                  <c:v>4.1807999999999996</c:v>
                </c:pt>
                <c:pt idx="39">
                  <c:v>4.16411</c:v>
                </c:pt>
                <c:pt idx="40">
                  <c:v>4.1473100000000001</c:v>
                </c:pt>
                <c:pt idx="41">
                  <c:v>4.1301600000000001</c:v>
                </c:pt>
                <c:pt idx="42">
                  <c:v>4.1135299999999999</c:v>
                </c:pt>
                <c:pt idx="43">
                  <c:v>4.0956799999999998</c:v>
                </c:pt>
                <c:pt idx="44">
                  <c:v>4.0770600000000004</c:v>
                </c:pt>
                <c:pt idx="45">
                  <c:v>4.0578099999999999</c:v>
                </c:pt>
                <c:pt idx="46">
                  <c:v>4.0403400000000005</c:v>
                </c:pt>
                <c:pt idx="47">
                  <c:v>4.0281599999999997</c:v>
                </c:pt>
                <c:pt idx="48">
                  <c:v>4.0207300000000004</c:v>
                </c:pt>
                <c:pt idx="49">
                  <c:v>4.01952</c:v>
                </c:pt>
                <c:pt idx="50">
                  <c:v>4.0188100000000002</c:v>
                </c:pt>
                <c:pt idx="51">
                  <c:v>4.0168900000000001</c:v>
                </c:pt>
                <c:pt idx="52">
                  <c:v>4.0151900000000005</c:v>
                </c:pt>
                <c:pt idx="53">
                  <c:v>4.0143800000000001</c:v>
                </c:pt>
                <c:pt idx="54">
                  <c:v>4.0130600000000003</c:v>
                </c:pt>
                <c:pt idx="55">
                  <c:v>4.0108700000000006</c:v>
                </c:pt>
                <c:pt idx="56">
                  <c:v>4.0081199999999999</c:v>
                </c:pt>
                <c:pt idx="57">
                  <c:v>4.0038200000000002</c:v>
                </c:pt>
                <c:pt idx="58">
                  <c:v>3.9969999999999999</c:v>
                </c:pt>
                <c:pt idx="59">
                  <c:v>3.9911300000000001</c:v>
                </c:pt>
                <c:pt idx="60">
                  <c:v>3.9874700000000001</c:v>
                </c:pt>
                <c:pt idx="61">
                  <c:v>3.98272</c:v>
                </c:pt>
                <c:pt idx="62">
                  <c:v>3.9771000000000001</c:v>
                </c:pt>
                <c:pt idx="63">
                  <c:v>3.9717799999999999</c:v>
                </c:pt>
                <c:pt idx="64">
                  <c:v>3.9666800000000002</c:v>
                </c:pt>
                <c:pt idx="65">
                  <c:v>3.9670000000000001</c:v>
                </c:pt>
                <c:pt idx="66">
                  <c:v>3.9673599999999998</c:v>
                </c:pt>
                <c:pt idx="67">
                  <c:v>3.96645</c:v>
                </c:pt>
                <c:pt idx="68">
                  <c:v>3.9648299999999996</c:v>
                </c:pt>
                <c:pt idx="69">
                  <c:v>3.9652099999999999</c:v>
                </c:pt>
                <c:pt idx="70">
                  <c:v>3.9674199999999997</c:v>
                </c:pt>
                <c:pt idx="71">
                  <c:v>3.9669599999999998</c:v>
                </c:pt>
                <c:pt idx="72">
                  <c:v>3.9646699999999999</c:v>
                </c:pt>
                <c:pt idx="73">
                  <c:v>3.9620800000000003</c:v>
                </c:pt>
                <c:pt idx="74">
                  <c:v>3.95634</c:v>
                </c:pt>
                <c:pt idx="75">
                  <c:v>3.9500299999999999</c:v>
                </c:pt>
                <c:pt idx="76">
                  <c:v>3.9458199999999999</c:v>
                </c:pt>
                <c:pt idx="77">
                  <c:v>3.9417999999999997</c:v>
                </c:pt>
                <c:pt idx="78">
                  <c:v>3.9344099999999997</c:v>
                </c:pt>
                <c:pt idx="79">
                  <c:v>3.9250800000000003</c:v>
                </c:pt>
                <c:pt idx="80">
                  <c:v>3.9161200000000003</c:v>
                </c:pt>
                <c:pt idx="81">
                  <c:v>3.9073799999999999</c:v>
                </c:pt>
                <c:pt idx="82">
                  <c:v>3.9013499999999999</c:v>
                </c:pt>
                <c:pt idx="83">
                  <c:v>3.89907</c:v>
                </c:pt>
                <c:pt idx="84">
                  <c:v>3.8977400000000002</c:v>
                </c:pt>
                <c:pt idx="85">
                  <c:v>3.89635</c:v>
                </c:pt>
                <c:pt idx="86">
                  <c:v>3.8978800000000002</c:v>
                </c:pt>
                <c:pt idx="87">
                  <c:v>3.9019199999999996</c:v>
                </c:pt>
                <c:pt idx="88">
                  <c:v>3.90496</c:v>
                </c:pt>
                <c:pt idx="89">
                  <c:v>3.9058199999999998</c:v>
                </c:pt>
                <c:pt idx="90">
                  <c:v>3.8978200000000003</c:v>
                </c:pt>
                <c:pt idx="91">
                  <c:v>3.8929599999999995</c:v>
                </c:pt>
                <c:pt idx="92">
                  <c:v>3.8872</c:v>
                </c:pt>
                <c:pt idx="93">
                  <c:v>3.9014799999999998</c:v>
                </c:pt>
                <c:pt idx="94">
                  <c:v>3.9102199999999998</c:v>
                </c:pt>
                <c:pt idx="95">
                  <c:v>3.8986199999999998</c:v>
                </c:pt>
                <c:pt idx="96">
                  <c:v>3.9081999999999999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4.8835800000000003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4.8835800000000003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4.8835800000000003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4.8835800000000003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4.8835800000000003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4.8835800000000003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4.8835800000000003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4.8835800000000003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4.8835800000000003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4.8835800000000003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4.8835800000000003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4.8835800000000003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4.8835800000000003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4.8835800000000003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4.8835800000000003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4.8835800000000003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4.8835800000000003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4.8835800000000003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4.8835800000000003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4.8835800000000003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4.8835800000000003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4.8835800000000003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4.8835800000000003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4.8835800000000003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7"/>
                <c:pt idx="0">
                  <c:v>0</c:v>
                </c:pt>
                <c:pt idx="1">
                  <c:v>0.40446199999999999</c:v>
                </c:pt>
                <c:pt idx="2">
                  <c:v>0.80959199999999998</c:v>
                </c:pt>
                <c:pt idx="3">
                  <c:v>1.2161999999999999</c:v>
                </c:pt>
                <c:pt idx="4">
                  <c:v>1.62202</c:v>
                </c:pt>
                <c:pt idx="5">
                  <c:v>2.0300500000000001</c:v>
                </c:pt>
                <c:pt idx="6">
                  <c:v>2.4369499999999999</c:v>
                </c:pt>
                <c:pt idx="7">
                  <c:v>2.8413900000000001</c:v>
                </c:pt>
                <c:pt idx="8">
                  <c:v>3.2499099999999999</c:v>
                </c:pt>
                <c:pt idx="9">
                  <c:v>3.6543100000000002</c:v>
                </c:pt>
                <c:pt idx="10">
                  <c:v>4.0610400000000002</c:v>
                </c:pt>
                <c:pt idx="11">
                  <c:v>4.4660099999999998</c:v>
                </c:pt>
                <c:pt idx="12">
                  <c:v>4.8718300000000001</c:v>
                </c:pt>
                <c:pt idx="13">
                  <c:v>5.2807399999999998</c:v>
                </c:pt>
                <c:pt idx="14">
                  <c:v>5.6871299999999998</c:v>
                </c:pt>
                <c:pt idx="15">
                  <c:v>6.0903799999999997</c:v>
                </c:pt>
                <c:pt idx="16">
                  <c:v>6.4995500000000002</c:v>
                </c:pt>
                <c:pt idx="17">
                  <c:v>6.9037600000000001</c:v>
                </c:pt>
                <c:pt idx="18">
                  <c:v>7.3120200000000004</c:v>
                </c:pt>
                <c:pt idx="19">
                  <c:v>7.7178399999999998</c:v>
                </c:pt>
                <c:pt idx="20">
                  <c:v>8.1254799999999996</c:v>
                </c:pt>
                <c:pt idx="21">
                  <c:v>8.52956</c:v>
                </c:pt>
                <c:pt idx="22">
                  <c:v>8.9352699999999992</c:v>
                </c:pt>
                <c:pt idx="23">
                  <c:v>9.3403600000000004</c:v>
                </c:pt>
                <c:pt idx="24">
                  <c:v>9.7490000000000006</c:v>
                </c:pt>
                <c:pt idx="25">
                  <c:v>10.1539</c:v>
                </c:pt>
                <c:pt idx="26">
                  <c:v>10.562200000000001</c:v>
                </c:pt>
                <c:pt idx="27">
                  <c:v>10.9686</c:v>
                </c:pt>
                <c:pt idx="28">
                  <c:v>11.3721</c:v>
                </c:pt>
                <c:pt idx="29">
                  <c:v>11.7818</c:v>
                </c:pt>
                <c:pt idx="30">
                  <c:v>12.1854</c:v>
                </c:pt>
                <c:pt idx="31">
                  <c:v>12.5938</c:v>
                </c:pt>
                <c:pt idx="32">
                  <c:v>12.9998</c:v>
                </c:pt>
                <c:pt idx="33">
                  <c:v>13.4057</c:v>
                </c:pt>
                <c:pt idx="34">
                  <c:v>13.812799999999999</c:v>
                </c:pt>
                <c:pt idx="35">
                  <c:v>14.2178</c:v>
                </c:pt>
                <c:pt idx="36">
                  <c:v>14.6227</c:v>
                </c:pt>
                <c:pt idx="37">
                  <c:v>15.0305</c:v>
                </c:pt>
                <c:pt idx="38">
                  <c:v>15.4346</c:v>
                </c:pt>
                <c:pt idx="39">
                  <c:v>15.846299999999999</c:v>
                </c:pt>
                <c:pt idx="40">
                  <c:v>16.252300000000002</c:v>
                </c:pt>
                <c:pt idx="41">
                  <c:v>16.6554</c:v>
                </c:pt>
                <c:pt idx="42">
                  <c:v>17.0609</c:v>
                </c:pt>
                <c:pt idx="43">
                  <c:v>17.468</c:v>
                </c:pt>
                <c:pt idx="44">
                  <c:v>17.8766</c:v>
                </c:pt>
                <c:pt idx="45">
                  <c:v>18.2804</c:v>
                </c:pt>
                <c:pt idx="46">
                  <c:v>18.685600000000001</c:v>
                </c:pt>
                <c:pt idx="47">
                  <c:v>19.095400000000001</c:v>
                </c:pt>
                <c:pt idx="48">
                  <c:v>19.497699999999998</c:v>
                </c:pt>
                <c:pt idx="49">
                  <c:v>19.904800000000002</c:v>
                </c:pt>
                <c:pt idx="50">
                  <c:v>20.3125</c:v>
                </c:pt>
                <c:pt idx="51">
                  <c:v>20.718299999999999</c:v>
                </c:pt>
                <c:pt idx="52">
                  <c:v>21.125299999999999</c:v>
                </c:pt>
                <c:pt idx="53">
                  <c:v>21.531400000000001</c:v>
                </c:pt>
                <c:pt idx="54">
                  <c:v>21.936</c:v>
                </c:pt>
                <c:pt idx="55">
                  <c:v>22.341100000000001</c:v>
                </c:pt>
                <c:pt idx="56">
                  <c:v>22.75</c:v>
                </c:pt>
                <c:pt idx="57">
                  <c:v>23.153300000000002</c:v>
                </c:pt>
                <c:pt idx="58">
                  <c:v>23.562200000000001</c:v>
                </c:pt>
                <c:pt idx="59">
                  <c:v>23.968800000000002</c:v>
                </c:pt>
                <c:pt idx="60">
                  <c:v>24.372399999999999</c:v>
                </c:pt>
                <c:pt idx="61">
                  <c:v>24.78</c:v>
                </c:pt>
                <c:pt idx="62">
                  <c:v>25.1861</c:v>
                </c:pt>
                <c:pt idx="63">
                  <c:v>25.591899999999999</c:v>
                </c:pt>
                <c:pt idx="64">
                  <c:v>25.999500000000001</c:v>
                </c:pt>
                <c:pt idx="65">
                  <c:v>26.404199999999999</c:v>
                </c:pt>
                <c:pt idx="66">
                  <c:v>26.8096</c:v>
                </c:pt>
                <c:pt idx="67">
                  <c:v>27.222200000000001</c:v>
                </c:pt>
                <c:pt idx="68">
                  <c:v>27.623000000000001</c:v>
                </c:pt>
                <c:pt idx="69">
                  <c:v>28.029599999999999</c:v>
                </c:pt>
                <c:pt idx="70">
                  <c:v>28.4375</c:v>
                </c:pt>
                <c:pt idx="71">
                  <c:v>28.8429</c:v>
                </c:pt>
                <c:pt idx="72">
                  <c:v>29.2532</c:v>
                </c:pt>
                <c:pt idx="73">
                  <c:v>29.654499999999999</c:v>
                </c:pt>
                <c:pt idx="74">
                  <c:v>30.062200000000001</c:v>
                </c:pt>
                <c:pt idx="75">
                  <c:v>30.466699999999999</c:v>
                </c:pt>
                <c:pt idx="76">
                  <c:v>30.8749</c:v>
                </c:pt>
                <c:pt idx="77">
                  <c:v>31.2822</c:v>
                </c:pt>
                <c:pt idx="78">
                  <c:v>31.685199999999998</c:v>
                </c:pt>
                <c:pt idx="79">
                  <c:v>32.092300000000002</c:v>
                </c:pt>
                <c:pt idx="80">
                  <c:v>32.4985</c:v>
                </c:pt>
                <c:pt idx="81">
                  <c:v>32.906100000000002</c:v>
                </c:pt>
                <c:pt idx="82">
                  <c:v>33.313400000000001</c:v>
                </c:pt>
                <c:pt idx="83">
                  <c:v>33.719000000000001</c:v>
                </c:pt>
                <c:pt idx="84">
                  <c:v>34.123399999999997</c:v>
                </c:pt>
                <c:pt idx="85">
                  <c:v>34.529200000000003</c:v>
                </c:pt>
                <c:pt idx="86">
                  <c:v>34.934800000000003</c:v>
                </c:pt>
                <c:pt idx="87">
                  <c:v>35.344099999999997</c:v>
                </c:pt>
                <c:pt idx="88">
                  <c:v>35.749099999999999</c:v>
                </c:pt>
                <c:pt idx="89">
                  <c:v>36.1526</c:v>
                </c:pt>
                <c:pt idx="90">
                  <c:v>36.563899999999997</c:v>
                </c:pt>
                <c:pt idx="91">
                  <c:v>36.969000000000001</c:v>
                </c:pt>
                <c:pt idx="92">
                  <c:v>37.375</c:v>
                </c:pt>
                <c:pt idx="93">
                  <c:v>37.780500000000004</c:v>
                </c:pt>
                <c:pt idx="94">
                  <c:v>38.186500000000002</c:v>
                </c:pt>
                <c:pt idx="95">
                  <c:v>38.593299999999999</c:v>
                </c:pt>
                <c:pt idx="96">
                  <c:v>39.0002</c:v>
                </c:pt>
              </c:numCache>
            </c:numRef>
          </c:xVal>
          <c:yVal>
            <c:numRef>
              <c:f>[0]!FT_PH</c:f>
              <c:numCache>
                <c:formatCode>0.00</c:formatCode>
                <c:ptCount val="97"/>
                <c:pt idx="0">
                  <c:v>30.503299999999999</c:v>
                </c:pt>
                <c:pt idx="1">
                  <c:v>30.536799999999996</c:v>
                </c:pt>
                <c:pt idx="2">
                  <c:v>30.521700000000003</c:v>
                </c:pt>
                <c:pt idx="3">
                  <c:v>30.462199999999999</c:v>
                </c:pt>
                <c:pt idx="4">
                  <c:v>30.349299999999999</c:v>
                </c:pt>
                <c:pt idx="5">
                  <c:v>30.169499999999999</c:v>
                </c:pt>
                <c:pt idx="6">
                  <c:v>29.9375</c:v>
                </c:pt>
                <c:pt idx="7">
                  <c:v>29.6342</c:v>
                </c:pt>
                <c:pt idx="8">
                  <c:v>29.269499999999997</c:v>
                </c:pt>
                <c:pt idx="9">
                  <c:v>28.926500000000001</c:v>
                </c:pt>
                <c:pt idx="10">
                  <c:v>28.598200000000002</c:v>
                </c:pt>
                <c:pt idx="11">
                  <c:v>28.2682</c:v>
                </c:pt>
                <c:pt idx="12">
                  <c:v>27.983400000000003</c:v>
                </c:pt>
                <c:pt idx="13">
                  <c:v>27.7926</c:v>
                </c:pt>
                <c:pt idx="14">
                  <c:v>27.704899999999999</c:v>
                </c:pt>
                <c:pt idx="15">
                  <c:v>27.613900000000001</c:v>
                </c:pt>
                <c:pt idx="16">
                  <c:v>27.649699999999999</c:v>
                </c:pt>
                <c:pt idx="17">
                  <c:v>27.721600000000002</c:v>
                </c:pt>
                <c:pt idx="18">
                  <c:v>27.686300000000003</c:v>
                </c:pt>
                <c:pt idx="19">
                  <c:v>27.575100000000003</c:v>
                </c:pt>
                <c:pt idx="20">
                  <c:v>27.459099999999996</c:v>
                </c:pt>
                <c:pt idx="21">
                  <c:v>27.362300000000001</c:v>
                </c:pt>
                <c:pt idx="22">
                  <c:v>27.316600000000001</c:v>
                </c:pt>
                <c:pt idx="23">
                  <c:v>27.273900000000001</c:v>
                </c:pt>
                <c:pt idx="24">
                  <c:v>27.222099999999998</c:v>
                </c:pt>
                <c:pt idx="25">
                  <c:v>27.165499999999998</c:v>
                </c:pt>
                <c:pt idx="26">
                  <c:v>27.077500000000001</c:v>
                </c:pt>
                <c:pt idx="27">
                  <c:v>27.013100000000001</c:v>
                </c:pt>
                <c:pt idx="28">
                  <c:v>26.993499999999997</c:v>
                </c:pt>
                <c:pt idx="29">
                  <c:v>26.984200000000001</c:v>
                </c:pt>
                <c:pt idx="30">
                  <c:v>26.959300000000002</c:v>
                </c:pt>
                <c:pt idx="31">
                  <c:v>26.980799999999999</c:v>
                </c:pt>
                <c:pt idx="32">
                  <c:v>27.0776</c:v>
                </c:pt>
                <c:pt idx="33">
                  <c:v>27.253399999999999</c:v>
                </c:pt>
                <c:pt idx="34">
                  <c:v>27.475500000000004</c:v>
                </c:pt>
                <c:pt idx="35">
                  <c:v>27.691900000000004</c:v>
                </c:pt>
                <c:pt idx="36">
                  <c:v>27.953600000000002</c:v>
                </c:pt>
                <c:pt idx="37">
                  <c:v>28.150199999999998</c:v>
                </c:pt>
                <c:pt idx="38">
                  <c:v>28.291</c:v>
                </c:pt>
                <c:pt idx="39">
                  <c:v>28.385400000000001</c:v>
                </c:pt>
                <c:pt idx="40">
                  <c:v>28.440300000000001</c:v>
                </c:pt>
                <c:pt idx="41">
                  <c:v>28.453200000000002</c:v>
                </c:pt>
                <c:pt idx="42">
                  <c:v>28.447199999999999</c:v>
                </c:pt>
                <c:pt idx="43">
                  <c:v>28.402899999999999</c:v>
                </c:pt>
                <c:pt idx="44">
                  <c:v>28.326400000000003</c:v>
                </c:pt>
                <c:pt idx="45">
                  <c:v>28.237400000000001</c:v>
                </c:pt>
                <c:pt idx="46">
                  <c:v>28.027899999999999</c:v>
                </c:pt>
                <c:pt idx="47">
                  <c:v>27.7057</c:v>
                </c:pt>
                <c:pt idx="48">
                  <c:v>27.362199999999998</c:v>
                </c:pt>
                <c:pt idx="49">
                  <c:v>26.948399999999999</c:v>
                </c:pt>
                <c:pt idx="50">
                  <c:v>26.5519</c:v>
                </c:pt>
                <c:pt idx="51">
                  <c:v>26.209300000000002</c:v>
                </c:pt>
                <c:pt idx="52">
                  <c:v>25.848199999999999</c:v>
                </c:pt>
                <c:pt idx="53">
                  <c:v>25.512</c:v>
                </c:pt>
                <c:pt idx="54">
                  <c:v>25.219200000000004</c:v>
                </c:pt>
                <c:pt idx="55">
                  <c:v>24.986599999999999</c:v>
                </c:pt>
                <c:pt idx="56">
                  <c:v>24.7608</c:v>
                </c:pt>
                <c:pt idx="57">
                  <c:v>24.520800000000001</c:v>
                </c:pt>
                <c:pt idx="58">
                  <c:v>24.3292</c:v>
                </c:pt>
                <c:pt idx="59">
                  <c:v>24.0701</c:v>
                </c:pt>
                <c:pt idx="60">
                  <c:v>23.774999999999999</c:v>
                </c:pt>
                <c:pt idx="61">
                  <c:v>23.500599999999999</c:v>
                </c:pt>
                <c:pt idx="62">
                  <c:v>23.288900000000002</c:v>
                </c:pt>
                <c:pt idx="63">
                  <c:v>23.1294</c:v>
                </c:pt>
                <c:pt idx="64">
                  <c:v>23.003399999999999</c:v>
                </c:pt>
                <c:pt idx="65">
                  <c:v>22.82</c:v>
                </c:pt>
                <c:pt idx="66">
                  <c:v>22.645799999999998</c:v>
                </c:pt>
                <c:pt idx="67">
                  <c:v>22.423399999999997</c:v>
                </c:pt>
                <c:pt idx="68">
                  <c:v>22.237299999999998</c:v>
                </c:pt>
                <c:pt idx="69">
                  <c:v>22.054499999999997</c:v>
                </c:pt>
                <c:pt idx="70">
                  <c:v>21.8843</c:v>
                </c:pt>
                <c:pt idx="71">
                  <c:v>21.784600000000001</c:v>
                </c:pt>
                <c:pt idx="72">
                  <c:v>21.714600000000001</c:v>
                </c:pt>
                <c:pt idx="73">
                  <c:v>21.675599999999999</c:v>
                </c:pt>
                <c:pt idx="74">
                  <c:v>21.686700000000002</c:v>
                </c:pt>
                <c:pt idx="75">
                  <c:v>21.697900000000001</c:v>
                </c:pt>
                <c:pt idx="76">
                  <c:v>21.686900000000001</c:v>
                </c:pt>
                <c:pt idx="77">
                  <c:v>21.7347</c:v>
                </c:pt>
                <c:pt idx="78">
                  <c:v>21.823600000000003</c:v>
                </c:pt>
                <c:pt idx="79">
                  <c:v>21.895099999999999</c:v>
                </c:pt>
                <c:pt idx="80">
                  <c:v>21.918299999999999</c:v>
                </c:pt>
                <c:pt idx="81">
                  <c:v>21.912799999999997</c:v>
                </c:pt>
                <c:pt idx="82">
                  <c:v>21.875399999999999</c:v>
                </c:pt>
                <c:pt idx="83">
                  <c:v>21.749700000000001</c:v>
                </c:pt>
                <c:pt idx="84">
                  <c:v>21.676300000000001</c:v>
                </c:pt>
                <c:pt idx="85">
                  <c:v>21.585699999999999</c:v>
                </c:pt>
                <c:pt idx="86">
                  <c:v>21.3751</c:v>
                </c:pt>
                <c:pt idx="87">
                  <c:v>21.042300000000001</c:v>
                </c:pt>
                <c:pt idx="88">
                  <c:v>20.676300000000001</c:v>
                </c:pt>
                <c:pt idx="89">
                  <c:v>20.308399999999999</c:v>
                </c:pt>
                <c:pt idx="90">
                  <c:v>20.11</c:v>
                </c:pt>
                <c:pt idx="91">
                  <c:v>19.8325</c:v>
                </c:pt>
                <c:pt idx="92">
                  <c:v>19.723099999999999</c:v>
                </c:pt>
                <c:pt idx="93">
                  <c:v>19.575500000000002</c:v>
                </c:pt>
                <c:pt idx="94">
                  <c:v>19.601900000000001</c:v>
                </c:pt>
                <c:pt idx="95">
                  <c:v>19.8384</c:v>
                </c:pt>
                <c:pt idx="96">
                  <c:v>19.9998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30.503299999999999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30.503299999999999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30.503299999999999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30.503299999999999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30.503299999999999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30.503299999999999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30.503299999999999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30.503299999999999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30.503299999999999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30.503299999999999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30.503299999999999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30.503299999999999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30.503299999999999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30.503299999999999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30.503299999999999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30.503299999999999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30.503299999999999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30.503299999999999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30.503299999999999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30.503299999999999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30.503299999999999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30.503299999999999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30.503299999999999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30.503299999999999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63.74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0.10908510237988622</c:v>
                </c:pt>
                <c:pt idx="1">
                  <c:v>0.10908510237988622</c:v>
                </c:pt>
                <c:pt idx="2">
                  <c:v>-7</c:v>
                </c:pt>
              </c:numCache>
            </c:numRef>
          </c:xVal>
          <c:yVal>
            <c:numRef>
              <c:f>'R'!$I$5:$I$7</c:f>
              <c:numCache>
                <c:formatCode>0.0_ </c:formatCode>
                <c:ptCount val="3"/>
                <c:pt idx="0">
                  <c:v>0</c:v>
                </c:pt>
                <c:pt idx="1">
                  <c:v>63.74421340436691</c:v>
                </c:pt>
                <c:pt idx="2">
                  <c:v>63.74421340436691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0.10908510237988622</c:v>
                </c:pt>
                <c:pt idx="1">
                  <c:v>0.10908510237988622</c:v>
                </c:pt>
                <c:pt idx="2">
                  <c:v>-7</c:v>
                </c:pt>
              </c:numCache>
            </c:numRef>
          </c:xVal>
          <c:yVal>
            <c:numRef>
              <c:f>'R'!$I$5:$I$7</c:f>
              <c:numCache>
                <c:formatCode>0.0_ </c:formatCode>
                <c:ptCount val="3"/>
                <c:pt idx="0">
                  <c:v>0</c:v>
                </c:pt>
                <c:pt idx="1">
                  <c:v>63.74421340436691</c:v>
                </c:pt>
                <c:pt idx="2">
                  <c:v>63.74421340436691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0.10908510237988622</c:v>
                </c:pt>
              </c:numCache>
            </c:numRef>
          </c:xVal>
          <c:yVal>
            <c:numRef>
              <c:f>'R'!$I$4</c:f>
              <c:numCache>
                <c:formatCode>0.00_ </c:formatCode>
                <c:ptCount val="1"/>
                <c:pt idx="0">
                  <c:v>63.74421340436691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28.07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28.067299999999996</c:v>
                </c:pt>
                <c:pt idx="1">
                  <c:v>28.067299999999996</c:v>
                </c:pt>
                <c:pt idx="2">
                  <c:v>0</c:v>
                </c:pt>
              </c:numCache>
            </c:numRef>
          </c:xVal>
          <c:yVal>
            <c:numRef>
              <c:f>'R2'!$I$5:$I$7</c:f>
              <c:numCache>
                <c:formatCode>0.0_ </c:formatCode>
                <c:ptCount val="3"/>
                <c:pt idx="0">
                  <c:v>0</c:v>
                </c:pt>
                <c:pt idx="1">
                  <c:v>16.158625163133156</c:v>
                </c:pt>
                <c:pt idx="2">
                  <c:v>16.158625163133156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1.97898</c:v>
                </c:pt>
                <c:pt idx="1">
                  <c:v>1.97898</c:v>
                </c:pt>
                <c:pt idx="2">
                  <c:v>0</c:v>
                </c:pt>
              </c:numCache>
            </c:numRef>
          </c:xVal>
          <c:yVal>
            <c:numRef>
              <c:f>'R3'!$I$6:$I$8</c:f>
              <c:numCache>
                <c:formatCode>0.0_ </c:formatCode>
                <c:ptCount val="3"/>
                <c:pt idx="0">
                  <c:v>0</c:v>
                </c:pt>
                <c:pt idx="1">
                  <c:v>54.410674172785299</c:v>
                </c:pt>
                <c:pt idx="2">
                  <c:v>54.410674172785299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1.97898</c:v>
                </c:pt>
                <c:pt idx="1">
                  <c:v>1.97898</c:v>
                </c:pt>
                <c:pt idx="2">
                  <c:v>0</c:v>
                </c:pt>
              </c:numCache>
            </c:numRef>
          </c:xVal>
          <c:yVal>
            <c:numRef>
              <c:f>'R4'!$I$5:$I$7</c:f>
              <c:numCache>
                <c:formatCode>0.0_ </c:formatCode>
                <c:ptCount val="3"/>
                <c:pt idx="0">
                  <c:v>0</c:v>
                </c:pt>
                <c:pt idx="1">
                  <c:v>6.7718237577785695E-2</c:v>
                </c:pt>
                <c:pt idx="2">
                  <c:v>6.7718237577785695E-2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0.53039790845042456</c:v>
                </c:pt>
                <c:pt idx="1">
                  <c:v>0.35439247779874178</c:v>
                </c:pt>
                <c:pt idx="2">
                  <c:v>0.11520961375083372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0.30313967879396819</c:v>
                </c:pt>
                <c:pt idx="1">
                  <c:v>0.25760934657285744</c:v>
                </c:pt>
                <c:pt idx="2">
                  <c:v>0.43925097463317442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(29.1 , 54.4)
염려하는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29.076468053014882</c:v>
                      </c:pt>
                    </c:numCache>
                  </c:numRef>
                </c:xVal>
                <c:yVal>
                  <c:numRef>
                    <c:extLst>
                      <c:ext uri="{02D57815-91ED-43cb-92C2-25804820EDAC}">
                        <c15:formulaRef>
                          <c15:sqref>info!$W$20:$W$21</c15:sqref>
                        </c15:formulaRef>
                      </c:ext>
                    </c:extLst>
                    <c:numCache>
                      <c:formatCode>General</c:formatCode>
                      <c:ptCount val="2"/>
                      <c:pt idx="0">
                        <c:v>50</c:v>
                      </c:pt>
                      <c:pt idx="1">
                        <c:v>54.410674172785299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(31.7 , 47.1)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31.683199999999999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52.907600000000002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2Zs0%5e1%5e29%5e\2025-07-18%2011_49_3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2Zs0%5e1%5e29%5e\2025-07-18%2011_49_3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9385715-3902-7486-AA95-E43E91CFED8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514199F-19A7-9EA2-FB4D-DB54D8FA7B3F}"/>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45856.493217592593</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2Zs0</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29</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45856.493217592593</v>
      </c>
      <c r="H7" s="876"/>
      <c r="I7" s="877"/>
      <c r="J7" s="166" t="str">
        <f>lang!B160</f>
        <v>나이</v>
      </c>
      <c r="K7" s="878" t="str">
        <f>IF(FH_info!B2="","",TRIM(MID(SUBSTITUTE(FH_info!B2,"^",REPT(" ",LEN(FH_info!B2))),LEN(FH_info!B2)*4-LEN(FH_info!B2)+1,LEN(FH_info!B2))))</f>
        <v>29</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2Zs0</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( 93 , 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0.10908510237988622</v>
      </c>
      <c r="I20" s="862"/>
      <c r="J20" s="311" t="str">
        <f>lang!B174</f>
        <v>정보량</v>
      </c>
      <c r="K20" s="236">
        <f ca="1">info!N9</f>
        <v>25.346540206185573</v>
      </c>
      <c r="L20" s="312" t="str">
        <f>lang!B175</f>
        <v>에너지</v>
      </c>
      <c r="M20" s="863">
        <f ca="1">info!M9</f>
        <v>4.2326086597938142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불편함이 큰 정서 상태이다. 심리적 정보가 감소하여 악화될 가능성이 있다.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39.389200000000002</v>
      </c>
      <c r="N32" s="816"/>
      <c r="O32" s="817">
        <f>Measurement!N7</f>
        <v>55.625700000000002</v>
      </c>
      <c r="P32" s="818"/>
      <c r="Q32" s="819">
        <f>Measurement!T7</f>
        <v>62.450099999999999</v>
      </c>
      <c r="R32" s="820"/>
    </row>
    <row r="33" spans="3:18" ht="12.75" customHeight="1">
      <c r="C33" s="77"/>
      <c r="I33" s="502">
        <f>Measurement!L8</f>
        <v>3</v>
      </c>
      <c r="J33" s="139" t="str">
        <f>lang!B15</f>
        <v>스트레스</v>
      </c>
      <c r="K33" s="90" t="s">
        <v>226</v>
      </c>
      <c r="L33" s="504" t="str">
        <f>Measurement!Y8</f>
        <v>보통</v>
      </c>
      <c r="M33" s="792">
        <f>Measurement!R8</f>
        <v>21.550799999999999</v>
      </c>
      <c r="N33" s="793"/>
      <c r="O33" s="806">
        <f>Measurement!N8</f>
        <v>29.511600000000001</v>
      </c>
      <c r="P33" s="807"/>
      <c r="Q33" s="792">
        <f>Measurement!T8</f>
        <v>31.340699999999998</v>
      </c>
      <c r="R33" s="808"/>
    </row>
    <row r="34" spans="3:18" ht="12.75" customHeight="1">
      <c r="C34" s="77"/>
      <c r="I34" s="502">
        <f>Measurement!L9</f>
        <v>3</v>
      </c>
      <c r="J34" s="139" t="str">
        <f>lang!B16</f>
        <v>불안</v>
      </c>
      <c r="K34" s="90" t="s">
        <v>227</v>
      </c>
      <c r="L34" s="504" t="str">
        <f>Measurement!Y9</f>
        <v>보통</v>
      </c>
      <c r="M34" s="792">
        <f>Measurement!R9</f>
        <v>24.9312</v>
      </c>
      <c r="N34" s="793"/>
      <c r="O34" s="806">
        <f>Measurement!N9</f>
        <v>31.564800000000002</v>
      </c>
      <c r="P34" s="807"/>
      <c r="Q34" s="792">
        <f>Measurement!T9</f>
        <v>43.770299999999999</v>
      </c>
      <c r="R34" s="808"/>
    </row>
    <row r="35" spans="3:18" ht="12.75" customHeight="1">
      <c r="C35" s="77"/>
      <c r="I35" s="502">
        <f>Measurement!L10</f>
        <v>3</v>
      </c>
      <c r="J35" s="139" t="str">
        <f>lang!B17</f>
        <v>의심</v>
      </c>
      <c r="K35" s="90" t="s">
        <v>225</v>
      </c>
      <c r="L35" s="504" t="str">
        <f>Measurement!Y10</f>
        <v>보통</v>
      </c>
      <c r="M35" s="792">
        <f>Measurement!R10</f>
        <v>31.916499999999999</v>
      </c>
      <c r="N35" s="793"/>
      <c r="O35" s="806">
        <f>Measurement!N10</f>
        <v>38.5593</v>
      </c>
      <c r="P35" s="807"/>
      <c r="Q35" s="792">
        <f>Measurement!T10</f>
        <v>40.850499999999997</v>
      </c>
      <c r="R35" s="808"/>
    </row>
    <row r="36" spans="3:18" ht="12.75" customHeight="1">
      <c r="C36" s="77"/>
      <c r="I36" s="502">
        <f>Measurement!L11</f>
        <v>3</v>
      </c>
      <c r="J36" s="139" t="str">
        <f>lang!B18</f>
        <v>밸런스</v>
      </c>
      <c r="K36" s="90" t="s">
        <v>2171</v>
      </c>
      <c r="L36" s="504" t="str">
        <f>Measurement!Y11</f>
        <v>보통</v>
      </c>
      <c r="M36" s="792">
        <f>Measurement!R11</f>
        <v>41.162500000000001</v>
      </c>
      <c r="N36" s="793"/>
      <c r="O36" s="806">
        <f>Measurement!N11</f>
        <v>57.787999999999997</v>
      </c>
      <c r="P36" s="807"/>
      <c r="Q36" s="792">
        <f>Measurement!T11</f>
        <v>68.8339</v>
      </c>
      <c r="R36" s="808"/>
    </row>
    <row r="37" spans="3:18" ht="12.75" customHeight="1">
      <c r="C37" s="77"/>
      <c r="I37" s="502">
        <f>Measurement!L12</f>
        <v>4</v>
      </c>
      <c r="J37" s="139" t="str">
        <f>lang!B19</f>
        <v>카리스마</v>
      </c>
      <c r="K37" s="90" t="s">
        <v>229</v>
      </c>
      <c r="L37" s="504" t="str">
        <f>Measurement!Y12</f>
        <v>높음</v>
      </c>
      <c r="M37" s="792">
        <f>Measurement!R12</f>
        <v>74.712299999999999</v>
      </c>
      <c r="N37" s="793"/>
      <c r="O37" s="806">
        <f>Measurement!N12</f>
        <v>79.064499999999995</v>
      </c>
      <c r="P37" s="807"/>
      <c r="Q37" s="792">
        <f>Measurement!T12</f>
        <v>83.729600000000005</v>
      </c>
      <c r="R37" s="808"/>
    </row>
    <row r="38" spans="3:18" ht="12.75" customHeight="1">
      <c r="C38" s="77"/>
      <c r="I38" s="502">
        <f>Measurement!L13</f>
        <v>3</v>
      </c>
      <c r="J38" s="139" t="str">
        <f>lang!B20</f>
        <v>에너지</v>
      </c>
      <c r="K38" s="90" t="s">
        <v>2170</v>
      </c>
      <c r="L38" s="504" t="str">
        <f>Measurement!Y13</f>
        <v>보통</v>
      </c>
      <c r="M38" s="792">
        <f>Measurement!R13</f>
        <v>22.236999999999998</v>
      </c>
      <c r="N38" s="793"/>
      <c r="O38" s="806">
        <f>Measurement!N13</f>
        <v>27.145499999999998</v>
      </c>
      <c r="P38" s="807"/>
      <c r="Q38" s="792">
        <f>Measurement!T13</f>
        <v>38.649700000000003</v>
      </c>
      <c r="R38" s="808"/>
    </row>
    <row r="39" spans="3:18" ht="12.75" customHeight="1">
      <c r="C39" s="77"/>
      <c r="I39" s="502">
        <f>Measurement!L14</f>
        <v>3</v>
      </c>
      <c r="J39" s="139" t="str">
        <f>lang!B21</f>
        <v>자기조절</v>
      </c>
      <c r="K39" s="90" t="s">
        <v>230</v>
      </c>
      <c r="L39" s="504" t="str">
        <f>Measurement!Y14</f>
        <v>보통</v>
      </c>
      <c r="M39" s="792">
        <f>Measurement!R14</f>
        <v>60.161299999999997</v>
      </c>
      <c r="N39" s="793"/>
      <c r="O39" s="806">
        <f>Measurement!N14</f>
        <v>68.372399999999999</v>
      </c>
      <c r="P39" s="807"/>
      <c r="Q39" s="792">
        <f>Measurement!T14</f>
        <v>76.070599999999999</v>
      </c>
      <c r="R39" s="808"/>
    </row>
    <row r="40" spans="3:18" ht="12.75" customHeight="1">
      <c r="C40" s="77"/>
      <c r="I40" s="502">
        <f>Measurement!L15</f>
        <v>3</v>
      </c>
      <c r="J40" s="139" t="str">
        <f>lang!B22</f>
        <v>억제</v>
      </c>
      <c r="K40" s="91" t="s">
        <v>248</v>
      </c>
      <c r="L40" s="504" t="str">
        <f>Measurement!Y15</f>
        <v>보통</v>
      </c>
      <c r="M40" s="792">
        <f>Measurement!R15</f>
        <v>14.9787</v>
      </c>
      <c r="N40" s="793"/>
      <c r="O40" s="806">
        <f>Measurement!N15</f>
        <v>18.917000000000002</v>
      </c>
      <c r="P40" s="807"/>
      <c r="Q40" s="792">
        <f>Measurement!T15</f>
        <v>30.008400000000002</v>
      </c>
      <c r="R40" s="808"/>
    </row>
    <row r="41" spans="3:18" ht="12.75" customHeight="1" thickBot="1">
      <c r="C41" s="77"/>
      <c r="I41" s="502">
        <f>Measurement!L16</f>
        <v>3</v>
      </c>
      <c r="J41" s="140" t="str">
        <f>lang!B23</f>
        <v>신경성</v>
      </c>
      <c r="K41" s="92" t="s">
        <v>231</v>
      </c>
      <c r="L41" s="504" t="str">
        <f>Measurement!Y16</f>
        <v>보통</v>
      </c>
      <c r="M41" s="794">
        <f>Measurement!R16</f>
        <v>3.2107000000000001</v>
      </c>
      <c r="N41" s="795"/>
      <c r="O41" s="796">
        <f>Measurement!N16</f>
        <v>31.556999999999999</v>
      </c>
      <c r="P41" s="797"/>
      <c r="Q41" s="794">
        <f>Measurement!T16</f>
        <v>40.993099999999998</v>
      </c>
      <c r="R41" s="798"/>
    </row>
    <row r="42" spans="3:18" ht="29.25" customHeight="1" thickBot="1">
      <c r="C42" s="77"/>
      <c r="I42" s="84"/>
      <c r="J42" s="780" t="str">
        <f>lang!B215</f>
        <v>감정변이도</v>
      </c>
      <c r="K42" s="781"/>
      <c r="L42" s="319" t="str">
        <f>info!V43</f>
        <v>보통</v>
      </c>
      <c r="M42" s="782">
        <f>info!W43</f>
        <v>12.1951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1.97898</v>
      </c>
      <c r="E44" s="249" t="s">
        <v>1072</v>
      </c>
      <c r="G44" s="289"/>
      <c r="H44" s="289"/>
      <c r="I44" s="290"/>
      <c r="J44" s="802">
        <f>info!$W$36</f>
        <v>28.067299999999996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8"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45856.493217592593</v>
      </c>
      <c r="H7" s="876"/>
      <c r="I7" s="877"/>
      <c r="J7" s="166" t="str">
        <f>lang!B160</f>
        <v>나이</v>
      </c>
      <c r="K7" s="878" t="str">
        <f>IF(FH_info!B2="","",TRIM(MID(SUBSTITUTE(FH_info!B2,"^",REPT(" ",LEN(FH_info!B2))),LEN(FH_info!B2)*4-LEN(FH_info!B2)+1,LEN(FH_info!B2))))</f>
        <v>29</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2Zs0</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불쾌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( 93 , 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0.10908510237988622</v>
      </c>
      <c r="I20" s="862"/>
      <c r="J20" s="311" t="str">
        <f>lang!B174</f>
        <v>정보량</v>
      </c>
      <c r="K20" s="236">
        <f ca="1">info!N9</f>
        <v>25.346540206185573</v>
      </c>
      <c r="L20" s="312" t="str">
        <f>lang!B175</f>
        <v>에너지</v>
      </c>
      <c r="M20" s="863">
        <f ca="1">info!M9</f>
        <v>4.2326086597938142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불편함이 큰 정서 상태이다. 심리적 정보가 감소하여 악화될 가능성이 있다.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39.389200000000002</v>
      </c>
      <c r="N32" s="816"/>
      <c r="O32" s="817">
        <f>Measurement!N7</f>
        <v>55.625700000000002</v>
      </c>
      <c r="P32" s="818"/>
      <c r="Q32" s="819">
        <f>Measurement!T7</f>
        <v>62.450099999999999</v>
      </c>
      <c r="R32" s="820"/>
    </row>
    <row r="33" spans="3:18" ht="12.75" customHeight="1">
      <c r="C33" s="77"/>
      <c r="I33" s="502">
        <f>Measurement!L8</f>
        <v>3</v>
      </c>
      <c r="J33" s="139" t="str">
        <f>lang!B15</f>
        <v>스트레스</v>
      </c>
      <c r="K33" s="90" t="s">
        <v>226</v>
      </c>
      <c r="L33" s="504" t="str">
        <f>Measurement!Y8</f>
        <v>보통</v>
      </c>
      <c r="M33" s="792">
        <f>Measurement!R8</f>
        <v>21.550799999999999</v>
      </c>
      <c r="N33" s="793"/>
      <c r="O33" s="806">
        <f>Measurement!N8</f>
        <v>29.511600000000001</v>
      </c>
      <c r="P33" s="807"/>
      <c r="Q33" s="792">
        <f>Measurement!T8</f>
        <v>31.340699999999998</v>
      </c>
      <c r="R33" s="808"/>
    </row>
    <row r="34" spans="3:18" ht="12.75" customHeight="1">
      <c r="C34" s="77"/>
      <c r="I34" s="502">
        <f>Measurement!L9</f>
        <v>3</v>
      </c>
      <c r="J34" s="139" t="str">
        <f>lang!B16</f>
        <v>불안</v>
      </c>
      <c r="K34" s="90" t="s">
        <v>227</v>
      </c>
      <c r="L34" s="504" t="str">
        <f>Measurement!Y9</f>
        <v>보통</v>
      </c>
      <c r="M34" s="792">
        <f>Measurement!R9</f>
        <v>24.9312</v>
      </c>
      <c r="N34" s="793"/>
      <c r="O34" s="806">
        <f>Measurement!N9</f>
        <v>31.564800000000002</v>
      </c>
      <c r="P34" s="807"/>
      <c r="Q34" s="792">
        <f>Measurement!T9</f>
        <v>43.770299999999999</v>
      </c>
      <c r="R34" s="808"/>
    </row>
    <row r="35" spans="3:18" ht="12.75" customHeight="1">
      <c r="C35" s="77"/>
      <c r="I35" s="502">
        <f>Measurement!L10</f>
        <v>3</v>
      </c>
      <c r="J35" s="139" t="str">
        <f>lang!B17</f>
        <v>의심</v>
      </c>
      <c r="K35" s="90" t="s">
        <v>225</v>
      </c>
      <c r="L35" s="504" t="str">
        <f>Measurement!Y10</f>
        <v>보통</v>
      </c>
      <c r="M35" s="792">
        <f>Measurement!R10</f>
        <v>31.916499999999999</v>
      </c>
      <c r="N35" s="793"/>
      <c r="O35" s="806">
        <f>Measurement!N10</f>
        <v>38.5593</v>
      </c>
      <c r="P35" s="807"/>
      <c r="Q35" s="792">
        <f>Measurement!T10</f>
        <v>40.850499999999997</v>
      </c>
      <c r="R35" s="808"/>
    </row>
    <row r="36" spans="3:18" ht="12.75" customHeight="1">
      <c r="C36" s="77"/>
      <c r="I36" s="502">
        <f>Measurement!L11</f>
        <v>3</v>
      </c>
      <c r="J36" s="139" t="str">
        <f>lang!B18</f>
        <v>밸런스</v>
      </c>
      <c r="K36" s="90" t="s">
        <v>2171</v>
      </c>
      <c r="L36" s="504" t="str">
        <f>Measurement!Y11</f>
        <v>보통</v>
      </c>
      <c r="M36" s="792">
        <f>Measurement!R11</f>
        <v>41.162500000000001</v>
      </c>
      <c r="N36" s="793"/>
      <c r="O36" s="806">
        <f>Measurement!N11</f>
        <v>57.787999999999997</v>
      </c>
      <c r="P36" s="807"/>
      <c r="Q36" s="792">
        <f>Measurement!T11</f>
        <v>68.8339</v>
      </c>
      <c r="R36" s="808"/>
    </row>
    <row r="37" spans="3:18" ht="12.75" customHeight="1">
      <c r="C37" s="77"/>
      <c r="I37" s="502">
        <f>Measurement!L12</f>
        <v>4</v>
      </c>
      <c r="J37" s="139" t="str">
        <f>lang!B19</f>
        <v>카리스마</v>
      </c>
      <c r="K37" s="90" t="s">
        <v>229</v>
      </c>
      <c r="L37" s="504" t="str">
        <f>Measurement!Y12</f>
        <v>높음</v>
      </c>
      <c r="M37" s="792">
        <f>Measurement!R12</f>
        <v>74.712299999999999</v>
      </c>
      <c r="N37" s="793"/>
      <c r="O37" s="806">
        <f>Measurement!N12</f>
        <v>79.064499999999995</v>
      </c>
      <c r="P37" s="807"/>
      <c r="Q37" s="792">
        <f>Measurement!T12</f>
        <v>83.729600000000005</v>
      </c>
      <c r="R37" s="808"/>
    </row>
    <row r="38" spans="3:18" ht="12.75" customHeight="1">
      <c r="C38" s="77"/>
      <c r="I38" s="502">
        <f>Measurement!L13</f>
        <v>3</v>
      </c>
      <c r="J38" s="139" t="str">
        <f>lang!B20</f>
        <v>에너지</v>
      </c>
      <c r="K38" s="90" t="s">
        <v>2170</v>
      </c>
      <c r="L38" s="504" t="str">
        <f>Measurement!Y13</f>
        <v>보통</v>
      </c>
      <c r="M38" s="792">
        <f>Measurement!R13</f>
        <v>22.236999999999998</v>
      </c>
      <c r="N38" s="793"/>
      <c r="O38" s="806">
        <f>Measurement!N13</f>
        <v>27.145499999999998</v>
      </c>
      <c r="P38" s="807"/>
      <c r="Q38" s="792">
        <f>Measurement!T13</f>
        <v>38.649700000000003</v>
      </c>
      <c r="R38" s="808"/>
    </row>
    <row r="39" spans="3:18" ht="12.75" customHeight="1">
      <c r="C39" s="77"/>
      <c r="I39" s="502">
        <f>Measurement!L14</f>
        <v>3</v>
      </c>
      <c r="J39" s="139" t="str">
        <f>lang!B21</f>
        <v>자기조절</v>
      </c>
      <c r="K39" s="90" t="s">
        <v>230</v>
      </c>
      <c r="L39" s="504" t="str">
        <f>Measurement!Y14</f>
        <v>보통</v>
      </c>
      <c r="M39" s="792">
        <f>Measurement!R14</f>
        <v>60.161299999999997</v>
      </c>
      <c r="N39" s="793"/>
      <c r="O39" s="806">
        <f>Measurement!N14</f>
        <v>68.372399999999999</v>
      </c>
      <c r="P39" s="807"/>
      <c r="Q39" s="792">
        <f>Measurement!T14</f>
        <v>76.070599999999999</v>
      </c>
      <c r="R39" s="808"/>
    </row>
    <row r="40" spans="3:18" ht="12.75" customHeight="1">
      <c r="C40" s="77"/>
      <c r="I40" s="502">
        <f>Measurement!L15</f>
        <v>3</v>
      </c>
      <c r="J40" s="139" t="str">
        <f>lang!B22</f>
        <v>억제</v>
      </c>
      <c r="K40" s="91" t="s">
        <v>248</v>
      </c>
      <c r="L40" s="504" t="str">
        <f>Measurement!Y15</f>
        <v>보통</v>
      </c>
      <c r="M40" s="792">
        <f>Measurement!R15</f>
        <v>14.9787</v>
      </c>
      <c r="N40" s="793"/>
      <c r="O40" s="806">
        <f>Measurement!N15</f>
        <v>18.917000000000002</v>
      </c>
      <c r="P40" s="807"/>
      <c r="Q40" s="792">
        <f>Measurement!T15</f>
        <v>30.008400000000002</v>
      </c>
      <c r="R40" s="808"/>
    </row>
    <row r="41" spans="3:18" ht="12.75" customHeight="1" thickBot="1">
      <c r="C41" s="77"/>
      <c r="I41" s="502">
        <f>Measurement!L16</f>
        <v>3</v>
      </c>
      <c r="J41" s="140" t="str">
        <f>lang!B23</f>
        <v>신경성</v>
      </c>
      <c r="K41" s="92" t="s">
        <v>231</v>
      </c>
      <c r="L41" s="504" t="str">
        <f>Measurement!Y16</f>
        <v>보통</v>
      </c>
      <c r="M41" s="794">
        <f>Measurement!R16</f>
        <v>3.2107000000000001</v>
      </c>
      <c r="N41" s="795"/>
      <c r="O41" s="796">
        <f>Measurement!N16</f>
        <v>31.556999999999999</v>
      </c>
      <c r="P41" s="797"/>
      <c r="Q41" s="794">
        <f>Measurement!T16</f>
        <v>40.993099999999998</v>
      </c>
      <c r="R41" s="798"/>
    </row>
    <row r="42" spans="3:18" ht="29.25" customHeight="1" thickBot="1">
      <c r="C42" s="77"/>
      <c r="I42" s="84"/>
      <c r="J42" s="780" t="str">
        <f>lang!B215</f>
        <v>감정변이도</v>
      </c>
      <c r="K42" s="781"/>
      <c r="L42" s="319" t="str">
        <f>info!V43</f>
        <v>보통</v>
      </c>
      <c r="M42" s="782">
        <f>info!W43</f>
        <v>12.1951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1.97898</v>
      </c>
      <c r="E44" s="249" t="s">
        <v>1195</v>
      </c>
      <c r="G44" s="289"/>
      <c r="H44" s="289"/>
      <c r="I44" s="290"/>
      <c r="J44" s="802">
        <f>info!$W$36</f>
        <v>28.067299999999996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opLeftCell="A26"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45856.493217592593</v>
      </c>
      <c r="I7" s="914"/>
      <c r="J7" s="915"/>
      <c r="K7" s="166" t="str">
        <f>lang!B160</f>
        <v>나이</v>
      </c>
      <c r="L7" s="878" t="str">
        <f>IF(FH_info!B2="","",TRIM(MID(SUBSTITUTE(FH_info!B2,"^",REPT(" ",LEN(FH_info!B2))),LEN(FH_info!B2)*4-LEN(FH_info!B2)+1,LEN(FH_info!B2))))</f>
        <v>29</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2Zs0</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(-0.06,-0.1)</v>
      </c>
      <c r="S18" s="966"/>
      <c r="T18" s="967"/>
    </row>
    <row r="19" spans="2:22" ht="16.5" customHeight="1">
      <c r="C19" s="136" t="str">
        <f>lang!B328</f>
        <v>최소값</v>
      </c>
      <c r="D19" s="105">
        <f ca="1">info!M7</f>
        <v>19.575500000000002</v>
      </c>
      <c r="E19" s="94" t="str">
        <f>lang!B330</f>
        <v>평균값</v>
      </c>
      <c r="F19" s="971">
        <f ca="1">info!N9</f>
        <v>25.346540206185573</v>
      </c>
      <c r="G19" s="972"/>
      <c r="H19" s="912" t="str">
        <f>lang!B329</f>
        <v>최대값</v>
      </c>
      <c r="I19" s="913"/>
      <c r="J19" s="105">
        <f ca="1">info!M8</f>
        <v>30.536799999999996</v>
      </c>
      <c r="K19" s="137" t="str">
        <f>lang!B328</f>
        <v>최소값</v>
      </c>
      <c r="L19" s="105">
        <f ca="1">info!M5</f>
        <v>3.8872</v>
      </c>
      <c r="M19" s="94" t="str">
        <f>lang!B330</f>
        <v>평균값</v>
      </c>
      <c r="N19" s="971">
        <f ca="1">info!M9</f>
        <v>4.2326086597938142</v>
      </c>
      <c r="O19" s="972">
        <f>info!T9</f>
        <v>1</v>
      </c>
      <c r="P19" s="94" t="str">
        <f>lang!B329</f>
        <v>최대값</v>
      </c>
      <c r="Q19" s="105">
        <f ca="1">info!M6</f>
        <v>4.9285199999999998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5.9792650266358027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1.9789749999999999</v>
      </c>
      <c r="N47" s="986"/>
      <c r="O47" s="451"/>
      <c r="P47" s="491" t="s">
        <v>1101</v>
      </c>
      <c r="Q47" s="987">
        <f>hist!M3</f>
        <v>0.56991899999999995</v>
      </c>
      <c r="R47" s="986"/>
      <c r="S47" s="451"/>
      <c r="T47" s="452"/>
    </row>
    <row r="48" spans="3:20" ht="18" customHeight="1">
      <c r="C48" s="931"/>
      <c r="D48" s="910"/>
      <c r="E48" s="910"/>
      <c r="F48" s="355"/>
      <c r="G48" s="355"/>
      <c r="H48" s="356"/>
      <c r="I48" s="356"/>
      <c r="J48" s="951"/>
      <c r="K48" s="951"/>
      <c r="L48" s="936"/>
      <c r="M48" s="988">
        <f>hist!N2</f>
        <v>0.71932700000000005</v>
      </c>
      <c r="N48" s="989"/>
      <c r="O48" s="451"/>
      <c r="P48" s="491" t="s">
        <v>1102</v>
      </c>
      <c r="Q48" s="986">
        <f>hist!N3</f>
        <v>0.61226499999999995</v>
      </c>
      <c r="R48" s="989"/>
      <c r="S48" s="451"/>
      <c r="T48" s="452"/>
    </row>
    <row r="49" spans="3:20" ht="22.5" customHeight="1" thickBot="1">
      <c r="C49" s="932"/>
      <c r="D49" s="934" t="str">
        <f>lang!B353</f>
        <v>저활력도 (0%)</v>
      </c>
      <c r="E49" s="934"/>
      <c r="F49" s="934"/>
      <c r="G49" s="934"/>
      <c r="H49" s="934"/>
      <c r="I49" s="934"/>
      <c r="J49" s="934"/>
      <c r="K49" s="934"/>
      <c r="L49" s="937"/>
      <c r="M49" s="990">
        <f>hist!O2</f>
        <v>0.51743099999999997</v>
      </c>
      <c r="N49" s="991"/>
      <c r="O49" s="453"/>
      <c r="P49" s="454" t="s">
        <v>1588</v>
      </c>
      <c r="Q49" s="992">
        <f>hist!O3</f>
        <v>0.37486900000000001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vision^2Zs0^1^29^</v>
      </c>
      <c r="D4" s="1104"/>
      <c r="E4" s="1104"/>
      <c r="F4" s="1105"/>
      <c r="G4" s="38" t="str">
        <f>lang!B27</f>
        <v>ID</v>
      </c>
      <c r="H4" s="1103"/>
      <c r="I4" s="1104"/>
      <c r="J4" s="1104"/>
      <c r="K4" s="1106"/>
      <c r="AF4" s="169" t="str">
        <f>'Report-뇌피로'!K7</f>
        <v>29</v>
      </c>
      <c r="AG4" s="168" t="s">
        <v>1049</v>
      </c>
      <c r="AZ4" t="s">
        <v>1092</v>
      </c>
      <c r="BK4" t="s">
        <v>1096</v>
      </c>
      <c r="BV4" t="s">
        <v>1094</v>
      </c>
      <c r="CG4" s="305">
        <f>IF(SUM($AY$7:$AY$13)&gt;0,HLOOKUP(1,$BV$6:$CE$8,3,FALSE),"")</f>
        <v>9</v>
      </c>
      <c r="CH4" s="305">
        <f>IF(SUM($AY$7:$AY$13)&gt;0,HLOOKUP(2,$BV$6:$CE$8,3,FALSE),"")</f>
        <v>4</v>
      </c>
      <c r="CI4" t="s">
        <v>1570</v>
      </c>
      <c r="CJ4" s="426">
        <f>DK17*100</f>
        <v>29.076468053014882</v>
      </c>
      <c r="CK4" s="422">
        <f>info!W21</f>
        <v>54.410674172785299</v>
      </c>
      <c r="CL4">
        <f>100-M!B19*100</f>
        <v>52.907600000000002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45856.493217592593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12.1951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4</v>
      </c>
      <c r="BX6" s="220">
        <f t="shared" si="0"/>
        <v>9</v>
      </c>
      <c r="BY6" s="220">
        <f t="shared" si="0"/>
        <v>2</v>
      </c>
      <c r="BZ6" s="220">
        <f t="shared" si="0"/>
        <v>3</v>
      </c>
      <c r="CA6" s="220">
        <f t="shared" si="0"/>
        <v>8</v>
      </c>
      <c r="CB6" s="220">
        <f t="shared" si="0"/>
        <v>7</v>
      </c>
      <c r="CC6" s="220">
        <f t="shared" si="0"/>
        <v>6</v>
      </c>
      <c r="CD6" s="220">
        <f t="shared" si="0"/>
        <v>1</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55.625700000000002</v>
      </c>
      <c r="O7" s="48">
        <f>M!C5*1</f>
        <v>3.4447000000000001</v>
      </c>
      <c r="P7" s="48">
        <f>M!D5*1</f>
        <v>6.1926399999999999</v>
      </c>
      <c r="Q7" s="48">
        <f>M!E5*1</f>
        <v>20</v>
      </c>
      <c r="R7" s="48">
        <f>IF(M!B5="","",M!F5*1)</f>
        <v>39.389200000000002</v>
      </c>
      <c r="S7" s="48">
        <f>M!G5*1</f>
        <v>50</v>
      </c>
      <c r="T7" s="48">
        <f>IF(M!B5="","",M!H5*1)</f>
        <v>62.450099999999999</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3.6767160237612861</v>
      </c>
      <c r="AI7" s="98">
        <v>2.5024862326905418E-2</v>
      </c>
      <c r="AJ7" s="98">
        <v>-7.7313821231156016E-2</v>
      </c>
      <c r="AK7" s="98">
        <v>0.50012525104428274</v>
      </c>
      <c r="AL7" s="98">
        <v>-8.545985269705475E-2</v>
      </c>
      <c r="AM7" s="98">
        <f>$AH7*AI7+$AH8*AI8+$AH9*AI9+$AH10*AI10+$AH11*AI11+$AH12*AI12+$AH13*AI13+$AH14*AI14+$AH15*AI15+$AH16*AI16</f>
        <v>0.81946248489047158</v>
      </c>
      <c r="AN7" s="98">
        <f t="shared" ref="AN7:AP7" si="2">$AH7*AJ7+$AH8*AJ8+$AH9*AJ9+$AH10*AJ10+$AH11*AJ11+$AH12*AJ12+$AH13*AJ13+$AH14*AJ14+$AH15*AJ15+$AH16*AJ16</f>
        <v>-1.9773174178405947E-2</v>
      </c>
      <c r="AO7" s="98">
        <f t="shared" si="2"/>
        <v>3.296230793462525</v>
      </c>
      <c r="AP7" s="98">
        <f t="shared" si="2"/>
        <v>-0.82598028355405229</v>
      </c>
      <c r="AQ7" s="335">
        <f>IF(SUM(N7:N16)&gt;0, 0.8608*AM7+0.333*AN7+0.104*AO7+1.129*AP7,"")</f>
        <v>0.10908510237988622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55.625700000000002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371.91724536200002</v>
      </c>
      <c r="BL7" s="56">
        <f t="shared" ref="BL7:BT7" si="3">BB7*$AY7+BB8*$AY8+BB9*$AY9+BB10*$AY10+BB11*$AY11+BB12*$AY12+BB13*$AY13+BB14</f>
        <v>371.96631008799994</v>
      </c>
      <c r="BM7" s="56">
        <f t="shared" si="3"/>
        <v>359.35277404300007</v>
      </c>
      <c r="BN7" s="56">
        <f t="shared" si="3"/>
        <v>380.86397073300003</v>
      </c>
      <c r="BO7" s="56">
        <f t="shared" si="3"/>
        <v>376.78248235600006</v>
      </c>
      <c r="BP7" s="56">
        <f t="shared" si="3"/>
        <v>361.71607249699991</v>
      </c>
      <c r="BQ7" s="56">
        <f t="shared" si="3"/>
        <v>365.47249839599988</v>
      </c>
      <c r="BR7" s="56">
        <f t="shared" si="3"/>
        <v>368.34715798799994</v>
      </c>
      <c r="BS7" s="56">
        <f t="shared" si="3"/>
        <v>383.40826644300006</v>
      </c>
      <c r="BT7" s="56">
        <f t="shared" si="3"/>
        <v>343.50591925700002</v>
      </c>
      <c r="BU7" s="56">
        <f>EXP(BK7)+EXP(BL7)+EXP(BM7)+EXP(BN7)+EXP(BO7)+EXP(BP7)+EXP(BQ7)+EXP(BR7)+EXP(BS7)+EXP(BT7)</f>
        <v>3.5113009701778451E+166</v>
      </c>
      <c r="BV7" s="56">
        <f>IF(SUM($AY$7:$AY$13)&gt;0,EXP(BK7)/$BU$7,"")</f>
        <v>9.4654077866521528E-6</v>
      </c>
      <c r="BW7" s="56">
        <f t="shared" ref="BW7:CE7" si="4">IF(SUM($AY$7:$AY$13)&gt;0,EXP(BL7)/$BU$7,"")</f>
        <v>9.9414073323013846E-6</v>
      </c>
      <c r="BX7" s="56">
        <f t="shared" si="4"/>
        <v>3.3071871131832307E-11</v>
      </c>
      <c r="BY7" s="56">
        <f t="shared" si="4"/>
        <v>7.2719818892652194E-2</v>
      </c>
      <c r="BZ7" s="56">
        <f t="shared" si="4"/>
        <v>1.2276792301759507E-3</v>
      </c>
      <c r="CA7" s="56">
        <f t="shared" si="4"/>
        <v>3.5141981410153665E-10</v>
      </c>
      <c r="CB7" s="56">
        <f t="shared" si="4"/>
        <v>1.503908051008364E-8</v>
      </c>
      <c r="CC7" s="56">
        <f t="shared" si="4"/>
        <v>2.6648335193171249E-7</v>
      </c>
      <c r="CD7" s="56">
        <f t="shared" si="4"/>
        <v>0.92603281315512886</v>
      </c>
      <c r="CE7" s="56">
        <f t="shared" si="4"/>
        <v>4.3376766831105354E-18</v>
      </c>
      <c r="CF7" s="418" t="s">
        <v>1870</v>
      </c>
      <c r="CG7" s="221">
        <f>IF(SUM($AY$7:$AY$13)&gt;0,HLOOKUP(1,$BV$6:$CE$7,2,FALSE),"")</f>
        <v>0.92603281315512886</v>
      </c>
      <c r="CH7" s="221">
        <f>IF(SUM($AY$7:$AY$13)&gt;0,HLOOKUP(2,$BV$6:$CE$7,2,FALSE),"")</f>
        <v>7.2719818892652194E-2</v>
      </c>
      <c r="CI7" s="425" t="str">
        <f>"( "&amp;IF(CG7&lt;&gt;"",ROUND(CG7*100,0),"")&amp;" , "&amp;IF(CH7&lt;&gt;"",ROUND(CH7*100,0),"")&amp;" )"</f>
        <v>( 93 , 7 )</v>
      </c>
      <c r="CJ7" s="420">
        <f>CG7</f>
        <v>0.92603281315512886</v>
      </c>
      <c r="CK7" s="420">
        <f>CH7</f>
        <v>7.2719818892652194E-2</v>
      </c>
      <c r="CL7" s="425" t="str">
        <f>CI7</f>
        <v>( 93 , 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55.625700000000002</v>
      </c>
      <c r="DJ7" s="265">
        <f>(DI7-$DB7)/$DC7</f>
        <v>2.8222957452556856</v>
      </c>
      <c r="DK7" s="266">
        <f>IF(DH7=1,(DJ7-DF7)^2,0)</f>
        <v>2.8087143953293663</v>
      </c>
      <c r="DL7" s="267">
        <f>IF(DH7=1,(DJ7-DG7)^2,0)</f>
        <v>0.62404082744225153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29.511600000000001</v>
      </c>
      <c r="O8" s="48">
        <f>M!C6*1</f>
        <v>2.7968199999999999</v>
      </c>
      <c r="P8" s="48">
        <f>M!D6*1</f>
        <v>9.4770000000000003</v>
      </c>
      <c r="Q8" s="48">
        <f>M!E6*1</f>
        <v>20</v>
      </c>
      <c r="R8" s="48">
        <f>IF(M!B6="","",M!F6*1)</f>
        <v>21.550799999999999</v>
      </c>
      <c r="S8" s="48">
        <f>M!G6*1</f>
        <v>40</v>
      </c>
      <c r="T8" s="48">
        <f>IF(M!B6="","",M!H6*1)</f>
        <v>31.340699999999998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-0.76904780061952271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29.511600000000001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9</v>
      </c>
      <c r="CH8" s="222">
        <f>IF(CH4&lt;&gt;10,CH4,IF(info!N9&lt;30,11,IF(info!M7=0,11,10)))</f>
        <v>4</v>
      </c>
      <c r="CI8" t="s">
        <v>1571</v>
      </c>
      <c r="CJ8" s="421">
        <f>IF(CG8=5,IF(CK5=1,5,4),IF(CG8=8,IF(N8&gt;=38,8,3),IF(CG8=7,IF(N11&lt;=51,7,3),IF(CG8=9,IF(AQ7&lt;-1.5,IF(info!Z2&lt;-10,IF(info!W36&lt;33.3,IF(DK17&lt;0.3,12,CG8),CG8),CG8),CG8),CG8))))</f>
        <v>9</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29.511600000000001</v>
      </c>
      <c r="DJ8" s="265">
        <f t="shared" ref="DJ8:DJ14" si="8">(DI8-$DB8)/$DC8</f>
        <v>-0.36269333799549813</v>
      </c>
      <c r="DK8" s="273">
        <f t="shared" ref="DK8:DK14" si="9">IF(DH8=1,(DJ8-DF8)^2,0)</f>
        <v>1.254279611738321</v>
      </c>
      <c r="DL8" s="274">
        <f t="shared" ref="DL8:DL14" si="10">IF(DH8=1,(DJ8-DG8)^2,0)</f>
        <v>0.40220269736196534</v>
      </c>
    </row>
    <row r="9" spans="2:119" s="5" customFormat="1" ht="24.75" customHeight="1" thickBot="1">
      <c r="B9" s="62" t="str">
        <f>CONCATENATE(M7,"
(20 ~ 50)")</f>
        <v>적극/공격성
(20 ~ 50)</v>
      </c>
      <c r="C9" s="63">
        <f>R7</f>
        <v>39.389200000000002</v>
      </c>
      <c r="D9" s="64">
        <f>N7</f>
        <v>55.625700000000002</v>
      </c>
      <c r="E9" s="65">
        <f>T7</f>
        <v>62.450099999999999</v>
      </c>
      <c r="F9" s="65">
        <f>P7</f>
        <v>6.1926399999999999</v>
      </c>
      <c r="G9" s="66" t="str">
        <f>CONCATENATE(M8,"
(20 ~ 40)")</f>
        <v>스트레스
(20 ~ 40)</v>
      </c>
      <c r="H9" s="63">
        <f>R8</f>
        <v>21.550799999999999</v>
      </c>
      <c r="I9" s="67">
        <f>N8</f>
        <v>29.511600000000001</v>
      </c>
      <c r="J9" s="63">
        <f>T8</f>
        <v>31.340699999999998</v>
      </c>
      <c r="K9" s="68">
        <f>P8</f>
        <v>9.4770000000000003</v>
      </c>
      <c r="L9" s="1">
        <f>IF(M!B7="","",IF(N9&lt;U9,1,IF(N9&lt;V9,2,IF(N9&lt;W9,3,IF(N9&lt;X9,4,5)))))</f>
        <v>3</v>
      </c>
      <c r="M9" s="162" t="str">
        <f>lang!B16</f>
        <v>불안</v>
      </c>
      <c r="N9" s="48">
        <f>IF(M!B7="","",M!B7*1)</f>
        <v>31.564800000000002</v>
      </c>
      <c r="O9" s="48">
        <f>M!C7*1</f>
        <v>3.26708</v>
      </c>
      <c r="P9" s="48">
        <f>M!D7*1</f>
        <v>10.3504</v>
      </c>
      <c r="Q9" s="48">
        <f>M!E7*1</f>
        <v>15</v>
      </c>
      <c r="R9" s="48">
        <f>IF(M!B7="","",M!F7*1)</f>
        <v>24.9312</v>
      </c>
      <c r="S9" s="48">
        <f>M!G7*1</f>
        <v>40</v>
      </c>
      <c r="T9" s="48">
        <f>IF(M!B7="","",M!H7*1)</f>
        <v>43.770299999999999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0.43831269555660002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31.564800000000002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31.564800000000002</v>
      </c>
      <c r="DJ9" s="265">
        <f t="shared" si="8"/>
        <v>0.3979701747517308</v>
      </c>
      <c r="DK9" s="273">
        <f t="shared" si="9"/>
        <v>2.6119593001361898</v>
      </c>
      <c r="DL9" s="274">
        <f t="shared" si="10"/>
        <v>5.7449151102262813E-2</v>
      </c>
      <c r="DM9"/>
      <c r="DN9"/>
    </row>
    <row r="10" spans="2:119" s="4" customFormat="1" ht="30.3" thickBot="1">
      <c r="B10" s="57" t="str">
        <f>CONCATENATE(M9,"
(15 ~ 40)")</f>
        <v>불안
(15 ~ 40)</v>
      </c>
      <c r="C10" s="17">
        <f>R9</f>
        <v>24.9312</v>
      </c>
      <c r="D10" s="41">
        <f>N9</f>
        <v>31.564800000000002</v>
      </c>
      <c r="E10" s="43">
        <f>T9</f>
        <v>43.770299999999999</v>
      </c>
      <c r="F10" s="43">
        <f>P9</f>
        <v>10.3504</v>
      </c>
      <c r="G10" s="59" t="str">
        <f>CONCATENATE(M10,"
(20 ~ 50)")</f>
        <v>의심
(20 ~ 50)</v>
      </c>
      <c r="H10" s="17">
        <f>R10</f>
        <v>31.916499999999999</v>
      </c>
      <c r="I10" s="42">
        <f>N10</f>
        <v>38.5593</v>
      </c>
      <c r="J10" s="17">
        <f>T10</f>
        <v>40.850499999999997</v>
      </c>
      <c r="K10" s="18">
        <f>P10</f>
        <v>5.3956799999999996</v>
      </c>
      <c r="L10" s="1">
        <f>IF(M!B8="","",IF(N10&lt;U10,1,IF(N10&lt;V10,2,IF(N10&lt;W10,3,IF(N10&lt;X10,4,5)))))</f>
        <v>3</v>
      </c>
      <c r="M10" s="162" t="str">
        <f>lang!B17</f>
        <v>의심</v>
      </c>
      <c r="N10" s="48">
        <f>IF(M!B8="","",M!B8*1)</f>
        <v>38.5593</v>
      </c>
      <c r="O10" s="48">
        <f>M!C8*1</f>
        <v>2.0805400000000001</v>
      </c>
      <c r="P10" s="48">
        <f>M!D8*1</f>
        <v>5.3956799999999996</v>
      </c>
      <c r="Q10" s="48">
        <f>M!E8*1</f>
        <v>20</v>
      </c>
      <c r="R10" s="48">
        <f>IF(M!B8="","",M!F8*1)</f>
        <v>31.916499999999999</v>
      </c>
      <c r="S10" s="48">
        <f>M!G8*1</f>
        <v>50</v>
      </c>
      <c r="T10" s="48">
        <f>IF(M!B8="","",M!H8*1)</f>
        <v>40.850499999999997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1.7368700107077752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57.787999999999997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불쾌</v>
      </c>
      <c r="CH10" s="228" t="str">
        <f>IF(CH8&lt;&gt;"",HLOOKUP(CH8,$CN$8:$CY$12,3,FALSE),"")</f>
        <v>활동적/적극적</v>
      </c>
      <c r="CI10" s="363"/>
      <c r="CJ10" s="516" t="str">
        <f>IF(CJ8&lt;&gt;"",HLOOKUP(CJ8,$CN$8:$CY$12,3,FALSE),"")</f>
        <v>불쾌</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57.787999999999997</v>
      </c>
      <c r="DJ10" s="265">
        <f t="shared" si="8"/>
        <v>-0.95952870603377405</v>
      </c>
      <c r="DK10" s="273">
        <f t="shared" si="9"/>
        <v>0.49288127746023108</v>
      </c>
      <c r="DL10" s="274">
        <f t="shared" si="10"/>
        <v>0.3656669073914855</v>
      </c>
      <c r="DM10"/>
      <c r="DN10"/>
    </row>
    <row r="11" spans="2:119" s="4" customFormat="1" ht="24.75" customHeight="1" thickBot="1">
      <c r="B11" s="57" t="str">
        <f>CONCATENATE(M11,"
(50 ~ 100)")</f>
        <v>밸런스
(50 ~ 100)</v>
      </c>
      <c r="C11" s="17">
        <f>R11</f>
        <v>41.162500000000001</v>
      </c>
      <c r="D11" s="42">
        <f>N11</f>
        <v>57.787999999999997</v>
      </c>
      <c r="E11" s="17">
        <f>T11</f>
        <v>68.8339</v>
      </c>
      <c r="F11" s="17">
        <f>P11</f>
        <v>11.453799999999999</v>
      </c>
      <c r="G11" s="59" t="str">
        <f>CONCATENATE(M12,"
(40 ~ 100)")</f>
        <v>카리스마
(40 ~ 100)</v>
      </c>
      <c r="H11" s="17">
        <f>R12</f>
        <v>74.712299999999999</v>
      </c>
      <c r="I11" s="42">
        <f>N12</f>
        <v>79.064499999999995</v>
      </c>
      <c r="J11" s="17">
        <f>T12</f>
        <v>83.729600000000005</v>
      </c>
      <c r="K11" s="18">
        <f>P12</f>
        <v>2.58745</v>
      </c>
      <c r="L11" s="1">
        <f>IF(M!B9="","",IF(N11&lt;U11,1,IF(N11&lt;V11,2,IF(N11&lt;W11,3,IF(N11&lt;X11,4,5)))))</f>
        <v>3</v>
      </c>
      <c r="M11" s="162" t="str">
        <f>lang!B18</f>
        <v>밸런스</v>
      </c>
      <c r="N11" s="48">
        <f>IF(M!B9="","",M!B9*1)</f>
        <v>57.787999999999997</v>
      </c>
      <c r="O11" s="48">
        <f>M!C9*1</f>
        <v>6.6189299999999998</v>
      </c>
      <c r="P11" s="48">
        <f>M!D9*1</f>
        <v>11.453799999999999</v>
      </c>
      <c r="Q11" s="48">
        <f>M!E9*1</f>
        <v>50</v>
      </c>
      <c r="R11" s="48">
        <f>IF(M!B9="","",M!F9*1)</f>
        <v>41.162500000000001</v>
      </c>
      <c r="S11" s="48">
        <f>M!G9*1</f>
        <v>100</v>
      </c>
      <c r="T11" s="48">
        <f>IF(M!B9="","",M!H9*1)</f>
        <v>68.8339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-1.2547594194216838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79.064499999999995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불쾌 상태입니다.</v>
      </c>
      <c r="CH11" s="228" t="str">
        <f>IF(CH8&lt;&gt;"",HLOOKUP(CH8,$CN$8:$CY$12,4,FALSE),"")</f>
        <v>활동적/적극적 상태입니다.</v>
      </c>
      <c r="CI11" s="364" t="s">
        <v>1566</v>
      </c>
      <c r="CJ11" s="516" t="str">
        <f>IF(CJ8&lt;&gt;"",HLOOKUP(CJ8,$CN$8:$CY$12,4,FALSE),"")</f>
        <v>불쾌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79.064499999999995</v>
      </c>
      <c r="DJ11" s="265">
        <f t="shared" si="8"/>
        <v>0.91025809904723642</v>
      </c>
      <c r="DK11" s="273">
        <f t="shared" si="9"/>
        <v>1.0032635035228953E-2</v>
      </c>
      <c r="DL11" s="274">
        <f t="shared" si="10"/>
        <v>1.6554158799714898</v>
      </c>
      <c r="DM11"/>
      <c r="DN11"/>
    </row>
    <row r="12" spans="2:119" s="4" customFormat="1" ht="24.75" customHeight="1" thickBot="1">
      <c r="B12" s="57" t="str">
        <f>CONCATENATE(M13,"
(10 ~ 50)")</f>
        <v>에너지
(10 ~ 50)</v>
      </c>
      <c r="C12" s="17">
        <f>R13</f>
        <v>22.236999999999998</v>
      </c>
      <c r="D12" s="41">
        <f>N13</f>
        <v>27.145499999999998</v>
      </c>
      <c r="E12" s="43">
        <f>T13</f>
        <v>38.649700000000003</v>
      </c>
      <c r="F12" s="43">
        <f>P13</f>
        <v>17.392099999999999</v>
      </c>
      <c r="G12" s="59" t="str">
        <f>CONCATENATE(M14,"
(50 ~ 100)")</f>
        <v>자기조절
(50 ~ 100)</v>
      </c>
      <c r="H12" s="17">
        <f>R14</f>
        <v>60.161299999999997</v>
      </c>
      <c r="I12" s="42">
        <f>N14</f>
        <v>68.372399999999999</v>
      </c>
      <c r="J12" s="17">
        <f>T14</f>
        <v>76.070599999999999</v>
      </c>
      <c r="K12" s="18">
        <f>P14</f>
        <v>5.53484</v>
      </c>
      <c r="L12" s="1">
        <f>IF(M!B10="","",IF(N12&lt;U12,1,IF(N12&lt;V12,2,IF(N12&lt;W12,3,IF(N12&lt;X12,4,5)))))</f>
        <v>4</v>
      </c>
      <c r="M12" s="162" t="str">
        <f>lang!B19</f>
        <v>카리스마</v>
      </c>
      <c r="N12" s="48">
        <f>IF(M!B10="","",M!B10*1)</f>
        <v>79.064499999999995</v>
      </c>
      <c r="O12" s="48">
        <f>M!C10*1</f>
        <v>2.04576</v>
      </c>
      <c r="P12" s="48">
        <f>M!D10*1</f>
        <v>2.58745</v>
      </c>
      <c r="Q12" s="48">
        <f>M!E10*1</f>
        <v>40</v>
      </c>
      <c r="R12" s="48">
        <f>IF(M!B10="","",M!F10*1)</f>
        <v>74.712299999999999</v>
      </c>
      <c r="S12" s="48">
        <f>M!G10*1</f>
        <v>100</v>
      </c>
      <c r="T12" s="48">
        <f>IF(M!B10="","",M!H10*1)</f>
        <v>83.729600000000005</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1.2259704226531709</v>
      </c>
      <c r="AI12" s="98">
        <v>0.31913434649697919</v>
      </c>
      <c r="AJ12" s="98">
        <v>3.8587997439955973E-2</v>
      </c>
      <c r="AK12" s="98">
        <v>1.0272327081707585E-2</v>
      </c>
      <c r="AL12" s="98">
        <v>1.9404033844491575E-2</v>
      </c>
      <c r="AM12" s="101"/>
      <c r="AN12" s="101"/>
      <c r="AO12" s="101"/>
      <c r="AP12" s="101"/>
      <c r="AX12" s="171"/>
      <c r="AY12" s="219">
        <f>N13</f>
        <v>27.145499999999998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27.145499999999998</v>
      </c>
      <c r="DJ12" s="265">
        <f t="shared" si="8"/>
        <v>1.4376576978071458</v>
      </c>
      <c r="DK12" s="273">
        <f t="shared" si="9"/>
        <v>0.20262553935612101</v>
      </c>
      <c r="DL12" s="274">
        <f t="shared" si="10"/>
        <v>1.2018225221952532</v>
      </c>
      <c r="DM12"/>
      <c r="DN12"/>
    </row>
    <row r="13" spans="2:119" ht="24.75" customHeight="1" thickBot="1">
      <c r="B13" s="58" t="str">
        <f>CONCATENATE(M15,"
(10 ~ 25)")</f>
        <v>억제
(10 ~ 25)</v>
      </c>
      <c r="C13" s="44">
        <f>R15</f>
        <v>14.9787</v>
      </c>
      <c r="D13" s="45">
        <f>N15</f>
        <v>18.917000000000002</v>
      </c>
      <c r="E13" s="46">
        <f>T15</f>
        <v>30.008400000000002</v>
      </c>
      <c r="F13" s="46">
        <f>P15</f>
        <v>16.681799999999999</v>
      </c>
      <c r="G13" s="60" t="str">
        <f>CONCATENATE(M16,"
(10 ~ 50)")</f>
        <v>신경성
(10 ~ 50)</v>
      </c>
      <c r="H13" s="44">
        <f>R16</f>
        <v>3.2107000000000001</v>
      </c>
      <c r="I13" s="45">
        <f>N16</f>
        <v>31.556999999999999</v>
      </c>
      <c r="J13" s="46">
        <f>T16</f>
        <v>40.993099999999998</v>
      </c>
      <c r="K13" s="47">
        <f>P16</f>
        <v>36.885300000000001</v>
      </c>
      <c r="L13" s="1">
        <f>IF(M!B11="","",IF(N13&lt;U13,1,IF(N13&lt;V13,2,IF(N13&lt;W13,3,IF(N13&lt;X13,4,5)))))</f>
        <v>3</v>
      </c>
      <c r="M13" s="162" t="str">
        <f>lang!B20</f>
        <v>에너지</v>
      </c>
      <c r="N13" s="48">
        <f>IF(M!B11="","",M!B11*1)</f>
        <v>27.145499999999998</v>
      </c>
      <c r="O13" s="48">
        <f>M!C11*1</f>
        <v>4.7211600000000002</v>
      </c>
      <c r="P13" s="48">
        <f>M!D11*1</f>
        <v>17.392099999999999</v>
      </c>
      <c r="Q13" s="48">
        <f>M!E11*1</f>
        <v>10</v>
      </c>
      <c r="R13" s="48">
        <f>IF(M!B11="","",M!F11*1)</f>
        <v>22.236999999999998</v>
      </c>
      <c r="S13" s="48">
        <f>M!G11*1</f>
        <v>50</v>
      </c>
      <c r="T13" s="48">
        <f>IF(M!B11="","",M!H11*1)</f>
        <v>38.649700000000003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1.7398878335359087</v>
      </c>
      <c r="AI13" s="98">
        <v>0.16093442074971984</v>
      </c>
      <c r="AJ13" s="98">
        <v>-1.0988594420247608E-2</v>
      </c>
      <c r="AK13" s="98">
        <v>0.37151940745754808</v>
      </c>
      <c r="AL13" s="98">
        <v>8.9062029657998948E-2</v>
      </c>
      <c r="AM13" s="96"/>
      <c r="AN13" s="96"/>
      <c r="AO13" s="96"/>
      <c r="AP13" s="96"/>
      <c r="AX13" s="171"/>
      <c r="AY13" s="219">
        <f>info!W36</f>
        <v>28.067299999999996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치유 수준의 지속적인 케어및 관리가 필요함. 규칙적인 활동(산책, 요가 명상등)을 꾸준히 하여, 습관화 하도록 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치유 수준의 지속적인 케어및 관리가 필요함. 규칙적인 활동(산책, 요가 명상등)을 꾸준히 하여, 습관화 하도록 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31.556999999999999</v>
      </c>
      <c r="DJ13" s="265">
        <f t="shared" si="8"/>
        <v>0.18056768906505674</v>
      </c>
      <c r="DK13" s="273">
        <f>IF(DH13=1,(DJ13-DF13)^2,0)</f>
        <v>6.7219089761406975E-2</v>
      </c>
      <c r="DL13" s="274">
        <f t="shared" si="10"/>
        <v>0.30083788015444285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68.372399999999999</v>
      </c>
      <c r="O14" s="48">
        <f>M!C12*1</f>
        <v>3.7843100000000001</v>
      </c>
      <c r="P14" s="48">
        <f>M!D12*1</f>
        <v>5.53484</v>
      </c>
      <c r="Q14" s="48">
        <f>M!E12*1</f>
        <v>50</v>
      </c>
      <c r="R14" s="48">
        <f>IF(M!B12="","",M!F12*1)</f>
        <v>60.161299999999997</v>
      </c>
      <c r="S14" s="48">
        <f>M!G12*1</f>
        <v>100</v>
      </c>
      <c r="T14" s="48">
        <f>IF(M!B12="","",M!H12*1)</f>
        <v>76.070599999999999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0.40912195021004477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31.683199999999999</v>
      </c>
      <c r="DJ14" s="265">
        <f t="shared" si="8"/>
        <v>-2.0248731195857359</v>
      </c>
      <c r="DK14" s="279">
        <f t="shared" si="9"/>
        <v>3.8228639904131074</v>
      </c>
      <c r="DL14" s="280">
        <f t="shared" si="10"/>
        <v>1.3153793866667271E-2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18.917000000000002</v>
      </c>
      <c r="O15" s="48">
        <f>M!C13*1</f>
        <v>3.1556999999999999</v>
      </c>
      <c r="P15" s="48">
        <f>M!D13*1</f>
        <v>16.681799999999999</v>
      </c>
      <c r="Q15" s="48">
        <f>M!E13*1</f>
        <v>10</v>
      </c>
      <c r="R15" s="48">
        <f>IF(M!B13="","",M!F13*1)</f>
        <v>14.9787</v>
      </c>
      <c r="S15" s="48">
        <f>M!G13*1</f>
        <v>25</v>
      </c>
      <c r="T15" s="48">
        <f>IF(M!B13="","",M!H13*1)</f>
        <v>30.008400000000002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0.31076950188766261</v>
      </c>
      <c r="AI15" s="98">
        <v>-8.3250321124619289E-2</v>
      </c>
      <c r="AJ15" s="98">
        <v>-0.44690513063775733</v>
      </c>
      <c r="AK15" s="98">
        <v>0.12052818186953573</v>
      </c>
      <c r="AL15" s="98">
        <v>-2.4174505446491225E-2</v>
      </c>
      <c r="AM15" s="96"/>
      <c r="AN15" s="96"/>
      <c r="AO15" s="96"/>
      <c r="AP15" s="96"/>
      <c r="AX15" s="171"/>
      <c r="AY15" s="50">
        <f>SUM(AY7:AY14)</f>
        <v>308.76740000000001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11.270575839229972</v>
      </c>
      <c r="DL15" s="281">
        <f>IF(SUM($DI$7:$DI$14)&gt;0,SUM(DL7:DL14),0)</f>
        <v>4.6205896594858187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31.556999999999999</v>
      </c>
      <c r="O16" s="48">
        <f>M!C14*1</f>
        <v>11.639900000000001</v>
      </c>
      <c r="P16" s="48">
        <f>M!D14*1</f>
        <v>36.885300000000001</v>
      </c>
      <c r="Q16" s="48">
        <f>M!E14*1</f>
        <v>10</v>
      </c>
      <c r="R16" s="48">
        <f>IF(M!B14="","",M!F14*1)</f>
        <v>3.2107000000000001</v>
      </c>
      <c r="S16" s="48">
        <f>M!G14*1</f>
        <v>50</v>
      </c>
      <c r="T16" s="48">
        <f>IF(M!B14="","",M!H14*1)</f>
        <v>40.993099999999998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0.22977932216172325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8.872661115674832E-2</v>
      </c>
      <c r="DL16" s="281">
        <f>IF(DL15&gt;0,1/DL15,0)</f>
        <v>0.21642259401828823</v>
      </c>
      <c r="DM16" t="s">
        <v>1207</v>
      </c>
    </row>
    <row r="17" spans="2:117" ht="21" customHeight="1" thickBot="1">
      <c r="B17" s="20"/>
      <c r="C17"/>
      <c r="D17"/>
      <c r="E17"/>
      <c r="F17"/>
      <c r="G17" s="1071"/>
      <c r="H17" s="827"/>
      <c r="I17" s="827"/>
      <c r="J17" s="827"/>
      <c r="K17" s="828"/>
      <c r="M17" s="163" t="str">
        <f>lang!B7</f>
        <v>긍정감정</v>
      </c>
      <c r="N17" s="54">
        <f>SUM(N11:N14)/4</f>
        <v>58.092599999999997</v>
      </c>
      <c r="O17" s="16">
        <f>N17/(N17+N18+N19)</f>
        <v>0.4756037805901922</v>
      </c>
      <c r="P17" s="54">
        <f>SUM(P11:P14)/4</f>
        <v>9.2420475</v>
      </c>
      <c r="Q17" s="16">
        <f>P17/(P17+P18+P19)</f>
        <v>0.21062322286856897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0.29076468053014881</v>
      </c>
      <c r="DL17" s="283"/>
      <c r="DM17" s="284" t="s">
        <v>1208</v>
      </c>
    </row>
    <row r="18" spans="2:117" ht="21" customHeight="1">
      <c r="B18" s="20"/>
      <c r="C18"/>
      <c r="D18"/>
      <c r="E18"/>
      <c r="F18"/>
      <c r="G18" s="1071"/>
      <c r="H18" s="827"/>
      <c r="I18" s="827"/>
      <c r="J18" s="827"/>
      <c r="K18" s="828"/>
      <c r="M18" s="163" t="str">
        <f>lang!B8</f>
        <v>부정감정</v>
      </c>
      <c r="N18" s="14">
        <f>SUM(N7:N10)/4</f>
        <v>38.815350000000002</v>
      </c>
      <c r="O18" s="16">
        <f>N18/(N17+N18+N19)</f>
        <v>0.31778104620780478</v>
      </c>
      <c r="P18" s="14">
        <f>SUM(P7:P10)/4</f>
        <v>7.8539300000000001</v>
      </c>
      <c r="Q18" s="16">
        <f>P18/(P17+P18+P19)</f>
        <v>0.17898848158745559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25.237000000000002</v>
      </c>
      <c r="O19" s="16">
        <f>N19/(N17+N18+N19)</f>
        <v>0.20661517320200307</v>
      </c>
      <c r="P19" s="14">
        <f>(P15+P16)/2</f>
        <v>26.783549999999998</v>
      </c>
      <c r="Q19" s="16">
        <f>P19/(P17+P18+P19)</f>
        <v>0.61038829554397556</v>
      </c>
      <c r="R19" s="11"/>
      <c r="S19" s="11"/>
      <c r="T19" s="11"/>
      <c r="U19" s="15"/>
      <c r="V19" s="15"/>
      <c r="W19" s="15"/>
      <c r="X19" s="15"/>
      <c r="Y19" s="15"/>
      <c r="CI19" s="519" t="s">
        <v>1176</v>
      </c>
      <c r="CJ19" s="517" t="str">
        <f>IF(CJ8&lt;&gt;"",HLOOKUP(CJ8,$CN$8:$CY$17,5,FALSE),"")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1.97898</v>
      </c>
      <c r="D24" s="34" t="str">
        <f>lang!B11</f>
        <v>편차</v>
      </c>
      <c r="E24" s="1077">
        <f>FH_info!G2*1</f>
        <v>0.71932700000000005</v>
      </c>
      <c r="F24" s="1078"/>
      <c r="G24" s="1075" t="str">
        <f>lang!B12</f>
        <v>정보(I)변화량</v>
      </c>
      <c r="H24" s="1076"/>
      <c r="I24" s="51" t="str">
        <f ca="1">CONCATENATE(info!N7,"-",info!N8)</f>
        <v>19.6-30.5</v>
      </c>
      <c r="J24" s="32" t="str">
        <f>lang!B13</f>
        <v>Kcal/분</v>
      </c>
      <c r="K24" s="31" t="str">
        <f ca="1">CONCATENATE(info!N5,"-",info!N6)</f>
        <v>3.9-4.9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31.683199999999999</v>
      </c>
      <c r="F27" s="1043"/>
      <c r="G27" s="1055" t="str">
        <f>lang!B33</f>
        <v>정서안정성</v>
      </c>
      <c r="H27" s="1056"/>
      <c r="I27" s="1057"/>
      <c r="J27" s="993">
        <f>M!B19*100</f>
        <v>47.092399999999998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4.8835800000000003</v>
      </c>
      <c r="H2" s="50">
        <f>IF(FT!B2&lt;&gt;"",FT!B2*100,"")</f>
        <v>30.503299999999999</v>
      </c>
      <c r="I2" s="50">
        <f>(IF(G2&lt;&gt;"",1,""))</f>
        <v>1</v>
      </c>
      <c r="J2" t="str">
        <f>IF(FT!B2&lt;&gt;"",FT!E2,"")</f>
        <v>0 [0.000000]</v>
      </c>
      <c r="K2">
        <f>IF(FT!B2&lt;&gt;"",IF(FT!C2&lt;&gt;"",FT!C2,F2/$M$3*$M$4),"")</f>
        <v>0</v>
      </c>
      <c r="L2" t="s">
        <v>52</v>
      </c>
      <c r="M2">
        <f>FH_info!E2</f>
        <v>4.9234099999999996</v>
      </c>
      <c r="N2" s="75">
        <f>LOOKUP(O3,A2:A1000,B2:B1000)</f>
        <v>2.2010538823529413</v>
      </c>
      <c r="O2" s="50">
        <f>MAX(C2:C1000)</f>
        <v>1</v>
      </c>
      <c r="P2" t="s">
        <v>60</v>
      </c>
      <c r="Q2" t="s">
        <v>61</v>
      </c>
      <c r="R2" t="s">
        <v>62</v>
      </c>
      <c r="S2" t="s">
        <v>63</v>
      </c>
      <c r="T2" t="s">
        <v>64</v>
      </c>
      <c r="V2" s="50">
        <f>FT!G2*10</f>
        <v>4.9151400000000001</v>
      </c>
      <c r="W2" s="50">
        <f>FT!H2*100</f>
        <v>29.269499999999997</v>
      </c>
      <c r="Y2">
        <f>IF(I2=1,H2/G2,"")</f>
        <v>6.2460940539522234</v>
      </c>
      <c r="Z2">
        <f>AVERAGE(Y2:Y2000)</f>
        <v>5.9792650266358027</v>
      </c>
      <c r="AB2" s="827" t="s">
        <v>450</v>
      </c>
      <c r="AC2" s="827"/>
      <c r="AD2" s="1" t="s">
        <v>2012</v>
      </c>
      <c r="AE2" s="1" t="s">
        <v>2013</v>
      </c>
      <c r="AF2" s="110"/>
      <c r="AG2" s="427">
        <f>AD3</f>
        <v>0</v>
      </c>
      <c r="AH2" s="428">
        <f>AD4</f>
        <v>0</v>
      </c>
      <c r="AI2" s="428">
        <f>AD5</f>
        <v>1</v>
      </c>
      <c r="AJ2" s="428">
        <f>AD6</f>
        <v>0</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4.8927700000000005</v>
      </c>
      <c r="H3" s="50">
        <f>IF(FT!B3&lt;&gt;"",FT!B3*100,"")</f>
        <v>30.536799999999996</v>
      </c>
      <c r="I3" s="50">
        <f t="shared" ref="I3:I66" si="2">(IF(G3&lt;&gt;"",1,""))</f>
        <v>1</v>
      </c>
      <c r="J3" t="str">
        <f>IF(FT!B3&lt;&gt;"",FT!E3,"")</f>
        <v>0 [0.404462]</v>
      </c>
      <c r="K3">
        <f>IF(FT!B3&lt;&gt;"",IF(FT!C3&lt;&gt;"",FT!C3,F3/$M$3*$M$4),"")</f>
        <v>0.40446199999999999</v>
      </c>
      <c r="L3" t="s">
        <v>53</v>
      </c>
      <c r="M3">
        <f>SUM(I2:I2005)</f>
        <v>97</v>
      </c>
      <c r="O3" s="104">
        <f>MATCH(O2,C2:C1000,0)-1</f>
        <v>114</v>
      </c>
      <c r="P3">
        <v>0</v>
      </c>
      <c r="Q3">
        <v>0</v>
      </c>
      <c r="R3">
        <f>IF(S4=0,M3,0)</f>
        <v>97</v>
      </c>
      <c r="S3">
        <f t="array" ref="S3">MAX(IF(ft_nq=0,row_n))</f>
        <v>1998</v>
      </c>
      <c r="T3">
        <f>R3-Q3</f>
        <v>97</v>
      </c>
      <c r="V3" s="50">
        <f>FT!G3*10</f>
        <v>3.8978800000000002</v>
      </c>
      <c r="W3" s="50">
        <f>FT!H3*100</f>
        <v>21.3751</v>
      </c>
      <c r="Y3" s="75">
        <f t="shared" ref="Y3:Y66" si="3">IF(I3=1,H3/G3,"")</f>
        <v>6.2412089675173759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4.9047800000000006</v>
      </c>
      <c r="H4" s="50">
        <f>IF(FT!B4&lt;&gt;"",FT!B4*100,"")</f>
        <v>30.521700000000003</v>
      </c>
      <c r="I4" s="50">
        <f t="shared" si="2"/>
        <v>1</v>
      </c>
      <c r="J4" t="str">
        <f>IF(FT!B4&lt;&gt;"",FT!E4,"")</f>
        <v>0 [0.809592]</v>
      </c>
      <c r="K4">
        <f>IF(FT!B4&lt;&gt;"",IF(FT!C4&lt;&gt;"",FT!C4,F4/$M$3*$M$4),"")</f>
        <v>0.80959199999999998</v>
      </c>
      <c r="L4" t="s">
        <v>246</v>
      </c>
      <c r="M4">
        <f>IF(M2&lt;&gt;0,M3/M2*2,0)</f>
        <v>39.403584101263149</v>
      </c>
      <c r="P4">
        <f>P3+1</f>
        <v>1</v>
      </c>
      <c r="Q4">
        <v>0</v>
      </c>
      <c r="R4">
        <f>IF(S4=1998,0,S4)</f>
        <v>0</v>
      </c>
      <c r="S4">
        <f t="array" ref="S4">MAX(IF(ft_nq=P4,row_n))</f>
        <v>0</v>
      </c>
      <c r="T4">
        <f>R4-Q4+1</f>
        <v>1</v>
      </c>
      <c r="V4" t="s">
        <v>209</v>
      </c>
      <c r="W4" s="23">
        <f>IF(ISERROR(V3-V2)=FALSE,(V3-V2)*10,0)</f>
        <v>-10.172599999999999</v>
      </c>
      <c r="Y4" s="75">
        <f t="shared" si="3"/>
        <v>6.2228479157067182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0.78183633275488607</v>
      </c>
      <c r="E5" s="50">
        <f t="shared" si="1"/>
        <v>2.2686280082898476E-5</v>
      </c>
      <c r="F5">
        <f t="shared" si="6"/>
        <v>3</v>
      </c>
      <c r="G5" s="50">
        <f>IF(FT!A5&lt;&gt;"",FT!A5*10,"")</f>
        <v>4.91648</v>
      </c>
      <c r="H5" s="50">
        <f>IF(FT!B5&lt;&gt;"",FT!B5*100,"")</f>
        <v>30.462199999999999</v>
      </c>
      <c r="I5" s="50">
        <f t="shared" si="2"/>
        <v>1</v>
      </c>
      <c r="J5" t="str">
        <f>IF(FT!B5&lt;&gt;"",FT!E5,"")</f>
        <v>0 [1.216197]</v>
      </c>
      <c r="K5">
        <f>IF(FT!B5&lt;&gt;"",IF(FT!C5&lt;&gt;"",FT!C5,F5/$M$3*$M$4),"")</f>
        <v>1.2161999999999999</v>
      </c>
      <c r="L5" t="s">
        <v>54</v>
      </c>
      <c r="M5" s="52">
        <f ca="1">IF(M3&gt;0,MIN(FT_E),0)</f>
        <v>3.8872</v>
      </c>
      <c r="N5" s="52">
        <f ca="1">IF(M3&gt;0,ROUND(M5,1),0)</f>
        <v>3.9</v>
      </c>
      <c r="P5">
        <f t="shared" ref="P5:P27" si="10">P4+1</f>
        <v>2</v>
      </c>
      <c r="Q5">
        <f>IF(S5=1998,0,R4)</f>
        <v>0</v>
      </c>
      <c r="R5">
        <f>IF(S5=1998,0,S5)</f>
        <v>0</v>
      </c>
      <c r="S5">
        <f t="array" ref="S5">MAX(IF(ft_nq=P5,row_n))</f>
        <v>0</v>
      </c>
      <c r="T5">
        <f t="shared" ref="T5:T27" si="11">R5-Q5+1</f>
        <v>1</v>
      </c>
      <c r="V5" t="s">
        <v>210</v>
      </c>
      <c r="W5" s="23">
        <f>IF(ISERROR(W3-W2)=FALSE,W3-W2,0)</f>
        <v>-7.8943999999999974</v>
      </c>
      <c r="Y5" s="75">
        <f t="shared" si="3"/>
        <v>6.1959369304868526</v>
      </c>
      <c r="Z5" s="52"/>
      <c r="AB5" s="1">
        <v>20</v>
      </c>
      <c r="AC5" s="1">
        <v>30</v>
      </c>
      <c r="AD5" s="1">
        <f t="shared" si="7"/>
        <v>1</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4.9251299999999993</v>
      </c>
      <c r="H6" s="50">
        <f>IF(FT!B6&lt;&gt;"",FT!B6*100,"")</f>
        <v>30.349299999999999</v>
      </c>
      <c r="I6" s="50">
        <f t="shared" si="2"/>
        <v>1</v>
      </c>
      <c r="J6" t="str">
        <f>IF(FT!B6&lt;&gt;"",FT!E6,"")</f>
        <v>0 [1.622021]</v>
      </c>
      <c r="K6">
        <f>IF(FT!B6&lt;&gt;"",IF(FT!C6&lt;&gt;"",FT!C6,F6/$M$3*$M$4),"")</f>
        <v>1.62202</v>
      </c>
      <c r="L6" t="s">
        <v>55</v>
      </c>
      <c r="M6" s="52">
        <f ca="1">IF(M3&gt;0,MAX(FT_E),0)</f>
        <v>4.9285199999999998</v>
      </c>
      <c r="N6" s="52">
        <f ca="1">IF(M3&gt;0,ROUND(M6,1),0)</f>
        <v>4.9000000000000004</v>
      </c>
      <c r="P6">
        <f t="shared" si="10"/>
        <v>3</v>
      </c>
      <c r="Q6">
        <f t="shared" ref="Q6:Q27" si="12">IF(S6=1998,0,R5)</f>
        <v>0</v>
      </c>
      <c r="R6">
        <f t="shared" ref="R6:R27" si="13">IF(S6=1998,0,S6)</f>
        <v>0</v>
      </c>
      <c r="S6">
        <f t="array" ref="S6">MAX(IF(ft_nq=P6,row_n))</f>
        <v>0</v>
      </c>
      <c r="T6">
        <f t="shared" si="11"/>
        <v>1</v>
      </c>
      <c r="V6" t="s">
        <v>211</v>
      </c>
      <c r="W6" s="23">
        <f>IF(W4&lt;&gt;0,W5/W4,0)</f>
        <v>0.77604545543912062</v>
      </c>
      <c r="Y6" s="75">
        <f t="shared" si="3"/>
        <v>6.1621317609890509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4.9285199999999998</v>
      </c>
      <c r="H7" s="50">
        <f>IF(FT!B7&lt;&gt;"",FT!B7*100,"")</f>
        <v>30.169499999999999</v>
      </c>
      <c r="I7" s="50">
        <f t="shared" si="2"/>
        <v>1</v>
      </c>
      <c r="J7" t="str">
        <f>IF(FT!B7&lt;&gt;"",FT!E7,"")</f>
        <v>0 [2.030051]</v>
      </c>
      <c r="K7">
        <f>IF(FT!B7&lt;&gt;"",IF(FT!C7&lt;&gt;"",FT!C7,F7/$M$3*$M$4),"")</f>
        <v>2.0300500000000001</v>
      </c>
      <c r="L7" t="s">
        <v>56</v>
      </c>
      <c r="M7" s="366">
        <f ca="1">IF(M3&gt;0,MIN(FT_PH),0)</f>
        <v>19.575500000000002</v>
      </c>
      <c r="N7" s="52">
        <f ca="1">IF(M3&gt;0,ROUND(M7,1),0)</f>
        <v>19.600000000000001</v>
      </c>
      <c r="P7">
        <f t="shared" si="10"/>
        <v>4</v>
      </c>
      <c r="Q7">
        <f t="shared" si="12"/>
        <v>0</v>
      </c>
      <c r="R7">
        <f t="shared" si="13"/>
        <v>0</v>
      </c>
      <c r="S7">
        <f t="array" ref="S7">MAX(IF(ft_nq=P7,row_n))</f>
        <v>0</v>
      </c>
      <c r="T7">
        <f t="shared" si="11"/>
        <v>1</v>
      </c>
      <c r="V7" t="s">
        <v>212</v>
      </c>
      <c r="W7" s="23">
        <f>DEGREES(ATAN(W6))</f>
        <v>37.813088363749316</v>
      </c>
      <c r="X7" s="106">
        <v>0.05</v>
      </c>
      <c r="Y7" s="75">
        <f t="shared" si="3"/>
        <v>6.1214117016873217</v>
      </c>
      <c r="Z7" s="52"/>
      <c r="AB7" s="1">
        <v>40</v>
      </c>
      <c r="AC7" s="1">
        <v>50</v>
      </c>
      <c r="AD7" s="1">
        <f t="shared" si="7"/>
        <v>0</v>
      </c>
      <c r="AE7" s="1">
        <f t="shared" si="8"/>
        <v>0</v>
      </c>
      <c r="AF7" s="431">
        <f>AE8</f>
        <v>1</v>
      </c>
      <c r="AG7" s="114">
        <f t="shared" si="9"/>
        <v>0</v>
      </c>
      <c r="AH7" s="108">
        <f t="shared" si="9"/>
        <v>0</v>
      </c>
      <c r="AI7" s="108">
        <f t="shared" si="4"/>
        <v>1</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1.9696057004281311E-2</v>
      </c>
      <c r="D8" s="50">
        <f>IF(hist!$D$2&gt;0,hist!B8/hist!$D$2,0)</f>
        <v>1</v>
      </c>
      <c r="E8" s="50">
        <f t="shared" si="1"/>
        <v>4.239235128206329E-5</v>
      </c>
      <c r="F8">
        <f t="shared" si="6"/>
        <v>6</v>
      </c>
      <c r="G8" s="50">
        <f>IF(FT!A8&lt;&gt;"",FT!A8*10,"")</f>
        <v>4.9283200000000003</v>
      </c>
      <c r="H8" s="50">
        <f>IF(FT!B8&lt;&gt;"",FT!B8*100,"")</f>
        <v>29.9375</v>
      </c>
      <c r="I8" s="50">
        <f t="shared" si="2"/>
        <v>1</v>
      </c>
      <c r="J8" t="str">
        <f>IF(FT!B8&lt;&gt;"",FT!E8,"")</f>
        <v>0 [2.436951]</v>
      </c>
      <c r="K8">
        <f>IF(FT!B8&lt;&gt;"",IF(FT!C8&lt;&gt;"",FT!C8,F8/$M$3*$M$4),"")</f>
        <v>2.4369499999999999</v>
      </c>
      <c r="L8" t="s">
        <v>57</v>
      </c>
      <c r="M8" s="52">
        <f ca="1">IF(M3&gt;0,MAX(FT_PH),0)</f>
        <v>30.536799999999996</v>
      </c>
      <c r="N8" s="52">
        <f ca="1">IF(M3&gt;0,ROUND(M8,1),0)</f>
        <v>30.5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6.0745852542042718</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4.9231199999999999</v>
      </c>
      <c r="H9" s="50">
        <f>IF(FT!B9&lt;&gt;"",FT!B9*100,"")</f>
        <v>29.6342</v>
      </c>
      <c r="I9" s="50">
        <f t="shared" si="2"/>
        <v>1</v>
      </c>
      <c r="J9" t="str">
        <f>IF(FT!B9&lt;&gt;"",FT!E9,"")</f>
        <v>0 [2.841393]</v>
      </c>
      <c r="K9">
        <f>IF(FT!B9&lt;&gt;"",IF(FT!C9&lt;&gt;"",FT!C9,F9/$M$3*$M$4),"")</f>
        <v>2.8413900000000001</v>
      </c>
      <c r="L9" t="s">
        <v>222</v>
      </c>
      <c r="M9" s="74">
        <f ca="1">IF(M3&gt;0,IF(COUNT(FT_E)&gt;0,AVERAGE(FT_E),0),0)</f>
        <v>4.2326086597938142</v>
      </c>
      <c r="N9" s="365">
        <f ca="1">IF(M3&gt;0,IF(COUNT(FT_PH)&gt;0,AVERAGE(FT_PH),0),0)</f>
        <v>25.346540206185573</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5</v>
      </c>
      <c r="X9">
        <v>2</v>
      </c>
      <c r="Y9" s="75">
        <f t="shared" si="3"/>
        <v>6.0193942053007037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4.9361695757612047E-2</v>
      </c>
      <c r="D10" s="50">
        <f>IF(hist!$D$2&gt;0,hist!B10/hist!$D$2,0)</f>
        <v>0.54817710285971832</v>
      </c>
      <c r="E10" s="50">
        <f t="shared" si="1"/>
        <v>6.3640932711193118E-5</v>
      </c>
      <c r="F10">
        <f t="shared" si="6"/>
        <v>8</v>
      </c>
      <c r="G10" s="50">
        <f>IF(FT!A10&lt;&gt;"",FT!A10*10,"")</f>
        <v>4.9151400000000001</v>
      </c>
      <c r="H10" s="50">
        <f>IF(FT!B10&lt;&gt;"",FT!B10*100,"")</f>
        <v>29.269499999999997</v>
      </c>
      <c r="I10" s="50">
        <f t="shared" si="2"/>
        <v>1</v>
      </c>
      <c r="J10" t="str">
        <f>IF(FT!B10&lt;&gt;"",FT!E10,"")</f>
        <v>0 [3.249907]</v>
      </c>
      <c r="K10">
        <f>IF(FT!B10&lt;&gt;"",IF(FT!C10&lt;&gt;"",FT!C10,F10/$M$3*$M$4),"")</f>
        <v>3.2499099999999999</v>
      </c>
      <c r="M10">
        <v>2</v>
      </c>
      <c r="P10">
        <f t="shared" si="10"/>
        <v>7</v>
      </c>
      <c r="Q10">
        <f t="shared" si="12"/>
        <v>0</v>
      </c>
      <c r="R10">
        <f t="shared" si="13"/>
        <v>0</v>
      </c>
      <c r="S10">
        <f t="array" ref="S10">MAX(IF(ft_nq=P10,row_n))</f>
        <v>0</v>
      </c>
      <c r="T10">
        <f t="shared" si="11"/>
        <v>1</v>
      </c>
      <c r="V10" t="s">
        <v>215</v>
      </c>
      <c r="X10" s="71" t="s">
        <v>270</v>
      </c>
      <c r="Y10" s="75">
        <f t="shared" si="3"/>
        <v>5.9549677120082025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4.9048400000000001</v>
      </c>
      <c r="H11" s="50">
        <f>IF(FT!B11&lt;&gt;"",FT!B11*100,"")</f>
        <v>28.926500000000001</v>
      </c>
      <c r="I11" s="50">
        <f t="shared" si="2"/>
        <v>1</v>
      </c>
      <c r="J11" t="str">
        <f>IF(FT!B11&lt;&gt;"",FT!E11,"")</f>
        <v>0 [3.654314]</v>
      </c>
      <c r="K11">
        <f>IF(FT!B11&lt;&gt;"",IF(FT!C11&lt;&gt;"",FT!C11,F11/$M$3*$M$4),"")</f>
        <v>3.6543100000000002</v>
      </c>
      <c r="M11" s="49">
        <f>MAX(IF(ft_nq=1,row_n))</f>
        <v>0</v>
      </c>
      <c r="P11">
        <f t="shared" si="10"/>
        <v>8</v>
      </c>
      <c r="Q11">
        <f t="shared" si="12"/>
        <v>0</v>
      </c>
      <c r="R11">
        <f t="shared" si="13"/>
        <v>0</v>
      </c>
      <c r="S11">
        <f t="array" ref="S11">MAX(IF(ft_nq=P11,row_n))</f>
        <v>0</v>
      </c>
      <c r="T11">
        <f t="shared" si="11"/>
        <v>1</v>
      </c>
      <c r="V11" s="71" t="s">
        <v>216</v>
      </c>
      <c r="W11" s="23">
        <f>FT!H11*100</f>
        <v>19.575500000000002</v>
      </c>
      <c r="Y11" s="75">
        <f t="shared" si="3"/>
        <v>5.8975420197192978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4.8908000000000005</v>
      </c>
      <c r="H12" s="50">
        <f>IF(FT!B12&lt;&gt;"",FT!B12*100,"")</f>
        <v>28.598200000000002</v>
      </c>
      <c r="I12" s="50">
        <f t="shared" si="2"/>
        <v>1</v>
      </c>
      <c r="J12" t="str">
        <f>IF(FT!B12&lt;&gt;"",FT!E12,"")</f>
        <v>0 [4.061040]</v>
      </c>
      <c r="K12">
        <f>IF(FT!B12&lt;&gt;"",IF(FT!C12&lt;&gt;"",FT!C12,F12/$M$3*$M$4),"")</f>
        <v>4.0610400000000002</v>
      </c>
      <c r="M12">
        <f>M11+1</f>
        <v>1</v>
      </c>
      <c r="P12">
        <f t="shared" si="10"/>
        <v>9</v>
      </c>
      <c r="Q12">
        <f t="shared" si="12"/>
        <v>0</v>
      </c>
      <c r="R12">
        <f t="shared" si="13"/>
        <v>0</v>
      </c>
      <c r="S12">
        <f t="array" ref="S12">MAX(IF(ft_nq=P12,row_n))</f>
        <v>0</v>
      </c>
      <c r="T12">
        <f t="shared" si="11"/>
        <v>1</v>
      </c>
      <c r="V12" s="71" t="s">
        <v>217</v>
      </c>
      <c r="W12" s="23">
        <f>FT!H12*100</f>
        <v>30.536799999999996</v>
      </c>
      <c r="Y12" s="75">
        <f t="shared" si="3"/>
        <v>5.8473460374580846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3.4468129696715664E-2</v>
      </c>
      <c r="D13" s="50">
        <f>IF(hist!$D$2&gt;0,hist!B13/hist!$D$2,0)</f>
        <v>0.43125590446999584</v>
      </c>
      <c r="E13" s="50">
        <f t="shared" si="1"/>
        <v>1.1522836836240688E-4</v>
      </c>
      <c r="F13">
        <f t="shared" si="6"/>
        <v>11</v>
      </c>
      <c r="G13" s="50">
        <f>IF(FT!A13&lt;&gt;"",FT!A13*10,"")</f>
        <v>4.8717500000000005</v>
      </c>
      <c r="H13" s="50">
        <f>IF(FT!B13&lt;&gt;"",FT!B13*100,"")</f>
        <v>28.2682</v>
      </c>
      <c r="I13" s="50">
        <f t="shared" si="2"/>
        <v>1</v>
      </c>
      <c r="J13" t="str">
        <f>IF(FT!B13&lt;&gt;"",FT!E13,"")</f>
        <v>0 [4.466009]</v>
      </c>
      <c r="K13">
        <f>IF(FT!B13&lt;&gt;"",IF(FT!C13&lt;&gt;"",FT!C13,F13/$M$3*$M$4),"")</f>
        <v>4.4660099999999998</v>
      </c>
      <c r="M13" s="49">
        <f t="array" ref="M13">MAX(IF(ft_nq=2,row_n))</f>
        <v>0</v>
      </c>
      <c r="P13">
        <f t="shared" si="10"/>
        <v>10</v>
      </c>
      <c r="Q13">
        <f t="shared" si="12"/>
        <v>0</v>
      </c>
      <c r="R13">
        <f t="shared" si="13"/>
        <v>0</v>
      </c>
      <c r="S13">
        <f t="array" ref="S13">MAX(IF(ft_nq=P13,row_n))</f>
        <v>0</v>
      </c>
      <c r="T13">
        <f t="shared" si="11"/>
        <v>1</v>
      </c>
      <c r="V13" s="71" t="s">
        <v>219</v>
      </c>
      <c r="W13">
        <f>FT!H13</f>
        <v>94</v>
      </c>
      <c r="Y13" s="75">
        <f t="shared" si="3"/>
        <v>5.8024734438343506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4.8478300000000001</v>
      </c>
      <c r="H14" s="50">
        <f>IF(FT!B14&lt;&gt;"",FT!B14*100,"")</f>
        <v>27.983400000000003</v>
      </c>
      <c r="I14" s="50">
        <f t="shared" si="2"/>
        <v>1</v>
      </c>
      <c r="J14" t="str">
        <f>IF(FT!B14&lt;&gt;"",FT!E14,"")</f>
        <v>0 [4.871829]</v>
      </c>
      <c r="K14">
        <f>IF(FT!B14&lt;&gt;"",IF(FT!C14&lt;&gt;"",FT!C14,F14/$M$3*$M$4),"")</f>
        <v>4.8718300000000001</v>
      </c>
      <c r="M14">
        <f>M13+1</f>
        <v>1</v>
      </c>
      <c r="P14">
        <f t="shared" si="10"/>
        <v>11</v>
      </c>
      <c r="Q14">
        <f t="shared" si="12"/>
        <v>0</v>
      </c>
      <c r="R14">
        <f t="shared" si="13"/>
        <v>0</v>
      </c>
      <c r="S14">
        <f t="array" ref="S14">MAX(IF(ft_nq=P14,row_n))</f>
        <v>0</v>
      </c>
      <c r="T14">
        <f t="shared" si="11"/>
        <v>1</v>
      </c>
      <c r="V14" s="71" t="s">
        <v>221</v>
      </c>
      <c r="W14">
        <f>FT!H14</f>
        <v>2</v>
      </c>
      <c r="Y14" s="75">
        <f t="shared" si="3"/>
        <v>5.7723558788158833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8.6139935930061987E-2</v>
      </c>
      <c r="D15" s="50">
        <f>IF(hist!$D$2&gt;0,hist!B15/hist!$D$2,0)</f>
        <v>0.34989820946341321</v>
      </c>
      <c r="E15" s="50">
        <f t="shared" si="1"/>
        <v>1.6938471460455832E-4</v>
      </c>
      <c r="F15">
        <f t="shared" si="6"/>
        <v>13</v>
      </c>
      <c r="G15" s="50">
        <f>IF(FT!A15&lt;&gt;"",FT!A15*10,"")</f>
        <v>4.8204799999999999</v>
      </c>
      <c r="H15" s="50">
        <f>IF(FT!B15&lt;&gt;"",FT!B15*100,"")</f>
        <v>27.7926</v>
      </c>
      <c r="I15" s="50">
        <f t="shared" si="2"/>
        <v>1</v>
      </c>
      <c r="J15" t="str">
        <f>IF(FT!B15&lt;&gt;"",FT!E15,"")</f>
        <v>0 [5.280739]</v>
      </c>
      <c r="K15">
        <f>IF(FT!B15&lt;&gt;"",IF(FT!C15&lt;&gt;"",FT!C15,F15/$M$3*$M$4),"")</f>
        <v>5.2807399999999998</v>
      </c>
      <c r="M15">
        <f t="array" ref="M15">MAX(IF(ft_nq=3,row_n))</f>
        <v>0</v>
      </c>
      <c r="P15">
        <f t="shared" si="10"/>
        <v>12</v>
      </c>
      <c r="Q15">
        <f t="shared" si="12"/>
        <v>0</v>
      </c>
      <c r="R15">
        <f t="shared" si="13"/>
        <v>0</v>
      </c>
      <c r="S15">
        <f t="array" ref="S15">MAX(IF(ft_nq=P15,row_n))</f>
        <v>0</v>
      </c>
      <c r="T15">
        <f t="shared" si="11"/>
        <v>1</v>
      </c>
      <c r="V15" s="23">
        <f>FT!G15*10</f>
        <v>3.9014799999999998</v>
      </c>
      <c r="W15" s="23">
        <f>FT!H15*100</f>
        <v>19.575500000000002</v>
      </c>
      <c r="Y15" s="75">
        <f t="shared" si="3"/>
        <v>5.7655254248539567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4.7920600000000002</v>
      </c>
      <c r="H16" s="50">
        <f>IF(FT!B16&lt;&gt;"",FT!B16*100,"")</f>
        <v>27.704899999999999</v>
      </c>
      <c r="I16" s="50">
        <f t="shared" si="2"/>
        <v>1</v>
      </c>
      <c r="J16" t="str">
        <f>IF(FT!B16&lt;&gt;"",FT!E16,"")</f>
        <v>0 [5.687135]</v>
      </c>
      <c r="K16">
        <f>IF(FT!B16&lt;&gt;"",IF(FT!C16&lt;&gt;"",FT!C16,F16/$M$3*$M$4),"")</f>
        <v>5.6871299999999998</v>
      </c>
      <c r="M16">
        <f>M15+1</f>
        <v>1</v>
      </c>
      <c r="P16">
        <f t="shared" si="10"/>
        <v>13</v>
      </c>
      <c r="Q16">
        <f t="shared" si="12"/>
        <v>0</v>
      </c>
      <c r="R16">
        <f t="shared" si="13"/>
        <v>0</v>
      </c>
      <c r="S16">
        <f t="array" ref="S16">MAX(IF(ft_nq=P16,row_n))</f>
        <v>0</v>
      </c>
      <c r="T16">
        <f t="shared" si="11"/>
        <v>1</v>
      </c>
      <c r="V16" s="23">
        <f>FT!G16*10</f>
        <v>4.8927700000000005</v>
      </c>
      <c r="W16" s="23">
        <f>FT!H16*100</f>
        <v>30.536799999999996</v>
      </c>
      <c r="Y16" s="75">
        <f t="shared" si="3"/>
        <v>5.7814175949382935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4.76105</v>
      </c>
      <c r="H17" s="50">
        <f>IF(FT!B17&lt;&gt;"",FT!B17*100,"")</f>
        <v>27.613900000000001</v>
      </c>
      <c r="I17" s="50">
        <f t="shared" si="2"/>
        <v>1</v>
      </c>
      <c r="J17" t="str">
        <f>IF(FT!B17&lt;&gt;"",FT!E17,"")</f>
        <v>0 [6.090381]</v>
      </c>
      <c r="K17">
        <f>IF(FT!B17&lt;&gt;"",IF(FT!C17&lt;&gt;"",FT!C17,F17/$M$3*$M$4),"")</f>
        <v>6.0903799999999997</v>
      </c>
      <c r="M17">
        <f>M3+1</f>
        <v>98</v>
      </c>
      <c r="P17">
        <f t="shared" si="10"/>
        <v>14</v>
      </c>
      <c r="Q17">
        <f t="shared" si="12"/>
        <v>0</v>
      </c>
      <c r="R17">
        <f t="shared" si="13"/>
        <v>0</v>
      </c>
      <c r="S17">
        <f t="array" ref="S17">MAX(IF(ft_nq=P17,row_n))</f>
        <v>0</v>
      </c>
      <c r="T17">
        <f t="shared" si="11"/>
        <v>1</v>
      </c>
      <c r="V17" t="s">
        <v>1522</v>
      </c>
      <c r="Y17" s="75">
        <f t="shared" si="3"/>
        <v>5.7999600928366641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0.10686925541151462</v>
      </c>
      <c r="D18" s="50">
        <f>IF(hist!$D$2&gt;0,hist!B18/hist!$D$2,0)</f>
        <v>0.28840270744075813</v>
      </c>
      <c r="E18" s="50">
        <f t="shared" si="1"/>
        <v>2.9716369761879154E-4</v>
      </c>
      <c r="F18">
        <f t="shared" si="6"/>
        <v>16</v>
      </c>
      <c r="G18" s="50">
        <f>IF(FT!A18&lt;&gt;"",FT!A18*10,"")</f>
        <v>4.7264099999999996</v>
      </c>
      <c r="H18" s="50">
        <f>IF(FT!B18&lt;&gt;"",FT!B18*100,"")</f>
        <v>27.649699999999999</v>
      </c>
      <c r="I18" s="50">
        <f t="shared" si="2"/>
        <v>1</v>
      </c>
      <c r="J18" t="str">
        <f>IF(FT!B18&lt;&gt;"",FT!E18,"")</f>
        <v>0 [6.499549]</v>
      </c>
      <c r="K18">
        <f>IF(FT!B18&lt;&gt;"",IF(FT!C18&lt;&gt;"",FT!C18,F18/$M$3*$M$4),"")</f>
        <v>6.4995500000000002</v>
      </c>
      <c r="P18">
        <f t="shared" si="10"/>
        <v>15</v>
      </c>
      <c r="Q18">
        <f t="shared" si="12"/>
        <v>0</v>
      </c>
      <c r="R18">
        <f t="shared" si="13"/>
        <v>0</v>
      </c>
      <c r="S18">
        <f t="array" ref="S18">MAX(IF(ft_nq=P18,row_n))</f>
        <v>0</v>
      </c>
      <c r="T18">
        <f t="shared" si="11"/>
        <v>1</v>
      </c>
      <c r="V18" s="288">
        <f>M!B18*100</f>
        <v>31.683199999999999</v>
      </c>
      <c r="W18" s="287">
        <f>100-M!B19*100</f>
        <v>52.907600000000002</v>
      </c>
      <c r="X18" t="str">
        <f>"(" &amp; ROUND(V18,1) &amp; " , " &amp; ROUND(100-W18,1) &amp; ")"</f>
        <v>(31.7 , 47.1)</v>
      </c>
      <c r="Y18" s="75">
        <f t="shared" si="3"/>
        <v>5.8500426327804824</v>
      </c>
      <c r="Z18">
        <f>M!B18*100</f>
        <v>31.683199999999999</v>
      </c>
      <c r="AA18">
        <f>100-M!B19*100</f>
        <v>52.907600000000002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4.6932299999999998</v>
      </c>
      <c r="H19" s="50">
        <f>IF(FT!B19&lt;&gt;"",FT!B19*100,"")</f>
        <v>27.721600000000002</v>
      </c>
      <c r="I19" s="50">
        <f t="shared" si="2"/>
        <v>1</v>
      </c>
      <c r="J19" t="str">
        <f>IF(FT!B19&lt;&gt;"",FT!E19,"")</f>
        <v>0 [6.903759]</v>
      </c>
      <c r="K19">
        <f>IF(FT!B19&lt;&gt;"",IF(FT!C19&lt;&gt;"",FT!C19,F19/$M$3*$M$4),"")</f>
        <v>6.9037600000000001</v>
      </c>
      <c r="P19">
        <f t="shared" si="10"/>
        <v>16</v>
      </c>
      <c r="Q19">
        <f t="shared" si="12"/>
        <v>0</v>
      </c>
      <c r="R19">
        <f t="shared" si="13"/>
        <v>0</v>
      </c>
      <c r="S19">
        <f t="array" ref="S19">MAX(IF(ft_nq=P19,row_n))</f>
        <v>0</v>
      </c>
      <c r="T19">
        <f t="shared" si="11"/>
        <v>1</v>
      </c>
      <c r="V19" t="s">
        <v>1521</v>
      </c>
      <c r="Y19" s="75">
        <f t="shared" si="3"/>
        <v>5.9067209576347217</v>
      </c>
      <c r="AA19" s="168" t="s">
        <v>2215</v>
      </c>
      <c r="AC19" s="168" t="s">
        <v>2222</v>
      </c>
      <c r="AQ19">
        <v>6</v>
      </c>
      <c r="AR19" s="443" t="str">
        <f t="shared" si="15"/>
        <v/>
      </c>
      <c r="AS19" s="444" t="str">
        <f t="shared" si="14"/>
        <v/>
      </c>
      <c r="AT19" s="444" t="str">
        <f t="shared" si="14"/>
        <v>염려하는</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4.66317</v>
      </c>
      <c r="H20" s="50">
        <f>IF(FT!B20&lt;&gt;"",FT!B20*100,"")</f>
        <v>27.686300000000003</v>
      </c>
      <c r="I20" s="50">
        <f t="shared" si="2"/>
        <v>1</v>
      </c>
      <c r="J20" t="str">
        <f>IF(FT!B20&lt;&gt;"",FT!E20,"")</f>
        <v>0 [7.312023]</v>
      </c>
      <c r="K20">
        <f>IF(FT!B20&lt;&gt;"",IF(FT!C20&lt;&gt;"",FT!C20,F20/$M$3*$M$4),"")</f>
        <v>7.3120200000000004</v>
      </c>
      <c r="P20">
        <f t="shared" si="10"/>
        <v>17</v>
      </c>
      <c r="Q20">
        <f t="shared" si="12"/>
        <v>0</v>
      </c>
      <c r="R20">
        <f t="shared" si="13"/>
        <v>0</v>
      </c>
      <c r="S20">
        <f t="array" ref="S20">MAX(IF(ft_nq=P20,row_n))</f>
        <v>0</v>
      </c>
      <c r="T20">
        <f t="shared" si="11"/>
        <v>1</v>
      </c>
      <c r="V20" s="56">
        <v>50</v>
      </c>
      <c r="W20">
        <v>50</v>
      </c>
      <c r="Y20" s="75">
        <f t="shared" si="3"/>
        <v>5.9372272509902064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0.11702134666626748</v>
      </c>
      <c r="D21" s="50">
        <f>IF(hist!$D$2&gt;0,hist!B21/hist!$D$2,0)</f>
        <v>0.25028845572553271</v>
      </c>
      <c r="E21" s="50">
        <f t="shared" si="1"/>
        <v>5.1155989191839816E-4</v>
      </c>
      <c r="F21">
        <f t="shared" si="6"/>
        <v>19</v>
      </c>
      <c r="G21" s="50">
        <f>IF(FT!A21&lt;&gt;"",FT!A21*10,"")</f>
        <v>4.6346400000000001</v>
      </c>
      <c r="H21" s="50">
        <f>IF(FT!B21&lt;&gt;"",FT!B21*100,"")</f>
        <v>27.575100000000003</v>
      </c>
      <c r="I21" s="50">
        <f t="shared" si="2"/>
        <v>1</v>
      </c>
      <c r="J21" t="str">
        <f>IF(FT!B21&lt;&gt;"",FT!E21,"")</f>
        <v>0 [7.717839]</v>
      </c>
      <c r="K21">
        <f>IF(FT!B21&lt;&gt;"",IF(FT!C21&lt;&gt;"",FT!C21,F21/$M$3*$M$4),"")</f>
        <v>7.7178399999999998</v>
      </c>
      <c r="P21">
        <f t="shared" si="10"/>
        <v>18</v>
      </c>
      <c r="Q21">
        <f t="shared" si="12"/>
        <v>0</v>
      </c>
      <c r="R21">
        <f t="shared" si="13"/>
        <v>0</v>
      </c>
      <c r="S21">
        <f t="array" ref="S21">MAX(IF(ft_nq=P21,row_n))</f>
        <v>0</v>
      </c>
      <c r="T21">
        <f t="shared" si="11"/>
        <v>1</v>
      </c>
      <c r="V21" s="288">
        <f>Measurement!DK17*100</f>
        <v>29.076468053014882</v>
      </c>
      <c r="W21" s="287">
        <f>'R3'!I3</f>
        <v>54.410674172785299</v>
      </c>
      <c r="X21" t="str">
        <f>"(" &amp; ROUND(V21,1) &amp; " , " &amp; ROUND(W21,1) &amp; ")" &amp; CHAR(10) &amp; AR26</f>
        <v>(29.1 , 54.4)
염려하는</v>
      </c>
      <c r="Y21" s="75">
        <f t="shared" si="3"/>
        <v>5.9497825073792141</v>
      </c>
      <c r="AA21">
        <f>100-M!B19*100</f>
        <v>52.907600000000002</v>
      </c>
      <c r="AC21">
        <f>'R3'!I3</f>
        <v>54.410674172785299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4.6097400000000004</v>
      </c>
      <c r="H22" s="50">
        <f>IF(FT!B22&lt;&gt;"",FT!B22*100,"")</f>
        <v>27.459099999999996</v>
      </c>
      <c r="I22" s="50">
        <f t="shared" si="2"/>
        <v>1</v>
      </c>
      <c r="J22" t="str">
        <f>IF(FT!B22&lt;&gt;"",FT!E22,"")</f>
        <v>0 [8.125476]</v>
      </c>
      <c r="K22">
        <f>IF(FT!B22&lt;&gt;"",IF(FT!C22&lt;&gt;"",FT!C22,F22/$M$3*$M$4),"")</f>
        <v>8.1254799999999996</v>
      </c>
      <c r="P22">
        <f t="shared" si="10"/>
        <v>19</v>
      </c>
      <c r="Q22">
        <f t="shared" si="12"/>
        <v>0</v>
      </c>
      <c r="R22">
        <f t="shared" si="13"/>
        <v>0</v>
      </c>
      <c r="S22">
        <f t="array" ref="S22">MAX(IF(ft_nq=P22,row_n))</f>
        <v>0</v>
      </c>
      <c r="T22">
        <f t="shared" si="11"/>
        <v>1</v>
      </c>
      <c r="V22" s="300">
        <f>X23</f>
        <v>90</v>
      </c>
      <c r="W22" s="300">
        <f>X23</f>
        <v>90</v>
      </c>
      <c r="X22" t="s">
        <v>1188</v>
      </c>
      <c r="Y22" s="75">
        <f t="shared" si="3"/>
        <v>5.9567567802088606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0.14455944432801413</v>
      </c>
      <c r="D23" s="50">
        <f>IF(hist!$D$2&gt;0,hist!B23/hist!$D$2,0)</f>
        <v>0.21696231088124199</v>
      </c>
      <c r="E23" s="50">
        <f t="shared" si="1"/>
        <v>7.2710399246906645E-4</v>
      </c>
      <c r="F23">
        <f t="shared" si="6"/>
        <v>21</v>
      </c>
      <c r="G23" s="50">
        <f>IF(FT!A23&lt;&gt;"",FT!A23*10,"")</f>
        <v>4.5844300000000002</v>
      </c>
      <c r="H23" s="50">
        <f>IF(FT!B23&lt;&gt;"",FT!B23*100,"")</f>
        <v>27.362300000000001</v>
      </c>
      <c r="I23" s="50">
        <f t="shared" si="2"/>
        <v>1</v>
      </c>
      <c r="J23" t="str">
        <f>IF(FT!B23&lt;&gt;"",FT!E23,"")</f>
        <v>0 [8.529564]</v>
      </c>
      <c r="K23">
        <f>IF(FT!B23&lt;&gt;"",IF(FT!C23&lt;&gt;"",FT!C23,F23/$M$3*$M$4),"")</f>
        <v>8.52956</v>
      </c>
      <c r="P23">
        <f t="shared" si="10"/>
        <v>20</v>
      </c>
      <c r="Q23">
        <f t="shared" si="12"/>
        <v>0</v>
      </c>
      <c r="R23">
        <f t="shared" si="13"/>
        <v>0</v>
      </c>
      <c r="S23">
        <f t="array" ref="S23">MAX(IF(ft_nq=P23,row_n))</f>
        <v>0</v>
      </c>
      <c r="T23">
        <f t="shared" si="11"/>
        <v>1</v>
      </c>
      <c r="V23" s="300">
        <f>100-X23</f>
        <v>10</v>
      </c>
      <c r="W23" s="300">
        <f>X23</f>
        <v>90</v>
      </c>
      <c r="X23">
        <v>90</v>
      </c>
      <c r="Y23" s="75">
        <f t="shared" si="3"/>
        <v>5.9685282576023626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4.5572099999999995</v>
      </c>
      <c r="H24" s="50">
        <f>IF(FT!B24&lt;&gt;"",FT!B24*100,"")</f>
        <v>27.316600000000001</v>
      </c>
      <c r="I24" s="50">
        <f t="shared" si="2"/>
        <v>1</v>
      </c>
      <c r="J24" t="str">
        <f>IF(FT!B24&lt;&gt;"",FT!E24,"")</f>
        <v>0 [8.935274]</v>
      </c>
      <c r="K24">
        <f>IF(FT!B24&lt;&gt;"",IF(FT!C24&lt;&gt;"",FT!C24,F24/$M$3*$M$4),"")</f>
        <v>8.9352699999999992</v>
      </c>
      <c r="P24">
        <f t="shared" si="10"/>
        <v>21</v>
      </c>
      <c r="Q24">
        <f t="shared" si="12"/>
        <v>0</v>
      </c>
      <c r="R24">
        <f t="shared" si="13"/>
        <v>0</v>
      </c>
      <c r="S24">
        <f t="array" ref="S24">MAX(IF(ft_nq=P24,row_n))</f>
        <v>0</v>
      </c>
      <c r="T24">
        <f t="shared" si="11"/>
        <v>1</v>
      </c>
      <c r="V24" s="300">
        <f>100-X23</f>
        <v>10</v>
      </c>
      <c r="W24" s="300">
        <f>100-X23</f>
        <v>10</v>
      </c>
      <c r="Y24" s="75">
        <f t="shared" si="3"/>
        <v>5.9941499294524512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4.5305099999999996</v>
      </c>
      <c r="H25" s="50">
        <f>IF(FT!B25&lt;&gt;"",FT!B25*100,"")</f>
        <v>27.273900000000001</v>
      </c>
      <c r="I25" s="50">
        <f t="shared" si="2"/>
        <v>1</v>
      </c>
      <c r="J25" t="str">
        <f>IF(FT!B25&lt;&gt;"",FT!E25,"")</f>
        <v>0 [9.340364]</v>
      </c>
      <c r="K25">
        <f>IF(FT!B25&lt;&gt;"",IF(FT!C25&lt;&gt;"",FT!C25,F25/$M$3*$M$4),"")</f>
        <v>9.3403600000000004</v>
      </c>
      <c r="P25">
        <f t="shared" si="10"/>
        <v>22</v>
      </c>
      <c r="Q25">
        <f t="shared" si="12"/>
        <v>0</v>
      </c>
      <c r="R25">
        <f t="shared" si="13"/>
        <v>0</v>
      </c>
      <c r="S25">
        <f t="array" ref="S25">MAX(IF(ft_nq=P25,row_n))</f>
        <v>0</v>
      </c>
      <c r="T25">
        <f t="shared" si="11"/>
        <v>1</v>
      </c>
      <c r="V25" s="300">
        <f>X23</f>
        <v>90</v>
      </c>
      <c r="W25" s="300">
        <f>100-X23</f>
        <v>10</v>
      </c>
      <c r="Y25" s="75">
        <f t="shared" si="3"/>
        <v>6.020050722766312</v>
      </c>
    </row>
    <row r="26" spans="1:120">
      <c r="A26" s="50">
        <f t="shared" si="5"/>
        <v>24</v>
      </c>
      <c r="B26" s="50">
        <f t="shared" si="0"/>
        <v>0.46337976470588232</v>
      </c>
      <c r="C26" s="50">
        <f>IF(FH!$C$2&gt;0,FH!A26/FH!$C$2,0)</f>
        <v>0.17747732103829225</v>
      </c>
      <c r="D26" s="50">
        <f>IF(hist!$D$2&gt;0,hist!B26/hist!$D$2,0)</f>
        <v>0.19187803348534738</v>
      </c>
      <c r="E26" s="50">
        <f t="shared" si="1"/>
        <v>1.2128188079122912E-3</v>
      </c>
      <c r="F26">
        <f t="shared" si="6"/>
        <v>24</v>
      </c>
      <c r="G26" s="50">
        <f>IF(FT!A26&lt;&gt;"",FT!A26*10,"")</f>
        <v>4.5014199999999995</v>
      </c>
      <c r="H26" s="50">
        <f>IF(FT!B26&lt;&gt;"",FT!B26*100,"")</f>
        <v>27.222099999999998</v>
      </c>
      <c r="I26" s="50">
        <f t="shared" si="2"/>
        <v>1</v>
      </c>
      <c r="J26" t="str">
        <f>IF(FT!B26&lt;&gt;"",FT!E26,"")</f>
        <v>0 [9.749001]</v>
      </c>
      <c r="K26">
        <f>IF(FT!B26&lt;&gt;"",IF(FT!C26&lt;&gt;"",FT!C26,F26/$M$3*$M$4),"")</f>
        <v>9.7490000000000006</v>
      </c>
      <c r="P26">
        <f t="shared" si="10"/>
        <v>23</v>
      </c>
      <c r="Q26">
        <f t="shared" si="12"/>
        <v>0</v>
      </c>
      <c r="R26">
        <f t="shared" si="13"/>
        <v>0</v>
      </c>
      <c r="S26">
        <f t="array" ref="S26">MAX(IF(ft_nq=P26,row_n))</f>
        <v>0</v>
      </c>
      <c r="T26">
        <f t="shared" si="11"/>
        <v>1</v>
      </c>
      <c r="V26" s="300">
        <f>X23</f>
        <v>90</v>
      </c>
      <c r="W26" s="300">
        <f>X23</f>
        <v>90</v>
      </c>
      <c r="Y26" s="75">
        <f t="shared" si="3"/>
        <v>6.0474472499788954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염려하는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염려하는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4.4734099999999994</v>
      </c>
      <c r="H27" s="50">
        <f>IF(FT!B27&lt;&gt;"",FT!B27*100,"")</f>
        <v>27.165499999999998</v>
      </c>
      <c r="I27" s="50">
        <f t="shared" si="2"/>
        <v>1</v>
      </c>
      <c r="J27" t="str">
        <f>IF(FT!B27&lt;&gt;"",FT!E27,"")</f>
        <v>0 [10.153889]</v>
      </c>
      <c r="K27">
        <f>IF(FT!B27&lt;&gt;"",IF(FT!C27&lt;&gt;"",FT!C27,F27/$M$3*$M$4),"")</f>
        <v>10.1539</v>
      </c>
      <c r="P27">
        <f t="shared" si="10"/>
        <v>24</v>
      </c>
      <c r="Q27">
        <f t="shared" si="12"/>
        <v>0</v>
      </c>
      <c r="R27">
        <f t="shared" si="13"/>
        <v>0</v>
      </c>
      <c r="S27">
        <f t="array" ref="S27">MAX(IF(ft_nq=P27,row_n))</f>
        <v>0</v>
      </c>
      <c r="T27">
        <f t="shared" si="11"/>
        <v>1</v>
      </c>
      <c r="V27" s="288">
        <v>60</v>
      </c>
      <c r="W27" s="288">
        <v>60</v>
      </c>
      <c r="X27" t="s">
        <v>1189</v>
      </c>
      <c r="Y27" s="75">
        <f t="shared" si="3"/>
        <v>6.0726604536583952</v>
      </c>
      <c r="AS27" t="s">
        <v>2144</v>
      </c>
    </row>
    <row r="28" spans="1:120">
      <c r="A28" s="50">
        <f t="shared" si="5"/>
        <v>26</v>
      </c>
      <c r="B28" s="50">
        <f t="shared" si="0"/>
        <v>0.50199474509803921</v>
      </c>
      <c r="C28" s="50">
        <f>IF(FH!$C$2&gt;0,FH!A28/FH!$C$2,0)</f>
        <v>0.14781174216340828</v>
      </c>
      <c r="D28" s="50">
        <f>IF(hist!$D$2&gt;0,hist!B28/hist!$D$2,0)</f>
        <v>0.17340031433848604</v>
      </c>
      <c r="E28" s="50">
        <f t="shared" si="1"/>
        <v>1.6879584006191061E-3</v>
      </c>
      <c r="F28">
        <f t="shared" si="6"/>
        <v>26</v>
      </c>
      <c r="G28" s="50">
        <f>IF(FT!A28&lt;&gt;"",FT!A28*10,"")</f>
        <v>4.4487800000000002</v>
      </c>
      <c r="H28" s="50">
        <f>IF(FT!B28&lt;&gt;"",FT!B28*100,"")</f>
        <v>27.077500000000001</v>
      </c>
      <c r="I28" s="50">
        <f t="shared" si="2"/>
        <v>1</v>
      </c>
      <c r="J28" t="str">
        <f>IF(FT!B28&lt;&gt;"",FT!E28,"")</f>
        <v>0 [10.562237]</v>
      </c>
      <c r="K28">
        <f>IF(FT!B28&lt;&gt;"",IF(FT!C28&lt;&gt;"",FT!C28,F28/$M$3*$M$4),"")</f>
        <v>10.562200000000001</v>
      </c>
      <c r="V28" s="288">
        <v>40</v>
      </c>
      <c r="W28" s="288">
        <v>60</v>
      </c>
      <c r="Y28" s="75">
        <f t="shared" si="3"/>
        <v>6.0865001191337846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4.4201199999999998</v>
      </c>
      <c r="H29" s="50">
        <f>IF(FT!B29&lt;&gt;"",FT!B29*100,"")</f>
        <v>27.013100000000001</v>
      </c>
      <c r="I29" s="50">
        <f t="shared" si="2"/>
        <v>1</v>
      </c>
      <c r="J29" t="str">
        <f>IF(FT!B29&lt;&gt;"",FT!E29,"")</f>
        <v>0 [10.968616]</v>
      </c>
      <c r="K29">
        <f>IF(FT!B29&lt;&gt;"",IF(FT!C29&lt;&gt;"",FT!C29,F29/$M$3*$M$4),"")</f>
        <v>10.9686</v>
      </c>
      <c r="V29" s="288">
        <v>40</v>
      </c>
      <c r="W29" s="288">
        <v>40</v>
      </c>
      <c r="Y29" s="75">
        <f t="shared" si="3"/>
        <v>6.1113951657421071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4.3896899999999999</v>
      </c>
      <c r="H30" s="50">
        <f>IF(FT!B30&lt;&gt;"",FT!B30*100,"")</f>
        <v>26.993499999999997</v>
      </c>
      <c r="I30" s="50">
        <f t="shared" si="2"/>
        <v>1</v>
      </c>
      <c r="J30" t="str">
        <f>IF(FT!B30&lt;&gt;"",FT!E30,"")</f>
        <v>0 [11.372074]</v>
      </c>
      <c r="K30">
        <f>IF(FT!B30&lt;&gt;"",IF(FT!C30&lt;&gt;"",FT!C30,F30/$M$3*$M$4),"")</f>
        <v>11.3721</v>
      </c>
      <c r="V30" s="288">
        <v>60</v>
      </c>
      <c r="W30" s="288">
        <v>40</v>
      </c>
      <c r="Y30" s="75">
        <f t="shared" si="3"/>
        <v>6.1492952805323382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0.13285710008682375</v>
      </c>
      <c r="D31" s="50">
        <f>IF(hist!$D$2&gt;0,hist!B31/hist!$D$2,0)</f>
        <v>0.15864972258518095</v>
      </c>
      <c r="E31" s="50">
        <f t="shared" si="1"/>
        <v>2.728096910809098E-3</v>
      </c>
      <c r="F31">
        <f t="shared" si="6"/>
        <v>29</v>
      </c>
      <c r="G31" s="50">
        <f>IF(FT!A31&lt;&gt;"",FT!A31*10,"")</f>
        <v>4.3645899999999997</v>
      </c>
      <c r="H31" s="50">
        <f>IF(FT!B31&lt;&gt;"",FT!B31*100,"")</f>
        <v>26.984200000000001</v>
      </c>
      <c r="I31" s="50">
        <f t="shared" si="2"/>
        <v>1</v>
      </c>
      <c r="J31" t="str">
        <f>IF(FT!B31&lt;&gt;"",FT!E31,"")</f>
        <v>0 [11.781758]</v>
      </c>
      <c r="K31">
        <f>IF(FT!B31&lt;&gt;"",IF(FT!C31&lt;&gt;"",FT!C31,F31/$M$3*$M$4),"")</f>
        <v>11.7818</v>
      </c>
      <c r="V31" s="288">
        <v>60</v>
      </c>
      <c r="W31" s="288">
        <v>60</v>
      </c>
      <c r="Y31" s="75">
        <f t="shared" si="3"/>
        <v>6.1825280266875016</v>
      </c>
      <c r="CB31" t="str">
        <f ca="1">IF(W8=1,CB33,IF(W8=2,CB34,IF(W8=3,CB35,IF(W8=4,CB36,IF(W8=5,CB37,IF(W8=6,CB38,IF(W8=7,CB39,IF(W8=8,CB40,""))))))))</f>
        <v>심리적으로 불편함이 큰 정서 상태이다. 심리적 정보가 감소하여 악화될 가능성이 있다.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4.3413000000000004</v>
      </c>
      <c r="H32" s="50">
        <f>IF(FT!B32&lt;&gt;"",FT!B32*100,"")</f>
        <v>26.959300000000002</v>
      </c>
      <c r="I32" s="50">
        <f t="shared" si="2"/>
        <v>1</v>
      </c>
      <c r="J32" t="str">
        <f>IF(FT!B32&lt;&gt;"",FT!E32,"")</f>
        <v>0 [12.185362]</v>
      </c>
      <c r="K32">
        <f>IF(FT!B32&lt;&gt;"",IF(FT!C32&lt;&gt;"",FT!C32,F32/$M$3*$M$4),"")</f>
        <v>12.1854</v>
      </c>
      <c r="Y32" s="75">
        <f t="shared" si="3"/>
        <v>6.2099601501854282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0.13784198077901857</v>
      </c>
      <c r="D33" s="50">
        <f>IF(hist!$D$2&gt;0,hist!B33/hist!$D$2,0)</f>
        <v>0.14540651473763369</v>
      </c>
      <c r="E33" s="50">
        <f t="shared" si="1"/>
        <v>3.7178458896922669E-3</v>
      </c>
      <c r="F33">
        <f t="shared" si="6"/>
        <v>31</v>
      </c>
      <c r="G33" s="50">
        <f>IF(FT!A33&lt;&gt;"",FT!A33*10,"")</f>
        <v>4.3192599999999999</v>
      </c>
      <c r="H33" s="50">
        <f>IF(FT!B33&lt;&gt;"",FT!B33*100,"")</f>
        <v>26.980799999999999</v>
      </c>
      <c r="I33" s="50">
        <f t="shared" si="2"/>
        <v>1</v>
      </c>
      <c r="J33" t="str">
        <f>IF(FT!B33&lt;&gt;"",FT!E33,"")</f>
        <v>0 [12.593790]</v>
      </c>
      <c r="K33">
        <f>IF(FT!B33&lt;&gt;"",IF(FT!C33&lt;&gt;"",FT!C33,F33/$M$3*$M$4),"")</f>
        <v>12.5938</v>
      </c>
      <c r="W33" s="23">
        <f>FH_info!G2</f>
        <v>0.71932700000000005</v>
      </c>
      <c r="Y33" s="75">
        <f t="shared" si="3"/>
        <v>6.2466255793816527</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심리적으로 불편하고 우울감이 있는 감정상태이다.심리적 정보변화가 증가하고 있고 기분이 나아지도록 기분전환이 필요하다. 에너지 대사량은 조금 크며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4.2988599999999995</v>
      </c>
      <c r="H34" s="50">
        <f>IF(FT!B34&lt;&gt;"",FT!B34*100,"")</f>
        <v>27.0776</v>
      </c>
      <c r="I34" s="50">
        <f t="shared" si="2"/>
        <v>1</v>
      </c>
      <c r="J34" t="str">
        <f>IF(FT!B34&lt;&gt;"",FT!E34,"")</f>
        <v>0 [12.999806]</v>
      </c>
      <c r="K34">
        <f>IF(FT!B34&lt;&gt;"",IF(FT!C34&lt;&gt;"",FT!C34,F34/$M$3*$M$4),"")</f>
        <v>12.9998</v>
      </c>
      <c r="V34" t="s">
        <v>1253</v>
      </c>
      <c r="W34" s="23">
        <f>IF(FH_info!G2&lt;&gt;0,(1-FH_info!G2)*100,0)</f>
        <v>28.067299999999996</v>
      </c>
      <c r="X34" t="s">
        <v>1054</v>
      </c>
      <c r="Y34" s="75">
        <f t="shared" si="3"/>
        <v>6.2987861898270712</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기분이 저조한 정서 상태이다.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4.2779400000000001</v>
      </c>
      <c r="H35" s="50">
        <f>IF(FT!B35&lt;&gt;"",FT!B35*100,"")</f>
        <v>27.253399999999999</v>
      </c>
      <c r="I35" s="50">
        <f t="shared" si="2"/>
        <v>1</v>
      </c>
      <c r="J35" t="str">
        <f>IF(FT!B35&lt;&gt;"",FT!E35,"")</f>
        <v>0 [13.405717]</v>
      </c>
      <c r="K35">
        <f>IF(FT!B35&lt;&gt;"",IF(FT!C35&lt;&gt;"",FT!C35,F35/$M$3*$M$4),"")</f>
        <v>13.4057</v>
      </c>
      <c r="V35" s="52">
        <f>IF(V36&gt;3,100,V36/3*100)</f>
        <v>65.966000000000008</v>
      </c>
      <c r="W35" s="23">
        <f>IF(FH_info!G2*1&lt;&gt;0,(1-NORMSDIST((FH_info!G2*1-0.5308)/0.1538))*100,0)</f>
        <v>11.013824624838941</v>
      </c>
      <c r="X35" t="s">
        <v>1053</v>
      </c>
      <c r="Y35" s="75">
        <f t="shared" si="3"/>
        <v>6.3706830857842789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상태이다.기분이 가라앉아 지쳐서 악화될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0.15027364450166161</v>
      </c>
      <c r="D36" s="50">
        <f>IF(hist!$D$2&gt;0,hist!B36/hist!$D$2,0)</f>
        <v>0.13053054236149253</v>
      </c>
      <c r="E36" s="50">
        <f t="shared" si="1"/>
        <v>5.8222131217928776E-3</v>
      </c>
      <c r="F36">
        <f t="shared" si="6"/>
        <v>34</v>
      </c>
      <c r="G36" s="50">
        <f>IF(FT!A36&lt;&gt;"",FT!A36*10,"")</f>
        <v>4.2555199999999997</v>
      </c>
      <c r="H36" s="50">
        <f>IF(FT!B36&lt;&gt;"",FT!B36*100,"")</f>
        <v>27.475500000000004</v>
      </c>
      <c r="I36" s="50">
        <f t="shared" si="2"/>
        <v>1</v>
      </c>
      <c r="J36" t="str">
        <f>IF(FT!B36&lt;&gt;"",FT!E36,"")</f>
        <v>0 [13.812849]</v>
      </c>
      <c r="K36">
        <f>IF(FT!B36&lt;&gt;"",IF(FT!C36&lt;&gt;"",FT!C36,F36/$M$3*$M$4),"")</f>
        <v>13.812799999999999</v>
      </c>
      <c r="R36" s="71" t="s">
        <v>2215</v>
      </c>
      <c r="S36" t="s">
        <v>1251</v>
      </c>
      <c r="U36" t="s">
        <v>386</v>
      </c>
      <c r="V36" s="495">
        <f>FH_info!F2*1</f>
        <v>1.97898</v>
      </c>
      <c r="W36" s="495">
        <f>IF(W34&gt;=60,30/40*(W34-60)+70,IF(W34&gt;=35,35/25*(W34-35)+35,IF(W34&gt;=0,W34,0)))</f>
        <v>28.067299999999996</v>
      </c>
      <c r="X36" s="23" t="s">
        <v>388</v>
      </c>
      <c r="Y36" s="75">
        <f t="shared" si="3"/>
        <v>6.4564377561379116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불편함이 큰 정서상태이다. 심리적 정보가 감소하여 악화될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4.2340100000000005</v>
      </c>
      <c r="H37" s="50">
        <f>IF(FT!B37&lt;&gt;"",FT!B37*100,"")</f>
        <v>27.691900000000004</v>
      </c>
      <c r="I37" s="50">
        <f t="shared" si="2"/>
        <v>1</v>
      </c>
      <c r="J37" t="str">
        <f>IF(FT!B37&lt;&gt;"",FT!E37,"")</f>
        <v>0 [14.217846]</v>
      </c>
      <c r="K37">
        <f>IF(FT!B37&lt;&gt;"",IF(FT!C37&lt;&gt;"",FT!C37,F37/$M$3*$M$4),"")</f>
        <v>14.2178</v>
      </c>
      <c r="R37" s="71" t="s">
        <v>2222</v>
      </c>
      <c r="S37" t="s">
        <v>2216</v>
      </c>
      <c r="U37" t="s">
        <v>458</v>
      </c>
      <c r="V37" s="130" t="str">
        <f>IF(V36&gt;=2.5,"v","")</f>
        <v/>
      </c>
      <c r="W37" s="130" t="str">
        <f>IF(W36&gt;=60,"v","")</f>
        <v/>
      </c>
      <c r="Y37" s="75">
        <f t="shared" si="3"/>
        <v>6.5403482750395021</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 심리적 정보가 감소하여 악화될 가능성이 있다.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4.2142800000000005</v>
      </c>
      <c r="H38" s="50">
        <f>IF(FT!B38&lt;&gt;"",FT!B38*100,"")</f>
        <v>27.953600000000002</v>
      </c>
      <c r="I38" s="50">
        <f t="shared" si="2"/>
        <v>1</v>
      </c>
      <c r="J38" t="str">
        <f>IF(FT!B38&lt;&gt;"",FT!E38,"")</f>
        <v>0 [14.622728]</v>
      </c>
      <c r="K38">
        <f>IF(FT!B38&lt;&gt;"",IF(FT!C38&lt;&gt;"",FT!C38,F38/$M$3*$M$4),"")</f>
        <v>14.6227</v>
      </c>
      <c r="U38" t="s">
        <v>460</v>
      </c>
      <c r="V38" s="130" t="str">
        <f>IF(V36&gt;=1,IF(V36&lt;2.5,"v",""),"")</f>
        <v>v</v>
      </c>
      <c r="W38" s="130" t="str">
        <f>IF(W36*1&gt;35,IF(W36&lt;60,"v",""),"")</f>
        <v/>
      </c>
      <c r="Y38" s="75">
        <f t="shared" si="3"/>
        <v>6.6330666211072824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기분이 저조한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0.1617325828568007</v>
      </c>
      <c r="D39" s="50">
        <f>IF(hist!$D$2&gt;0,hist!B39/hist!$D$2,0)</f>
        <v>0.12492226092564895</v>
      </c>
      <c r="E39" s="50">
        <f t="shared" si="1"/>
        <v>8.946723387532881E-3</v>
      </c>
      <c r="F39">
        <f t="shared" si="6"/>
        <v>37</v>
      </c>
      <c r="G39" s="50">
        <f>IF(FT!A39&lt;&gt;"",FT!A39*10,"")</f>
        <v>4.1970900000000002</v>
      </c>
      <c r="H39" s="50">
        <f>IF(FT!B39&lt;&gt;"",FT!B39*100,"")</f>
        <v>28.150199999999998</v>
      </c>
      <c r="I39" s="50">
        <f t="shared" si="2"/>
        <v>1</v>
      </c>
      <c r="J39" t="str">
        <f>IF(FT!B39&lt;&gt;"",FT!E39,"")</f>
        <v>0 [15.030488]</v>
      </c>
      <c r="K39">
        <f>IF(FT!B39&lt;&gt;"",IF(FT!C39&lt;&gt;"",FT!C39,F39/$M$3*$M$4),"")</f>
        <v>15.0305</v>
      </c>
      <c r="U39" t="s">
        <v>462</v>
      </c>
      <c r="V39" s="131" t="str">
        <f>IF(V36&lt;1,"v","")</f>
        <v/>
      </c>
      <c r="W39" s="130" t="str">
        <f>IF(W36&lt;=35,"v","")</f>
        <v>v</v>
      </c>
      <c r="Y39" s="75">
        <f t="shared" si="3"/>
        <v>6.707075616677268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대사량은 조금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4.1807999999999996</v>
      </c>
      <c r="H40" s="50">
        <f>IF(FT!B40&lt;&gt;"",FT!B40*100,"")</f>
        <v>28.291</v>
      </c>
      <c r="I40" s="50">
        <f t="shared" si="2"/>
        <v>1</v>
      </c>
      <c r="J40" t="str">
        <f>IF(FT!B40&lt;&gt;"",FT!E40,"")</f>
        <v>0 [15.434570]</v>
      </c>
      <c r="K40">
        <f>IF(FT!B40&lt;&gt;"",IF(FT!C40&lt;&gt;"",FT!C40,F40/$M$3*$M$4),"")</f>
        <v>15.4346</v>
      </c>
      <c r="V40" s="287" t="str">
        <f>IF(V36&lt;1,lang!B231,IF(V36&lt;2.5,lang!B230,lang!B229))</f>
        <v>보 통</v>
      </c>
      <c r="W40" s="287" t="str">
        <f>IF(W36&lt;=35,lang!B242,IF(W36&lt;60,lang!B241,lang!B240))</f>
        <v>낮 음</v>
      </c>
      <c r="X40" t="s">
        <v>1055</v>
      </c>
      <c r="Y40" s="75">
        <f t="shared" si="3"/>
        <v>6.7668867202449299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불편한 정서 상태이고, 심리정보 변화가 증가하고 있어 정서 상태가 좋아질 수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0.20893625939343136</v>
      </c>
      <c r="D41" s="50">
        <f>IF(hist!$D$2&gt;0,hist!B41/hist!$D$2,0)</f>
        <v>0.11382356819219844</v>
      </c>
      <c r="E41" s="50">
        <f t="shared" si="1"/>
        <v>1.1789105059485654E-2</v>
      </c>
      <c r="F41">
        <f t="shared" si="6"/>
        <v>39</v>
      </c>
      <c r="G41" s="50">
        <f>IF(FT!A41&lt;&gt;"",FT!A41*10,"")</f>
        <v>4.16411</v>
      </c>
      <c r="H41" s="50">
        <f>IF(FT!B41&lt;&gt;"",FT!B41*100,"")</f>
        <v>28.385400000000001</v>
      </c>
      <c r="I41" s="50">
        <f t="shared" si="2"/>
        <v>1</v>
      </c>
      <c r="J41" t="str">
        <f>IF(FT!B41&lt;&gt;"",FT!E41,"")</f>
        <v>0 [15.846298]</v>
      </c>
      <c r="K41">
        <f>IF(FT!B41&lt;&gt;"",IF(FT!C41&lt;&gt;"",FT!C41,F41/$M$3*$M$4),"")</f>
        <v>15.846299999999999</v>
      </c>
      <c r="V41" t="s">
        <v>2216</v>
      </c>
      <c r="W41" s="287" t="s">
        <v>2154</v>
      </c>
      <c r="X41" t="s">
        <v>1056</v>
      </c>
      <c r="Y41" s="75">
        <f t="shared" si="3"/>
        <v>6.8166787140589467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4.1473100000000001</v>
      </c>
      <c r="H42" s="50">
        <f>IF(FT!B42&lt;&gt;"",FT!B42*100,"")</f>
        <v>28.440300000000001</v>
      </c>
      <c r="I42" s="50">
        <f t="shared" si="2"/>
        <v>1</v>
      </c>
      <c r="J42" t="str">
        <f>IF(FT!B42&lt;&gt;"",FT!E42,"")</f>
        <v>0 [16.252259]</v>
      </c>
      <c r="K42">
        <f>IF(FT!B42&lt;&gt;"",IF(FT!C42&lt;&gt;"",FT!C42,F42/$M$3*$M$4),"")</f>
        <v>16.252300000000002</v>
      </c>
      <c r="U42" t="s">
        <v>464</v>
      </c>
      <c r="V42" t="s">
        <v>273</v>
      </c>
      <c r="Y42" s="75">
        <f t="shared" si="3"/>
        <v>6.8575293382939781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4.1301600000000001</v>
      </c>
      <c r="H43" s="50">
        <f>IF(FT!B43&lt;&gt;"",FT!B43*100,"")</f>
        <v>28.453200000000002</v>
      </c>
      <c r="I43" s="50">
        <f t="shared" si="2"/>
        <v>1</v>
      </c>
      <c r="J43" t="str">
        <f>IF(FT!B43&lt;&gt;"",FT!E43,"")</f>
        <v>0 [16.655405]</v>
      </c>
      <c r="K43">
        <f>IF(FT!B43&lt;&gt;"",IF(FT!C43&lt;&gt;"",FT!C43,F43/$M$3*$M$4),"")</f>
        <v>16.6554</v>
      </c>
      <c r="V43" s="287" t="str">
        <f>IF(M!B17="","",IF(W43&lt;5,CJ4,IF(W43&lt;10,CK4,IF(W43&lt;30,CL4,IF(W43&lt;40,CM4,CN4)))))</f>
        <v>보통</v>
      </c>
      <c r="W43" s="287">
        <f>IF(M!B17="","",M!B17*1)</f>
        <v>12.1951</v>
      </c>
      <c r="Y43" s="75">
        <f t="shared" si="3"/>
        <v>6.8891277819745484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0.21237088709918864</v>
      </c>
      <c r="D44" s="50">
        <f>IF(hist!$D$2&gt;0,hist!B44/hist!$D$2,0)</f>
        <v>0.10844855647868361</v>
      </c>
      <c r="E44" s="50">
        <f t="shared" si="1"/>
        <v>1.7553163979956189E-2</v>
      </c>
      <c r="F44">
        <f t="shared" si="6"/>
        <v>42</v>
      </c>
      <c r="G44" s="50">
        <f>IF(FT!A44&lt;&gt;"",FT!A44*10,"")</f>
        <v>4.1135299999999999</v>
      </c>
      <c r="H44" s="50">
        <f>IF(FT!B44&lt;&gt;"",FT!B44*100,"")</f>
        <v>28.447199999999999</v>
      </c>
      <c r="I44" s="50">
        <f t="shared" si="2"/>
        <v>1</v>
      </c>
      <c r="J44" t="str">
        <f>IF(FT!B44&lt;&gt;"",FT!E44,"")</f>
        <v>0 [17.060928]</v>
      </c>
      <c r="K44">
        <f>IF(FT!B44&lt;&gt;"",IF(FT!C44&lt;&gt;"",FT!C44,F44/$M$3*$M$4),"")</f>
        <v>17.0609</v>
      </c>
      <c r="V44" s="287" t="str">
        <f>IF(M!B17="","",IF(W43&lt;5,CJ5,IF(W43&lt;10,CK5,IF(W43&lt;30,CL5,IF(W43&lt;40,CM5,CN5)))))</f>
        <v>감정변화가 안정된 정상적인 상태</v>
      </c>
      <c r="Y44" s="75">
        <f t="shared" si="3"/>
        <v>6.9155202466008507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4.0956799999999998</v>
      </c>
      <c r="H45" s="50">
        <f>IF(FT!B45&lt;&gt;"",FT!B45*100,"")</f>
        <v>28.402899999999999</v>
      </c>
      <c r="I45" s="50">
        <f t="shared" si="2"/>
        <v>1</v>
      </c>
      <c r="J45" t="str">
        <f>IF(FT!B45&lt;&gt;"",FT!E45,"")</f>
        <v>0 [17.467983]</v>
      </c>
      <c r="K45">
        <f>IF(FT!B45&lt;&gt;"",IF(FT!C45&lt;&gt;"",FT!C45,F45/$M$3*$M$4),"")</f>
        <v>17.468</v>
      </c>
      <c r="V45" s="287">
        <f>IF(M!B17="","",IF(W43&lt;5,CJ3,IF(W43&lt;10,CK3,IF(W43&lt;30,CL3,IF(W43&lt;40,CM3,CN3)))))</f>
        <v>3</v>
      </c>
      <c r="Y45" s="75">
        <f t="shared" si="3"/>
        <v>6.9348435424642547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0.30182329870363162</v>
      </c>
      <c r="D46" s="50">
        <f>IF(hist!$D$2&gt;0,hist!B46/hist!$D$2,0)</f>
        <v>0.1009917323152608</v>
      </c>
      <c r="E46" s="50">
        <f t="shared" si="1"/>
        <v>2.2648425287834031E-2</v>
      </c>
      <c r="F46">
        <f t="shared" si="6"/>
        <v>44</v>
      </c>
      <c r="G46" s="50">
        <f>IF(FT!A46&lt;&gt;"",FT!A46*10,"")</f>
        <v>4.0770600000000004</v>
      </c>
      <c r="H46" s="50">
        <f>IF(FT!B46&lt;&gt;"",FT!B46*100,"")</f>
        <v>28.326400000000003</v>
      </c>
      <c r="I46" s="50">
        <f t="shared" si="2"/>
        <v>1</v>
      </c>
      <c r="J46" t="str">
        <f>IF(FT!B46&lt;&gt;"",FT!E46,"")</f>
        <v>0 [17.876631]</v>
      </c>
      <c r="K46">
        <f>IF(FT!B46&lt;&gt;"",IF(FT!C46&lt;&gt;"",FT!C46,F46/$M$3*$M$4),"")</f>
        <v>17.8766</v>
      </c>
      <c r="Y46" s="75">
        <f t="shared" si="3"/>
        <v>6.9477515660794786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4.0578099999999999</v>
      </c>
      <c r="H47" s="50">
        <f>IF(FT!B47&lt;&gt;"",FT!B47*100,"")</f>
        <v>28.237400000000001</v>
      </c>
      <c r="I47" s="50">
        <f t="shared" si="2"/>
        <v>1</v>
      </c>
      <c r="J47" t="str">
        <f>IF(FT!B47&lt;&gt;"",FT!E47,"")</f>
        <v>0 [18.280361]</v>
      </c>
      <c r="K47">
        <f>IF(FT!B47&lt;&gt;"",IF(FT!C47&lt;&gt;"",FT!C47,F47/$M$3*$M$4),"")</f>
        <v>18.2804</v>
      </c>
      <c r="Y47" s="75">
        <f t="shared" si="3"/>
        <v>6.9587782572372783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4.0403400000000005</v>
      </c>
      <c r="H48" s="50">
        <f>IF(FT!B48&lt;&gt;"",FT!B48*100,"")</f>
        <v>28.027899999999999</v>
      </c>
      <c r="I48" s="50">
        <f t="shared" si="2"/>
        <v>1</v>
      </c>
      <c r="J48" t="str">
        <f>IF(FT!B48&lt;&gt;"",FT!E48,"")</f>
        <v>0 [18.685582]</v>
      </c>
      <c r="K48">
        <f>IF(FT!B48&lt;&gt;"",IF(FT!C48&lt;&gt;"",FT!C48,F48/$M$3*$M$4),"")</f>
        <v>18.685600000000001</v>
      </c>
      <c r="Y48" s="75">
        <f t="shared" si="3"/>
        <v>6.9370152016909454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0.39285650130235616</v>
      </c>
      <c r="D49" s="50">
        <f>IF(hist!$D$2&gt;0,hist!B49/hist!$D$2,0)</f>
        <v>9.3941264897534141E-2</v>
      </c>
      <c r="E49" s="50">
        <f t="shared" si="1"/>
        <v>3.267467256268837E-2</v>
      </c>
      <c r="F49">
        <f t="shared" si="6"/>
        <v>47</v>
      </c>
      <c r="G49" s="50">
        <f>IF(FT!A49&lt;&gt;"",FT!A49*10,"")</f>
        <v>4.0281599999999997</v>
      </c>
      <c r="H49" s="50">
        <f>IF(FT!B49&lt;&gt;"",FT!B49*100,"")</f>
        <v>27.7057</v>
      </c>
      <c r="I49" s="50">
        <f t="shared" si="2"/>
        <v>1</v>
      </c>
      <c r="J49" t="str">
        <f>IF(FT!B49&lt;&gt;"",FT!E49,"")</f>
        <v>0 [19.095444]</v>
      </c>
      <c r="K49">
        <f>IF(FT!B49&lt;&gt;"",IF(FT!C49&lt;&gt;"",FT!C49,F49/$M$3*$M$4),"")</f>
        <v>19.095400000000001</v>
      </c>
      <c r="Y49" s="75">
        <f t="shared" si="3"/>
        <v>6.8780038528757554</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4.0207300000000004</v>
      </c>
      <c r="H50" s="50">
        <f>IF(FT!B50&lt;&gt;"",FT!B50*100,"")</f>
        <v>27.362199999999998</v>
      </c>
      <c r="I50" s="50">
        <f t="shared" si="2"/>
        <v>1</v>
      </c>
      <c r="J50" t="str">
        <f>IF(FT!B50&lt;&gt;"",FT!E50,"")</f>
        <v>0 [19.497672]</v>
      </c>
      <c r="K50">
        <f>IF(FT!B50&lt;&gt;"",IF(FT!C50&lt;&gt;"",FT!C50,F50/$M$3*$M$4),"")</f>
        <v>19.497699999999998</v>
      </c>
      <c r="V50" t="s">
        <v>1427</v>
      </c>
      <c r="Y50" s="75">
        <f t="shared" si="3"/>
        <v>6.8052816279630806</v>
      </c>
    </row>
    <row r="51" spans="1:25">
      <c r="A51" s="50">
        <f t="shared" si="5"/>
        <v>49</v>
      </c>
      <c r="B51" s="50">
        <f t="shared" si="0"/>
        <v>0.94606701960784312</v>
      </c>
      <c r="C51" s="50">
        <f>IF(FH!$C$2&gt;0,FH!A51/FH!$C$2,0)</f>
        <v>0.45045657315649229</v>
      </c>
      <c r="D51" s="50">
        <f>IF(hist!$D$2&gt;0,hist!B51/hist!$D$2,0)</f>
        <v>8.9020217508081007E-2</v>
      </c>
      <c r="E51" s="50">
        <f t="shared" si="1"/>
        <v>4.1281894481002994E-2</v>
      </c>
      <c r="F51">
        <f t="shared" si="6"/>
        <v>49</v>
      </c>
      <c r="G51" s="50">
        <f>IF(FT!A51&lt;&gt;"",FT!A51*10,"")</f>
        <v>4.01952</v>
      </c>
      <c r="H51" s="50">
        <f>IF(FT!B51&lt;&gt;"",FT!B51*100,"")</f>
        <v>26.948399999999999</v>
      </c>
      <c r="I51" s="50">
        <f t="shared" si="2"/>
        <v>1</v>
      </c>
      <c r="J51" t="str">
        <f>IF(FT!B51&lt;&gt;"",FT!E51,"")</f>
        <v>0 [19.904803]</v>
      </c>
      <c r="K51">
        <f>IF(FT!B51&lt;&gt;"",IF(FT!C51&lt;&gt;"",FT!C51,F51/$M$3*$M$4),"")</f>
        <v>19.904800000000002</v>
      </c>
      <c r="V51" s="56">
        <v>50</v>
      </c>
      <c r="W51">
        <v>50</v>
      </c>
      <c r="Y51" s="75">
        <f t="shared" si="3"/>
        <v>6.7043826128492956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4.0188100000000002</v>
      </c>
      <c r="H52" s="50">
        <f>IF(FT!B52&lt;&gt;"",FT!B52*100,"")</f>
        <v>26.5519</v>
      </c>
      <c r="I52" s="50">
        <f t="shared" si="2"/>
        <v>1</v>
      </c>
      <c r="J52" t="str">
        <f>IF(FT!B52&lt;&gt;"",FT!E52,"")</f>
        <v>0 [20.312507]</v>
      </c>
      <c r="K52">
        <f>IF(FT!B52&lt;&gt;"",IF(FT!C52&lt;&gt;"",FT!C52,F52/$M$3*$M$4),"")</f>
        <v>20.3125</v>
      </c>
      <c r="V52" s="288">
        <f>Measurement!DK17*100</f>
        <v>29.076468053014882</v>
      </c>
      <c r="W52" s="303">
        <f ca="1">100-N9</f>
        <v>74.65345979381442</v>
      </c>
      <c r="X52" t="str">
        <f ca="1">"(" &amp; ROUND(V52,1) &amp; " , " &amp; ROUND(100-W52,1) &amp; ")"</f>
        <v>(29.1 , 25.3)</v>
      </c>
      <c r="Y52" s="75">
        <f t="shared" si="3"/>
        <v>6.6069060244201641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4.0168900000000001</v>
      </c>
      <c r="H53" s="50">
        <f>IF(FT!B53&lt;&gt;"",FT!B53*100,"")</f>
        <v>26.209300000000002</v>
      </c>
      <c r="I53" s="50">
        <f t="shared" si="2"/>
        <v>1</v>
      </c>
      <c r="J53" t="str">
        <f>IF(FT!B53&lt;&gt;"",FT!E53,"")</f>
        <v>0 [20.718295]</v>
      </c>
      <c r="K53">
        <f>IF(FT!B53&lt;&gt;"",IF(FT!C53&lt;&gt;"",FT!C53,F53/$M$3*$M$4),"")</f>
        <v>20.718299999999999</v>
      </c>
      <c r="Y53" s="75">
        <f t="shared" si="3"/>
        <v>6.5247741411888303</v>
      </c>
    </row>
    <row r="54" spans="1:25">
      <c r="A54" s="50">
        <f t="shared" si="5"/>
        <v>52</v>
      </c>
      <c r="B54" s="50">
        <f t="shared" si="0"/>
        <v>1.0039894901960784</v>
      </c>
      <c r="C54" s="50">
        <f>IF(FH!$C$2&gt;0,FH!A54/FH!$C$2,0)</f>
        <v>0.50480225142959789</v>
      </c>
      <c r="D54" s="50">
        <f>IF(hist!$D$2&gt;0,hist!B54/hist!$D$2,0)</f>
        <v>8.3459593061685863E-2</v>
      </c>
      <c r="E54" s="50">
        <f t="shared" si="1"/>
        <v>5.7707400661275575E-2</v>
      </c>
      <c r="F54">
        <f t="shared" si="6"/>
        <v>52</v>
      </c>
      <c r="G54" s="50">
        <f>IF(FT!A54&lt;&gt;"",FT!A54*10,"")</f>
        <v>4.0151900000000005</v>
      </c>
      <c r="H54" s="50">
        <f>IF(FT!B54&lt;&gt;"",FT!B54*100,"")</f>
        <v>25.848199999999999</v>
      </c>
      <c r="I54" s="50">
        <f t="shared" si="2"/>
        <v>1</v>
      </c>
      <c r="J54" t="str">
        <f>IF(FT!B54&lt;&gt;"",FT!E54,"")</f>
        <v>0 [21.125275]</v>
      </c>
      <c r="K54">
        <f>IF(FT!B54&lt;&gt;"",IF(FT!C54&lt;&gt;"",FT!C54,F54/$M$3*$M$4),"")</f>
        <v>21.125299999999999</v>
      </c>
      <c r="Y54" s="75">
        <f t="shared" si="3"/>
        <v>6.4376032018410072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4.0143800000000001</v>
      </c>
      <c r="H55" s="50">
        <f>IF(FT!B55&lt;&gt;"",FT!B55*100,"")</f>
        <v>25.512</v>
      </c>
      <c r="I55" s="50">
        <f t="shared" si="2"/>
        <v>1</v>
      </c>
      <c r="J55" t="str">
        <f>IF(FT!B55&lt;&gt;"",FT!E55,"")</f>
        <v>0 [21.531373]</v>
      </c>
      <c r="K55">
        <f>IF(FT!B55&lt;&gt;"",IF(FT!C55&lt;&gt;"",FT!C55,F55/$M$3*$M$4),"")</f>
        <v>21.531400000000001</v>
      </c>
      <c r="Y55" s="75">
        <f t="shared" si="3"/>
        <v>6.3551532241591477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4.0130600000000003</v>
      </c>
      <c r="H56" s="50">
        <f>IF(FT!B56&lt;&gt;"",FT!B56*100,"")</f>
        <v>25.219200000000004</v>
      </c>
      <c r="I56" s="50">
        <f t="shared" si="2"/>
        <v>1</v>
      </c>
      <c r="J56" t="str">
        <f>IF(FT!B56&lt;&gt;"",FT!E56,"")</f>
        <v>0 [21.935956]</v>
      </c>
      <c r="K56">
        <f>IF(FT!B56&lt;&gt;"",IF(FT!C56&lt;&gt;"",FT!C56,F56/$M$3*$M$4),"")</f>
        <v>21.936</v>
      </c>
      <c r="Y56" s="75">
        <f t="shared" si="3"/>
        <v>6.2842818198581636</v>
      </c>
    </row>
    <row r="57" spans="1:25">
      <c r="A57" s="50">
        <f t="shared" si="5"/>
        <v>55</v>
      </c>
      <c r="B57" s="50">
        <f t="shared" si="0"/>
        <v>1.0619119607843137</v>
      </c>
      <c r="C57" s="50">
        <f>IF(FH!$C$2&gt;0,FH!A57/FH!$C$2,0)</f>
        <v>0.61468219514385802</v>
      </c>
      <c r="D57" s="50">
        <f>IF(hist!$D$2&gt;0,hist!B57/hist!$D$2,0)</f>
        <v>7.808707660785702E-2</v>
      </c>
      <c r="E57" s="50">
        <f t="shared" si="1"/>
        <v>7.9155774427132328E-2</v>
      </c>
      <c r="F57">
        <f t="shared" si="6"/>
        <v>55</v>
      </c>
      <c r="G57" s="50">
        <f>IF(FT!A57&lt;&gt;"",FT!A57*10,"")</f>
        <v>4.0108700000000006</v>
      </c>
      <c r="H57" s="50">
        <f>IF(FT!B57&lt;&gt;"",FT!B57*100,"")</f>
        <v>24.986599999999999</v>
      </c>
      <c r="I57" s="50">
        <f t="shared" si="2"/>
        <v>1</v>
      </c>
      <c r="J57" t="str">
        <f>IF(FT!B57&lt;&gt;"",FT!E57,"")</f>
        <v>0 [22.341131]</v>
      </c>
      <c r="K57">
        <f>IF(FT!B57&lt;&gt;"",IF(FT!C57&lt;&gt;"",FT!C57,F57/$M$3*$M$4),"")</f>
        <v>22.341100000000001</v>
      </c>
      <c r="Y57" s="75">
        <f t="shared" si="3"/>
        <v>6.2297207339056104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4.0081199999999999</v>
      </c>
      <c r="H58" s="50">
        <f>IF(FT!B58&lt;&gt;"",FT!B58*100,"")</f>
        <v>24.7608</v>
      </c>
      <c r="I58" s="50">
        <f t="shared" si="2"/>
        <v>1</v>
      </c>
      <c r="J58" t="str">
        <f>IF(FT!B58&lt;&gt;"",FT!E58,"")</f>
        <v>0 [22.750022]</v>
      </c>
      <c r="K58">
        <f>IF(FT!B58&lt;&gt;"",IF(FT!C58&lt;&gt;"",FT!C58,F58/$M$3*$M$4),"")</f>
        <v>22.75</v>
      </c>
      <c r="Y58" s="75">
        <f t="shared" si="3"/>
        <v>6.1776593515164215</v>
      </c>
    </row>
    <row r="59" spans="1:25" ht="16.5" customHeight="1">
      <c r="A59" s="50">
        <f t="shared" si="5"/>
        <v>57</v>
      </c>
      <c r="B59" s="50">
        <f t="shared" si="0"/>
        <v>1.1005269411764707</v>
      </c>
      <c r="C59" s="50">
        <f>IF(FH!$C$2&gt;0,FH!A59/FH!$C$2,0)</f>
        <v>0.67893775635460019</v>
      </c>
      <c r="D59" s="50">
        <f>IF(hist!$D$2&gt;0,hist!B59/hist!$D$2,0)</f>
        <v>7.3231227142278643E-2</v>
      </c>
      <c r="E59" s="50">
        <f t="shared" si="1"/>
        <v>9.6697715841044085E-2</v>
      </c>
      <c r="F59">
        <f t="shared" si="6"/>
        <v>57</v>
      </c>
      <c r="G59" s="50">
        <f>IF(FT!A59&lt;&gt;"",FT!A59*10,"")</f>
        <v>4.0038200000000002</v>
      </c>
      <c r="H59" s="50">
        <f>IF(FT!B59&lt;&gt;"",FT!B59*100,"")</f>
        <v>24.520800000000001</v>
      </c>
      <c r="I59" s="50">
        <f t="shared" si="2"/>
        <v>1</v>
      </c>
      <c r="J59" t="str">
        <f>IF(FT!B59&lt;&gt;"",FT!E59,"")</f>
        <v>0 [23.153305]</v>
      </c>
      <c r="K59">
        <f>IF(FT!B59&lt;&gt;"",IF(FT!C59&lt;&gt;"",FT!C59,F59/$M$3*$M$4),"")</f>
        <v>23.153300000000002</v>
      </c>
      <c r="Y59" s="75">
        <f t="shared" si="3"/>
        <v>6.1243512445614439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3.9969999999999999</v>
      </c>
      <c r="H60" s="50">
        <f>IF(FT!B60&lt;&gt;"",FT!B60*100,"")</f>
        <v>24.3292</v>
      </c>
      <c r="I60" s="50">
        <f t="shared" si="2"/>
        <v>1</v>
      </c>
      <c r="J60" t="str">
        <f>IF(FT!B60&lt;&gt;"",FT!E60,"")</f>
        <v>0 [23.562218]</v>
      </c>
      <c r="K60">
        <f>IF(FT!B60&lt;&gt;"",IF(FT!C60&lt;&gt;"",FT!C60,F60/$M$3*$M$4),"")</f>
        <v>23.562200000000001</v>
      </c>
      <c r="Y60" s="75">
        <f t="shared" si="3"/>
        <v>6.0868651488616461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3.9911300000000001</v>
      </c>
      <c r="H61" s="50">
        <f>IF(FT!B61&lt;&gt;"",FT!B61*100,"")</f>
        <v>24.0701</v>
      </c>
      <c r="I61" s="50">
        <f t="shared" si="2"/>
        <v>1</v>
      </c>
      <c r="J61" t="str">
        <f>IF(FT!B61&lt;&gt;"",FT!E61,"")</f>
        <v>0 [23.968772]</v>
      </c>
      <c r="K61">
        <f>IF(FT!B61&lt;&gt;"",IF(FT!C61&lt;&gt;"",FT!C61,F61/$M$3*$M$4),"")</f>
        <v>23.968800000000002</v>
      </c>
      <c r="Y61" s="75">
        <f t="shared" si="3"/>
        <v>6.0308985174624725</v>
      </c>
    </row>
    <row r="62" spans="1:25">
      <c r="A62" s="50">
        <f t="shared" si="5"/>
        <v>60</v>
      </c>
      <c r="B62" s="50">
        <f t="shared" si="0"/>
        <v>1.1584494117647057</v>
      </c>
      <c r="C62" s="50">
        <f>IF(FH!$C$2&gt;0,FH!A62/FH!$C$2,0)</f>
        <v>0.6524325618993444</v>
      </c>
      <c r="D62" s="50">
        <f>IF(hist!$D$2&gt;0,hist!B62/hist!$D$2,0)</f>
        <v>6.8500807710619255E-2</v>
      </c>
      <c r="E62" s="50">
        <f t="shared" si="1"/>
        <v>0.12851859397574797</v>
      </c>
      <c r="F62">
        <f t="shared" si="6"/>
        <v>60</v>
      </c>
      <c r="G62" s="50">
        <f>IF(FT!A62&lt;&gt;"",FT!A62*10,"")</f>
        <v>3.9874700000000001</v>
      </c>
      <c r="H62" s="50">
        <f>IF(FT!B62&lt;&gt;"",FT!B62*100,"")</f>
        <v>23.774999999999999</v>
      </c>
      <c r="I62" s="50">
        <f t="shared" si="2"/>
        <v>1</v>
      </c>
      <c r="J62" t="str">
        <f>IF(FT!B62&lt;&gt;"",FT!E62,"")</f>
        <v>0 [24.372350]</v>
      </c>
      <c r="K62">
        <f>IF(FT!B62&lt;&gt;"",IF(FT!C62&lt;&gt;"",FT!C62,F62/$M$3*$M$4),"")</f>
        <v>24.372399999999999</v>
      </c>
      <c r="Y62" s="75">
        <f t="shared" si="3"/>
        <v>5.962427303528302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3.98272</v>
      </c>
      <c r="H63" s="50">
        <f>IF(FT!B63&lt;&gt;"",FT!B63*100,"")</f>
        <v>23.500599999999999</v>
      </c>
      <c r="I63" s="50">
        <f t="shared" si="2"/>
        <v>1</v>
      </c>
      <c r="J63" t="str">
        <f>IF(FT!B63&lt;&gt;"",FT!E63,"")</f>
        <v>0 [24.779990]</v>
      </c>
      <c r="K63">
        <f>IF(FT!B63&lt;&gt;"",IF(FT!C63&lt;&gt;"",FT!C63,F63/$M$3*$M$4),"")</f>
        <v>24.78</v>
      </c>
      <c r="Y63" s="75">
        <f t="shared" si="3"/>
        <v>5.9006407681182704</v>
      </c>
    </row>
    <row r="64" spans="1:25">
      <c r="A64" s="50">
        <f t="shared" si="5"/>
        <v>62</v>
      </c>
      <c r="B64" s="50">
        <f t="shared" si="0"/>
        <v>1.1970643921568627</v>
      </c>
      <c r="C64" s="50">
        <f>IF(FH!$C$2&gt;0,FH!A64/FH!$C$2,0)</f>
        <v>0.71620011376904891</v>
      </c>
      <c r="D64" s="50">
        <f>IF(hist!$D$2&gt;0,hist!B64/hist!$D$2,0)</f>
        <v>6.3833090943148624E-2</v>
      </c>
      <c r="E64" s="50">
        <f t="shared" si="1"/>
        <v>0.15373238065593908</v>
      </c>
      <c r="F64">
        <f t="shared" si="6"/>
        <v>62</v>
      </c>
      <c r="G64" s="50">
        <f>IF(FT!A64&lt;&gt;"",FT!A64*10,"")</f>
        <v>3.9771000000000001</v>
      </c>
      <c r="H64" s="50">
        <f>IF(FT!B64&lt;&gt;"",FT!B64*100,"")</f>
        <v>23.288900000000002</v>
      </c>
      <c r="I64" s="50">
        <f t="shared" si="2"/>
        <v>1</v>
      </c>
      <c r="J64" t="str">
        <f>IF(FT!B64&lt;&gt;"",FT!E64,"")</f>
        <v>0 [25.186109]</v>
      </c>
      <c r="K64">
        <f>IF(FT!B64&lt;&gt;"",IF(FT!C64&lt;&gt;"",FT!C64,F64/$M$3*$M$4),"")</f>
        <v>25.1861</v>
      </c>
      <c r="Y64" s="75">
        <f t="shared" si="3"/>
        <v>5.8557491639636927</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3.9717799999999999</v>
      </c>
      <c r="H65" s="50">
        <f>IF(FT!B65&lt;&gt;"",FT!B65*100,"")</f>
        <v>23.1294</v>
      </c>
      <c r="I65" s="50">
        <f t="shared" si="2"/>
        <v>1</v>
      </c>
      <c r="J65" t="str">
        <f>IF(FT!B65&lt;&gt;"",FT!E65,"")</f>
        <v>0 [25.591947]</v>
      </c>
      <c r="K65">
        <f>IF(FT!B65&lt;&gt;"",IF(FT!C65&lt;&gt;"",FT!C65,F65/$M$3*$M$4),"")</f>
        <v>25.591899999999999</v>
      </c>
      <c r="Y65" s="75">
        <f t="shared" si="3"/>
        <v>5.8234343291924526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3.9666800000000002</v>
      </c>
      <c r="H66" s="50">
        <f>IF(FT!B66&lt;&gt;"",FT!B66*100,"")</f>
        <v>23.003399999999999</v>
      </c>
      <c r="I66" s="50">
        <f t="shared" si="2"/>
        <v>1</v>
      </c>
      <c r="J66" t="str">
        <f>IF(FT!B66&lt;&gt;"",FT!E66,"")</f>
        <v>0 [25.999536]</v>
      </c>
      <c r="K66">
        <f>IF(FT!B66&lt;&gt;"",IF(FT!C66&lt;&gt;"",FT!C66,F66/$M$3*$M$4),"")</f>
        <v>25.999500000000001</v>
      </c>
      <c r="Y66" s="75">
        <f t="shared" si="3"/>
        <v>5.7991569776236043</v>
      </c>
    </row>
    <row r="67" spans="1:25">
      <c r="A67" s="50">
        <f t="shared" si="5"/>
        <v>65</v>
      </c>
      <c r="B67" s="50">
        <f t="shared" ref="B67:B130" si="16">A67/255*$M$2</f>
        <v>1.254986862745098</v>
      </c>
      <c r="C67" s="50">
        <f>IF(FH!$C$2&gt;0,FH!A67/FH!$C$2,0)</f>
        <v>0.74328313523547196</v>
      </c>
      <c r="D67" s="50">
        <f>IF(hist!$D$2&gt;0,hist!B67/hist!$D$2,0)</f>
        <v>6.0961244688895348E-2</v>
      </c>
      <c r="E67" s="50">
        <f t="shared" ref="E67:E130" si="17">NORMDIST(B67,2,0.421,FALSE)</f>
        <v>0.19797655525187485</v>
      </c>
      <c r="F67">
        <f t="shared" si="6"/>
        <v>65</v>
      </c>
      <c r="G67" s="50">
        <f>IF(FT!A67&lt;&gt;"",FT!A67*10,"")</f>
        <v>3.9670000000000001</v>
      </c>
      <c r="H67" s="50">
        <f>IF(FT!B67&lt;&gt;"",FT!B67*100,"")</f>
        <v>22.82</v>
      </c>
      <c r="I67" s="50">
        <f t="shared" ref="I67:I130" si="18">(IF(G67&lt;&gt;"",1,""))</f>
        <v>1</v>
      </c>
      <c r="J67" t="str">
        <f>IF(FT!B67&lt;&gt;"",FT!E67,"")</f>
        <v>0 [26.404200]</v>
      </c>
      <c r="K67">
        <f>IF(FT!B67&lt;&gt;"",IF(FT!C67&lt;&gt;"",FT!C67,F67/$M$3*$M$4),"")</f>
        <v>26.404199999999999</v>
      </c>
      <c r="Y67" s="75">
        <f t="shared" ref="Y67:Y130" si="19">IF(I67=1,H67/G67,"")</f>
        <v>5.7524577766574234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3.9673599999999998</v>
      </c>
      <c r="H68" s="50">
        <f>IF(FT!B68&lt;&gt;"",FT!B68*100,"")</f>
        <v>22.645799999999998</v>
      </c>
      <c r="I68" s="50">
        <f t="shared" si="18"/>
        <v>1</v>
      </c>
      <c r="J68" t="str">
        <f>IF(FT!B68&lt;&gt;"",FT!E68,"")</f>
        <v>0 [26.809553]</v>
      </c>
      <c r="K68">
        <f>IF(FT!B68&lt;&gt;"",IF(FT!C68&lt;&gt;"",FT!C68,F68/$M$3*$M$4),"")</f>
        <v>26.8096</v>
      </c>
      <c r="Y68" s="75">
        <f t="shared" si="19"/>
        <v>5.708027504436199</v>
      </c>
    </row>
    <row r="69" spans="1:25" ht="16.5" customHeight="1">
      <c r="A69" s="50">
        <f t="shared" si="20"/>
        <v>67</v>
      </c>
      <c r="B69" s="50">
        <f t="shared" si="16"/>
        <v>1.2936018431372549</v>
      </c>
      <c r="C69" s="50">
        <f>IF(FH!$C$2&gt;0,FH!A69/FH!$C$2,0)</f>
        <v>0.70732612796024075</v>
      </c>
      <c r="D69" s="50">
        <f>IF(hist!$D$2&gt;0,hist!B69/hist!$D$2,0)</f>
        <v>5.711370248633358E-2</v>
      </c>
      <c r="E69" s="50">
        <f t="shared" si="17"/>
        <v>0.23188834663388441</v>
      </c>
      <c r="F69">
        <f t="shared" si="21"/>
        <v>67</v>
      </c>
      <c r="G69" s="50">
        <f>IF(FT!A69&lt;&gt;"",FT!A69*10,"")</f>
        <v>3.96645</v>
      </c>
      <c r="H69" s="50">
        <f>IF(FT!B69&lt;&gt;"",FT!B69*100,"")</f>
        <v>22.423399999999997</v>
      </c>
      <c r="I69" s="50">
        <f t="shared" si="18"/>
        <v>1</v>
      </c>
      <c r="J69" t="str">
        <f>IF(FT!B69&lt;&gt;"",FT!E69,"")</f>
        <v>0 [27.222190]</v>
      </c>
      <c r="K69">
        <f>IF(FT!B69&lt;&gt;"",IF(FT!C69&lt;&gt;"",FT!C69,F69/$M$3*$M$4),"")</f>
        <v>27.222200000000001</v>
      </c>
      <c r="Y69" s="75">
        <f t="shared" si="19"/>
        <v>5.6532667750759487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3.9648299999999996</v>
      </c>
      <c r="H70" s="50">
        <f>IF(FT!B70&lt;&gt;"",FT!B70*100,"")</f>
        <v>22.237299999999998</v>
      </c>
      <c r="I70" s="50">
        <f t="shared" si="18"/>
        <v>1</v>
      </c>
      <c r="J70" t="str">
        <f>IF(FT!B70&lt;&gt;"",FT!E70,"")</f>
        <v>0 [27.623042]</v>
      </c>
      <c r="K70">
        <f>IF(FT!B70&lt;&gt;"",IF(FT!C70&lt;&gt;"",FT!C70,F70/$M$3*$M$4),"")</f>
        <v>27.623000000000001</v>
      </c>
      <c r="Y70" s="75">
        <f t="shared" si="19"/>
        <v>5.6086389580385543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3.9652099999999999</v>
      </c>
      <c r="H71" s="50">
        <f>IF(FT!B71&lt;&gt;"",FT!B71*100,"")</f>
        <v>22.054499999999997</v>
      </c>
      <c r="I71" s="50">
        <f t="shared" si="18"/>
        <v>1</v>
      </c>
      <c r="J71" t="str">
        <f>IF(FT!B71&lt;&gt;"",FT!E71,"")</f>
        <v>0 [28.029591]</v>
      </c>
      <c r="K71">
        <f>IF(FT!B71&lt;&gt;"",IF(FT!C71&lt;&gt;"",FT!C71,F71/$M$3*$M$4),"")</f>
        <v>28.029599999999999</v>
      </c>
      <c r="Y71" s="75">
        <f t="shared" si="19"/>
        <v>5.5620004993430356</v>
      </c>
    </row>
    <row r="72" spans="1:25">
      <c r="A72" s="50">
        <f t="shared" si="20"/>
        <v>70</v>
      </c>
      <c r="B72" s="50">
        <f t="shared" si="16"/>
        <v>1.3515243137254902</v>
      </c>
      <c r="C72" s="50">
        <f>IF(FH!$C$2&gt;0,FH!A72/FH!$C$2,0)</f>
        <v>0.64340588605131577</v>
      </c>
      <c r="D72" s="50">
        <f>IF(hist!$D$2&gt;0,hist!B72/hist!$D$2,0)</f>
        <v>5.2681750700877682E-2</v>
      </c>
      <c r="E72" s="50">
        <f t="shared" si="17"/>
        <v>0.28935167144361945</v>
      </c>
      <c r="F72">
        <f t="shared" si="21"/>
        <v>70</v>
      </c>
      <c r="G72" s="50">
        <f>IF(FT!A72&lt;&gt;"",FT!A72*10,"")</f>
        <v>3.9674199999999997</v>
      </c>
      <c r="H72" s="50">
        <f>IF(FT!B72&lt;&gt;"",FT!B72*100,"")</f>
        <v>21.8843</v>
      </c>
      <c r="I72" s="50">
        <f t="shared" si="18"/>
        <v>1</v>
      </c>
      <c r="J72" t="str">
        <f>IF(FT!B72&lt;&gt;"",FT!E72,"")</f>
        <v>0 [28.437547]</v>
      </c>
      <c r="K72">
        <f>IF(FT!B72&lt;&gt;"",IF(FT!C72&lt;&gt;"",FT!C72,F72/$M$3*$M$4),"")</f>
        <v>28.4375</v>
      </c>
      <c r="Y72" s="75">
        <f t="shared" si="19"/>
        <v>5.5160028431575183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3.9669599999999998</v>
      </c>
      <c r="H73" s="50">
        <f>IF(FT!B73&lt;&gt;"",FT!B73*100,"")</f>
        <v>21.784600000000001</v>
      </c>
      <c r="I73" s="50">
        <f t="shared" si="18"/>
        <v>1</v>
      </c>
      <c r="J73" t="str">
        <f>IF(FT!B73&lt;&gt;"",FT!E73,"")</f>
        <v>0 [28.842874]</v>
      </c>
      <c r="K73">
        <f>IF(FT!B73&lt;&gt;"",IF(FT!C73&lt;&gt;"",FT!C73,F73/$M$3*$M$4),"")</f>
        <v>28.8429</v>
      </c>
      <c r="Y73" s="75">
        <f t="shared" si="19"/>
        <v>5.4915098715389119</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3.9646699999999999</v>
      </c>
      <c r="H74" s="50">
        <f>IF(FT!B74&lt;&gt;"",FT!B74*100,"")</f>
        <v>21.714600000000001</v>
      </c>
      <c r="I74" s="50">
        <f t="shared" si="18"/>
        <v>1</v>
      </c>
      <c r="J74" t="str">
        <f>IF(FT!B74&lt;&gt;"",FT!E74,"")</f>
        <v>0 [29.253179]</v>
      </c>
      <c r="K74">
        <f>IF(FT!B74&lt;&gt;"",IF(FT!C74&lt;&gt;"",FT!C74,F74/$M$3*$M$4),"")</f>
        <v>29.2532</v>
      </c>
      <c r="Y74" s="75">
        <f t="shared" si="19"/>
        <v>5.4770258306492092</v>
      </c>
    </row>
    <row r="75" spans="1:25">
      <c r="A75" s="50">
        <f t="shared" si="20"/>
        <v>73</v>
      </c>
      <c r="B75" s="50">
        <f t="shared" si="16"/>
        <v>1.4094467843137253</v>
      </c>
      <c r="C75" s="50">
        <f>IF(FH!$C$2&gt;0,FH!A75/FH!$C$2,0)</f>
        <v>0.74817520433519957</v>
      </c>
      <c r="D75" s="50">
        <f>IF(hist!$D$2&gt;0,hist!B75/hist!$D$2,0)</f>
        <v>4.8781536283954034E-2</v>
      </c>
      <c r="E75" s="50">
        <f t="shared" si="17"/>
        <v>0.35428459040885235</v>
      </c>
      <c r="F75">
        <f t="shared" si="21"/>
        <v>73</v>
      </c>
      <c r="G75" s="50">
        <f>IF(FT!A75&lt;&gt;"",FT!A75*10,"")</f>
        <v>3.9620800000000003</v>
      </c>
      <c r="H75" s="50">
        <f>IF(FT!B75&lt;&gt;"",FT!B75*100,"")</f>
        <v>21.675599999999999</v>
      </c>
      <c r="I75" s="50">
        <f t="shared" si="18"/>
        <v>1</v>
      </c>
      <c r="J75" t="str">
        <f>IF(FT!B75&lt;&gt;"",FT!E75,"")</f>
        <v>0 [29.654480]</v>
      </c>
      <c r="K75">
        <f>IF(FT!B75&lt;&gt;"",IF(FT!C75&lt;&gt;"",FT!C75,F75/$M$3*$M$4),"")</f>
        <v>29.654499999999999</v>
      </c>
      <c r="Y75" s="75">
        <f t="shared" si="19"/>
        <v>5.4707628316439845</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3.95634</v>
      </c>
      <c r="H76" s="50">
        <f>IF(FT!B76&lt;&gt;"",FT!B76*100,"")</f>
        <v>21.686700000000002</v>
      </c>
      <c r="I76" s="50">
        <f t="shared" si="18"/>
        <v>1</v>
      </c>
      <c r="J76" t="str">
        <f>IF(FT!B76&lt;&gt;"",FT!E76,"")</f>
        <v>0 [30.062155]</v>
      </c>
      <c r="K76">
        <f>IF(FT!B76&lt;&gt;"",IF(FT!C76&lt;&gt;"",FT!C76,F76/$M$3*$M$4),"")</f>
        <v>30.062200000000001</v>
      </c>
      <c r="Y76" s="75">
        <f t="shared" si="19"/>
        <v>5.4815056339950567</v>
      </c>
    </row>
    <row r="77" spans="1:25">
      <c r="A77" s="50">
        <f t="shared" si="20"/>
        <v>75</v>
      </c>
      <c r="B77" s="50">
        <f t="shared" si="16"/>
        <v>1.4480617647058822</v>
      </c>
      <c r="C77" s="50">
        <f>IF(FH!$C$2&gt;0,FH!A77/FH!$C$2,0)</f>
        <v>0.68212927756653985</v>
      </c>
      <c r="D77" s="50">
        <f>IF(hist!$D$2&gt;0,hist!B77/hist!$D$2,0)</f>
        <v>4.5779244770868331E-2</v>
      </c>
      <c r="E77" s="50">
        <f t="shared" si="17"/>
        <v>0.40123855879074211</v>
      </c>
      <c r="F77">
        <f t="shared" si="21"/>
        <v>75</v>
      </c>
      <c r="G77" s="50">
        <f>IF(FT!A77&lt;&gt;"",FT!A77*10,"")</f>
        <v>3.9500299999999999</v>
      </c>
      <c r="H77" s="50">
        <f>IF(FT!B77&lt;&gt;"",FT!B77*100,"")</f>
        <v>21.697900000000001</v>
      </c>
      <c r="I77" s="50">
        <f t="shared" si="18"/>
        <v>1</v>
      </c>
      <c r="J77" t="str">
        <f>IF(FT!B77&lt;&gt;"",FT!E77,"")</f>
        <v>0 [30.466654]</v>
      </c>
      <c r="K77">
        <f>IF(FT!B77&lt;&gt;"",IF(FT!C77&lt;&gt;"",FT!C77,F77/$M$3*$M$4),"")</f>
        <v>30.466699999999999</v>
      </c>
      <c r="Y77" s="75">
        <f t="shared" si="19"/>
        <v>5.4930975207783233</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3.9458199999999999</v>
      </c>
      <c r="H78" s="50">
        <f>IF(FT!B78&lt;&gt;"",FT!B78*100,"")</f>
        <v>21.686900000000001</v>
      </c>
      <c r="I78" s="50">
        <f t="shared" si="18"/>
        <v>1</v>
      </c>
      <c r="J78" t="str">
        <f>IF(FT!B78&lt;&gt;"",FT!E78,"")</f>
        <v>0 [30.874917]</v>
      </c>
      <c r="K78">
        <f>IF(FT!B78&lt;&gt;"",IF(FT!C78&lt;&gt;"",FT!C78,F78/$M$3*$M$4),"")</f>
        <v>30.8749</v>
      </c>
      <c r="Y78" s="75">
        <f t="shared" si="19"/>
        <v>5.4961706311995995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3.9417999999999997</v>
      </c>
      <c r="H79" s="50">
        <f>IF(FT!B79&lt;&gt;"",FT!B79*100,"")</f>
        <v>21.7347</v>
      </c>
      <c r="I79" s="50">
        <f t="shared" si="18"/>
        <v>1</v>
      </c>
      <c r="J79" t="str">
        <f>IF(FT!B79&lt;&gt;"",FT!E79,"")</f>
        <v>0 [31.282196]</v>
      </c>
      <c r="K79">
        <f>IF(FT!B79&lt;&gt;"",IF(FT!C79&lt;&gt;"",FT!C79,F79/$M$3*$M$4),"")</f>
        <v>31.2822</v>
      </c>
      <c r="Y79" s="75">
        <f t="shared" si="19"/>
        <v>5.5139022781470395</v>
      </c>
    </row>
    <row r="80" spans="1:25" ht="16.5" customHeight="1">
      <c r="A80" s="50">
        <f t="shared" si="20"/>
        <v>78</v>
      </c>
      <c r="B80" s="50">
        <f t="shared" si="16"/>
        <v>1.5059842352941177</v>
      </c>
      <c r="C80" s="50">
        <f>IF(FH!$C$2&gt;0,FH!A80/FH!$C$2,0)</f>
        <v>0.71656537229424278</v>
      </c>
      <c r="D80" s="50">
        <f>IF(hist!$D$2&gt;0,hist!B80/hist!$D$2,0)</f>
        <v>4.2674128794286316E-2</v>
      </c>
      <c r="E80" s="50">
        <f t="shared" si="17"/>
        <v>0.47602261974213655</v>
      </c>
      <c r="F80">
        <f t="shared" si="21"/>
        <v>78</v>
      </c>
      <c r="G80" s="50">
        <f>IF(FT!A80&lt;&gt;"",FT!A80*10,"")</f>
        <v>3.9344099999999997</v>
      </c>
      <c r="H80" s="50">
        <f>IF(FT!B80&lt;&gt;"",FT!B80*100,"")</f>
        <v>21.823600000000003</v>
      </c>
      <c r="I80" s="50">
        <f t="shared" si="18"/>
        <v>1</v>
      </c>
      <c r="J80" t="str">
        <f>IF(FT!B80&lt;&gt;"",FT!E80,"")</f>
        <v>0 [31.685248]</v>
      </c>
      <c r="K80">
        <f>IF(FT!B80&lt;&gt;"",IF(FT!C80&lt;&gt;"",FT!C80,F80/$M$3*$M$4),"")</f>
        <v>31.685199999999998</v>
      </c>
      <c r="Y80" s="75">
        <f t="shared" si="19"/>
        <v>5.5468545474416757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3.9250800000000003</v>
      </c>
      <c r="H81" s="50">
        <f>IF(FT!B81&lt;&gt;"",FT!B81*100,"")</f>
        <v>21.895099999999999</v>
      </c>
      <c r="I81" s="50">
        <f t="shared" si="18"/>
        <v>1</v>
      </c>
      <c r="J81" t="str">
        <f>IF(FT!B81&lt;&gt;"",FT!E81,"")</f>
        <v>0 [32.092258]</v>
      </c>
      <c r="K81">
        <f>IF(FT!B81&lt;&gt;"",IF(FT!C81&lt;&gt;"",FT!C81,F81/$M$3*$M$4),"")</f>
        <v>32.092300000000002</v>
      </c>
      <c r="Y81" s="75">
        <f t="shared" si="19"/>
        <v>5.578255729819519</v>
      </c>
    </row>
    <row r="82" spans="1:25" ht="16.5" customHeight="1">
      <c r="A82" s="50">
        <f t="shared" si="20"/>
        <v>80</v>
      </c>
      <c r="B82" s="50">
        <f t="shared" si="16"/>
        <v>1.5445992156862745</v>
      </c>
      <c r="C82" s="50">
        <f>IF(FH!$C$2&gt;0,FH!A82/FH!$C$2,0)</f>
        <v>0.62072991826592017</v>
      </c>
      <c r="D82" s="50">
        <f>IF(hist!$D$2&gt;0,hist!B82/hist!$D$2,0)</f>
        <v>4.0825586066707088E-2</v>
      </c>
      <c r="E82" s="50">
        <f t="shared" si="17"/>
        <v>0.52789039798181625</v>
      </c>
      <c r="F82">
        <f t="shared" si="21"/>
        <v>80</v>
      </c>
      <c r="G82" s="50">
        <f>IF(FT!A82&lt;&gt;"",FT!A82*10,"")</f>
        <v>3.9161200000000003</v>
      </c>
      <c r="H82" s="50">
        <f>IF(FT!B82&lt;&gt;"",FT!B82*100,"")</f>
        <v>21.918299999999999</v>
      </c>
      <c r="I82" s="50">
        <f t="shared" si="18"/>
        <v>1</v>
      </c>
      <c r="J82" t="str">
        <f>IF(FT!B82&lt;&gt;"",FT!E82,"")</f>
        <v>0 [32.498484]</v>
      </c>
      <c r="K82">
        <f>IF(FT!B82&lt;&gt;"",IF(FT!C82&lt;&gt;"",FT!C82,F82/$M$3*$M$4),"")</f>
        <v>32.4985</v>
      </c>
      <c r="Y82" s="75">
        <f t="shared" si="19"/>
        <v>5.5969428924547762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3.9073799999999999</v>
      </c>
      <c r="H83" s="50">
        <f>IF(FT!B83&lt;&gt;"",FT!B83*100,"")</f>
        <v>21.912799999999997</v>
      </c>
      <c r="I83" s="50">
        <f t="shared" si="18"/>
        <v>1</v>
      </c>
      <c r="J83" t="str">
        <f>IF(FT!B83&lt;&gt;"",FT!E83,"")</f>
        <v>0 [32.906110]</v>
      </c>
      <c r="K83">
        <f>IF(FT!B83&lt;&gt;"",IF(FT!C83&lt;&gt;"",FT!C83,F83/$M$3*$M$4),"")</f>
        <v>32.906100000000002</v>
      </c>
      <c r="Y83" s="75">
        <f t="shared" si="19"/>
        <v>5.6080545019936627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3.9013499999999999</v>
      </c>
      <c r="H84" s="50">
        <f>IF(FT!B84&lt;&gt;"",FT!B84*100,"")</f>
        <v>21.875399999999999</v>
      </c>
      <c r="I84" s="50">
        <f t="shared" si="18"/>
        <v>1</v>
      </c>
      <c r="J84" t="str">
        <f>IF(FT!B84&lt;&gt;"",FT!E84,"")</f>
        <v>0 [33.313417]</v>
      </c>
      <c r="K84">
        <f>IF(FT!B84&lt;&gt;"",IF(FT!C84&lt;&gt;"",FT!C84,F84/$M$3*$M$4),"")</f>
        <v>33.313400000000001</v>
      </c>
      <c r="Y84" s="75">
        <f t="shared" si="19"/>
        <v>5.6071359913875964</v>
      </c>
    </row>
    <row r="85" spans="1:25" ht="16.5" customHeight="1">
      <c r="A85" s="50">
        <f t="shared" si="20"/>
        <v>83</v>
      </c>
      <c r="B85" s="50">
        <f t="shared" si="16"/>
        <v>1.6025216862745097</v>
      </c>
      <c r="C85" s="50">
        <f>IF(FH!$C$2&gt;0,FH!A85/FH!$C$2,0)</f>
        <v>0.66613873836112691</v>
      </c>
      <c r="D85" s="50">
        <f>IF(hist!$D$2&gt;0,hist!B85/hist!$D$2,0)</f>
        <v>3.8929411055220867E-2</v>
      </c>
      <c r="E85" s="50">
        <f t="shared" si="17"/>
        <v>0.60683043098510137</v>
      </c>
      <c r="F85">
        <f t="shared" si="21"/>
        <v>83</v>
      </c>
      <c r="G85" s="50">
        <f>IF(FT!A85&lt;&gt;"",FT!A85*10,"")</f>
        <v>3.89907</v>
      </c>
      <c r="H85" s="50">
        <f>IF(FT!B85&lt;&gt;"",FT!B85*100,"")</f>
        <v>21.749700000000001</v>
      </c>
      <c r="I85" s="50">
        <f t="shared" si="18"/>
        <v>1</v>
      </c>
      <c r="J85" t="str">
        <f>IF(FT!B85&lt;&gt;"",FT!E85,"")</f>
        <v>0 [33.718983]</v>
      </c>
      <c r="K85">
        <f>IF(FT!B85&lt;&gt;"",IF(FT!C85&lt;&gt;"",FT!C85,F85/$M$3*$M$4),"")</f>
        <v>33.719000000000001</v>
      </c>
      <c r="Y85" s="75">
        <f t="shared" si="19"/>
        <v>5.5781763343566544</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3.8977400000000002</v>
      </c>
      <c r="H86" s="50">
        <f>IF(FT!B86&lt;&gt;"",FT!B86*100,"")</f>
        <v>21.676300000000001</v>
      </c>
      <c r="I86" s="50">
        <f t="shared" si="18"/>
        <v>1</v>
      </c>
      <c r="J86" t="str">
        <f>IF(FT!B86&lt;&gt;"",FT!E86,"")</f>
        <v>0 [34.123419]</v>
      </c>
      <c r="K86">
        <f>IF(FT!B86&lt;&gt;"",IF(FT!C86&lt;&gt;"",FT!C86,F86/$M$3*$M$4),"")</f>
        <v>34.123399999999997</v>
      </c>
      <c r="Y86" s="75">
        <f t="shared" si="19"/>
        <v>5.5612483131250414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3.89635</v>
      </c>
      <c r="H87" s="50">
        <f>IF(FT!B87&lt;&gt;"",FT!B87*100,"")</f>
        <v>21.585699999999999</v>
      </c>
      <c r="I87" s="50">
        <f t="shared" si="18"/>
        <v>1</v>
      </c>
      <c r="J87" t="str">
        <f>IF(FT!B87&lt;&gt;"",FT!E87,"")</f>
        <v>0 [34.529181]</v>
      </c>
      <c r="K87">
        <f>IF(FT!B87&lt;&gt;"",IF(FT!C87&lt;&gt;"",FT!C87,F87/$M$3*$M$4),"")</f>
        <v>34.529200000000003</v>
      </c>
      <c r="Y87" s="75">
        <f t="shared" si="19"/>
        <v>5.5399797246140619</v>
      </c>
    </row>
    <row r="88" spans="1:25" ht="16.5" customHeight="1">
      <c r="A88" s="50">
        <f t="shared" si="20"/>
        <v>86</v>
      </c>
      <c r="B88" s="50">
        <f t="shared" si="16"/>
        <v>1.660444156862745</v>
      </c>
      <c r="C88" s="50">
        <f>IF(FH!$C$2&gt;0,FH!A88/FH!$C$2,0)</f>
        <v>0.67209664381305956</v>
      </c>
      <c r="D88" s="50">
        <f>IF(hist!$D$2&gt;0,hist!B88/hist!$D$2,0)</f>
        <v>3.625318327813333E-2</v>
      </c>
      <c r="E88" s="50">
        <f t="shared" si="17"/>
        <v>0.68449477392463509</v>
      </c>
      <c r="F88">
        <f t="shared" si="21"/>
        <v>86</v>
      </c>
      <c r="G88" s="50">
        <f>IF(FT!A88&lt;&gt;"",FT!A88*10,"")</f>
        <v>3.8978800000000002</v>
      </c>
      <c r="H88" s="50">
        <f>IF(FT!B88&lt;&gt;"",FT!B88*100,"")</f>
        <v>21.3751</v>
      </c>
      <c r="I88" s="50">
        <f t="shared" si="18"/>
        <v>1</v>
      </c>
      <c r="J88" t="str">
        <f>IF(FT!B88&lt;&gt;"",FT!E88,"")</f>
        <v>0 [34.934793]</v>
      </c>
      <c r="K88">
        <f>IF(FT!B88&lt;&gt;"",IF(FT!C88&lt;&gt;"",FT!C88,F88/$M$3*$M$4),"")</f>
        <v>34.934800000000003</v>
      </c>
      <c r="Y88" s="75">
        <f t="shared" si="19"/>
        <v>5.483775796073763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3.9019199999999996</v>
      </c>
      <c r="H89" s="50">
        <f>IF(FT!B89&lt;&gt;"",FT!B89*100,"")</f>
        <v>21.042300000000001</v>
      </c>
      <c r="I89" s="50">
        <f t="shared" si="18"/>
        <v>1</v>
      </c>
      <c r="J89" t="str">
        <f>IF(FT!B89&lt;&gt;"",FT!E89,"")</f>
        <v>0 [35.344058]</v>
      </c>
      <c r="K89">
        <f>IF(FT!B89&lt;&gt;"",IF(FT!C89&lt;&gt;"",FT!C89,F89/$M$3*$M$4),"")</f>
        <v>35.344099999999997</v>
      </c>
      <c r="Y89" s="75">
        <f t="shared" si="19"/>
        <v>5.3928066182802317</v>
      </c>
    </row>
    <row r="90" spans="1:25" ht="16.5" customHeight="1">
      <c r="A90" s="50">
        <f t="shared" si="20"/>
        <v>88</v>
      </c>
      <c r="B90" s="50">
        <f t="shared" si="16"/>
        <v>1.6990591372549018</v>
      </c>
      <c r="C90" s="50">
        <f>IF(FH!$C$2&gt;0,FH!A90/FH!$C$2,0)</f>
        <v>0.68264423220861647</v>
      </c>
      <c r="D90" s="50">
        <f>IF(hist!$D$2&gt;0,hist!B90/hist!$D$2,0)</f>
        <v>3.5495711377413239E-2</v>
      </c>
      <c r="E90" s="50">
        <f t="shared" si="17"/>
        <v>0.73395857202345849</v>
      </c>
      <c r="F90">
        <f t="shared" si="21"/>
        <v>88</v>
      </c>
      <c r="G90" s="50">
        <f>IF(FT!A90&lt;&gt;"",FT!A90*10,"")</f>
        <v>3.90496</v>
      </c>
      <c r="H90" s="50">
        <f>IF(FT!B90&lt;&gt;"",FT!B90*100,"")</f>
        <v>20.676300000000001</v>
      </c>
      <c r="I90" s="50">
        <f t="shared" si="18"/>
        <v>1</v>
      </c>
      <c r="J90" t="str">
        <f>IF(FT!B90&lt;&gt;"",FT!E90,"")</f>
        <v>0 [35.749059]</v>
      </c>
      <c r="K90">
        <f>IF(FT!B90&lt;&gt;"",IF(FT!C90&lt;&gt;"",FT!C90,F90/$M$3*$M$4),"")</f>
        <v>35.749099999999999</v>
      </c>
      <c r="Y90" s="75">
        <f t="shared" si="19"/>
        <v>5.2948813816274694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3.9058199999999998</v>
      </c>
      <c r="H91" s="50">
        <f>IF(FT!B91&lt;&gt;"",FT!B91*100,"")</f>
        <v>20.308399999999999</v>
      </c>
      <c r="I91" s="50">
        <f t="shared" si="18"/>
        <v>1</v>
      </c>
      <c r="J91" t="str">
        <f>IF(FT!B91&lt;&gt;"",FT!E91,"")</f>
        <v>0 [36.152624]</v>
      </c>
      <c r="K91">
        <f>IF(FT!B91&lt;&gt;"",IF(FT!C91&lt;&gt;"",FT!C91,F91/$M$3*$M$4),"")</f>
        <v>36.1526</v>
      </c>
      <c r="Y91" s="75">
        <f t="shared" si="19"/>
        <v>5.1995227634658026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3.8978200000000003</v>
      </c>
      <c r="H92" s="50">
        <f>IF(FT!B92&lt;&gt;"",FT!B92*100,"")</f>
        <v>20.11</v>
      </c>
      <c r="I92" s="50">
        <f t="shared" si="18"/>
        <v>1</v>
      </c>
      <c r="J92" t="str">
        <f>IF(FT!B92&lt;&gt;"",FT!E92,"")</f>
        <v>0 [36.563860]</v>
      </c>
      <c r="K92">
        <f>IF(FT!B92&lt;&gt;"",IF(FT!C92&lt;&gt;"",FT!C92,F92/$M$3*$M$4),"")</f>
        <v>36.563899999999997</v>
      </c>
      <c r="Y92" s="75">
        <f t="shared" si="19"/>
        <v>5.1592941695614467</v>
      </c>
    </row>
    <row r="93" spans="1:25" ht="16.5" customHeight="1">
      <c r="A93" s="50">
        <f t="shared" si="20"/>
        <v>91</v>
      </c>
      <c r="B93" s="50">
        <f t="shared" si="16"/>
        <v>1.7569816078431371</v>
      </c>
      <c r="C93" s="50">
        <f>IF(FH!$C$2&gt;0,FH!A93/FH!$C$2,0)</f>
        <v>0.77744678303044823</v>
      </c>
      <c r="D93" s="50">
        <f>IF(hist!$D$2&gt;0,hist!B93/hist!$D$2,0)</f>
        <v>3.3270952664701411E-2</v>
      </c>
      <c r="E93" s="50">
        <f t="shared" si="17"/>
        <v>0.80218214811433919</v>
      </c>
      <c r="F93">
        <f t="shared" si="21"/>
        <v>91</v>
      </c>
      <c r="G93" s="50">
        <f>IF(FT!A93&lt;&gt;"",FT!A93*10,"")</f>
        <v>3.8929599999999995</v>
      </c>
      <c r="H93" s="50">
        <f>IF(FT!B93&lt;&gt;"",FT!B93*100,"")</f>
        <v>19.8325</v>
      </c>
      <c r="I93" s="50">
        <f t="shared" si="18"/>
        <v>1</v>
      </c>
      <c r="J93" t="str">
        <f>IF(FT!B93&lt;&gt;"",FT!E93,"")</f>
        <v>0 [36.968970]</v>
      </c>
      <c r="K93">
        <f>IF(FT!B93&lt;&gt;"",IF(FT!C93&lt;&gt;"",FT!C93,F93/$M$3*$M$4),"")</f>
        <v>36.969000000000001</v>
      </c>
      <c r="Y93" s="75">
        <f t="shared" si="19"/>
        <v>5.0944525502445446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3.8872</v>
      </c>
      <c r="H94" s="50">
        <f>IF(FT!B94&lt;&gt;"",FT!B94*100,"")</f>
        <v>19.723099999999999</v>
      </c>
      <c r="I94" s="50">
        <f t="shared" si="18"/>
        <v>1</v>
      </c>
      <c r="J94" t="str">
        <f>IF(FT!B94&lt;&gt;"",FT!E94,"")</f>
        <v>0 [37.375017]</v>
      </c>
      <c r="K94">
        <f>IF(FT!B94&lt;&gt;"",IF(FT!C94&lt;&gt;"",FT!C94,F94/$M$3*$M$4),"")</f>
        <v>37.375</v>
      </c>
      <c r="Y94" s="75">
        <f t="shared" si="19"/>
        <v>5.0738577896686561</v>
      </c>
    </row>
    <row r="95" spans="1:25" ht="16.5" customHeight="1">
      <c r="A95" s="50">
        <f t="shared" si="20"/>
        <v>93</v>
      </c>
      <c r="B95" s="50">
        <f t="shared" si="16"/>
        <v>1.7955965882352938</v>
      </c>
      <c r="C95" s="50">
        <f>IF(FH!$C$2&gt;0,FH!A95/FH!$C$2,0)</f>
        <v>0.65717493488218914</v>
      </c>
      <c r="D95" s="50">
        <f>IF(hist!$D$2&gt;0,hist!B95/hist!$D$2,0)</f>
        <v>3.0933339038666373E-2</v>
      </c>
      <c r="E95" s="50">
        <f t="shared" si="17"/>
        <v>0.84224836579594975</v>
      </c>
      <c r="F95">
        <f t="shared" si="21"/>
        <v>93</v>
      </c>
      <c r="G95" s="50">
        <f>IF(FT!A95&lt;&gt;"",FT!A95*10,"")</f>
        <v>3.9014799999999998</v>
      </c>
      <c r="H95" s="50">
        <f>IF(FT!B95&lt;&gt;"",FT!B95*100,"")</f>
        <v>19.575500000000002</v>
      </c>
      <c r="I95" s="50">
        <f t="shared" si="18"/>
        <v>1</v>
      </c>
      <c r="J95" t="str">
        <f>IF(FT!B95&lt;&gt;"",FT!E95,"")</f>
        <v>0 [37.780475]</v>
      </c>
      <c r="K95">
        <f>IF(FT!B95&lt;&gt;"",IF(FT!C95&lt;&gt;"",FT!C95,F95/$M$3*$M$4),"")</f>
        <v>37.780500000000004</v>
      </c>
      <c r="Y95" s="75">
        <f t="shared" si="19"/>
        <v>5.0174549145452501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3.9102199999999998</v>
      </c>
      <c r="H96" s="50">
        <f>IF(FT!B96&lt;&gt;"",FT!B96*100,"")</f>
        <v>19.601900000000001</v>
      </c>
      <c r="I96" s="50">
        <f t="shared" si="18"/>
        <v>1</v>
      </c>
      <c r="J96" t="str">
        <f>IF(FT!B96&lt;&gt;"",FT!E96,"")</f>
        <v>0 [38.186508]</v>
      </c>
      <c r="K96">
        <f>IF(FT!B96&lt;&gt;"",IF(FT!C96&lt;&gt;"",FT!C96,F96/$M$3*$M$4),"")</f>
        <v>38.186500000000002</v>
      </c>
      <c r="Y96" s="75">
        <f t="shared" si="19"/>
        <v>5.0129915963807665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3.8986199999999998</v>
      </c>
      <c r="H97" s="50">
        <f>IF(FT!B97&lt;&gt;"",FT!B97*100,"")</f>
        <v>19.8384</v>
      </c>
      <c r="I97" s="50">
        <f t="shared" si="18"/>
        <v>1</v>
      </c>
      <c r="J97" t="str">
        <f>IF(FT!B97&lt;&gt;"",FT!E97,"")</f>
        <v>0 [38.593256]</v>
      </c>
      <c r="K97">
        <f>IF(FT!B97&lt;&gt;"",IF(FT!C97&lt;&gt;"",FT!C97,F97/$M$3*$M$4),"")</f>
        <v>38.593299999999999</v>
      </c>
      <c r="Y97" s="75">
        <f t="shared" si="19"/>
        <v>5.0885698016221124</v>
      </c>
    </row>
    <row r="98" spans="1:25" ht="16.5" customHeight="1">
      <c r="A98" s="50">
        <f t="shared" si="20"/>
        <v>96</v>
      </c>
      <c r="B98" s="50">
        <f t="shared" si="16"/>
        <v>1.8535190588235293</v>
      </c>
      <c r="C98" s="50">
        <f>IF(FH!$C$2&gt;0,FH!A98/FH!$C$2,0)</f>
        <v>0.70680817939582641</v>
      </c>
      <c r="D98" s="50">
        <f>IF(hist!$D$2&gt;0,hist!B98/hist!$D$2,0)</f>
        <v>2.9583947070452719E-2</v>
      </c>
      <c r="E98" s="50">
        <f t="shared" si="17"/>
        <v>0.89194953505152708</v>
      </c>
      <c r="F98">
        <f t="shared" si="21"/>
        <v>96</v>
      </c>
      <c r="G98" s="50">
        <f>IF(FT!A98&lt;&gt;"",FT!A98*10,"")</f>
        <v>3.9081999999999999</v>
      </c>
      <c r="H98" s="50">
        <f>IF(FT!B98&lt;&gt;"",FT!B98*100,"")</f>
        <v>19.9998</v>
      </c>
      <c r="I98" s="50">
        <f t="shared" si="18"/>
        <v>1</v>
      </c>
      <c r="J98" t="str">
        <f>IF(FT!B98&lt;&gt;"",FT!E98,"")</f>
        <v>0 [39.000163]</v>
      </c>
      <c r="K98">
        <f>IF(FT!B98&lt;&gt;"",IF(FT!C98&lt;&gt;"",FT!C98,F98/$M$3*$M$4),"")</f>
        <v>39.0002</v>
      </c>
      <c r="Y98" s="75">
        <f t="shared" si="19"/>
        <v>5.1173941968169494</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0.72814586389629055</v>
      </c>
      <c r="D100" s="50">
        <f>IF(hist!$D$2&gt;0,hist!B100/hist!$D$2,0)</f>
        <v>2.7810657422116587E-2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0.83656477350977521</v>
      </c>
      <c r="D103" s="50">
        <f>IF(hist!$D$2&gt;0,hist!B103/hist!$D$2,0)</f>
        <v>2.7233783029363353E-2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0.78121613125355527</v>
      </c>
      <c r="D106" s="50">
        <f>IF(hist!$D$2&gt;0,hist!B106/hist!$D$2,0)</f>
        <v>2.5736404867890948E-2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0.92386156103110673</v>
      </c>
      <c r="D108" s="50">
        <f>IF(hist!$D$2&gt;0,hist!B108/hist!$D$2,0)</f>
        <v>2.4735632795015231E-2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0.88665608814107366</v>
      </c>
      <c r="D111" s="50">
        <f>IF(hist!$D$2&gt;0,hist!B111/hist!$D$2,0)</f>
        <v>2.3539242244973776E-2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0.97422532259513184</v>
      </c>
      <c r="D113" s="50">
        <f>IF(hist!$D$2&gt;0,hist!B113/hist!$D$2,0)</f>
        <v>2.2862038648410229E-2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1</v>
      </c>
      <c r="D116" s="50">
        <f>IF(hist!$D$2&gt;0,hist!B116/hist!$D$2,0)</f>
        <v>2.1866281800447956E-2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0.8564144786084249</v>
      </c>
      <c r="D118" s="50">
        <f>IF(hist!$D$2&gt;0,hist!B118/hist!$D$2,0)</f>
        <v>2.018329090609525E-2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0.89349720068261429</v>
      </c>
      <c r="D121" s="50">
        <f>IF(hist!$D$2&gt;0,hist!B121/hist!$D$2,0)</f>
        <v>1.9654073502790456E-2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0.83784317834795363</v>
      </c>
      <c r="D124" s="50">
        <f>IF(hist!$D$2&gt;0,hist!B124/hist!$D$2,0)</f>
        <v>1.8505339942197434E-2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0.78912008622496332</v>
      </c>
      <c r="D126" s="50">
        <f>IF(hist!$D$2&gt;0,hist!B126/hist!$D$2,0)</f>
        <v>1.7226161122771991E-2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0.75735457022244845</v>
      </c>
      <c r="D129" s="50">
        <f>IF(hist!$D$2&gt;0,hist!B129/hist!$D$2,0)</f>
        <v>1.6927693476568487E-2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0.63319062303523854</v>
      </c>
      <c r="D131" s="50">
        <f>IF(hist!$D$2&gt;0,hist!B131/hist!$D$2,0)</f>
        <v>1.484590573220196E-2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0.46544115445645334</v>
      </c>
      <c r="D134" s="50">
        <f>IF(hist!$D$2&gt;0,hist!B134/hist!$D$2,0)</f>
        <v>1.2974806845282957E-2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0.52069997904254361</v>
      </c>
      <c r="D136" s="50">
        <f>IF(hist!$D$2&gt;0,hist!B136/hist!$D$2,0)</f>
        <v>1.2006646087115345E-2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0.51042483757971324</v>
      </c>
      <c r="D139" s="50">
        <f>IF(hist!$D$2&gt;0,hist!B139/hist!$D$2,0)</f>
        <v>1.1442297403875E-2</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0.64082213107391994</v>
      </c>
      <c r="D142" s="50">
        <f>IF(hist!$D$2&gt;0,hist!B142/hist!$D$2,0)</f>
        <v>1.0454075746053617E-2</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0.67905751324810637</v>
      </c>
      <c r="D144" s="50">
        <f>IF(hist!$D$2&gt;0,hist!B144/hist!$D$2,0)</f>
        <v>9.3655248844219177E-3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0.73653483428639865</v>
      </c>
      <c r="D147" s="50">
        <f>IF(hist!$D$2&gt;0,hist!B147/hist!$D$2,0)</f>
        <v>8.6682603882045958E-3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0.76151911619412593</v>
      </c>
      <c r="D149" s="50">
        <f>IF(hist!$D$2&gt;0,hist!B149/hist!$D$2,0)</f>
        <v>7.1307357218831982E-3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0.89553306787221931</v>
      </c>
      <c r="D152" s="50">
        <f>IF(hist!$D$2&gt;0,hist!B152/hist!$D$2,0)</f>
        <v>6.3532029215093346E-3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0.89045537558755716</v>
      </c>
      <c r="D154" s="50">
        <f>IF(hist!$D$2&gt;0,hist!B154/hist!$D$2,0)</f>
        <v>5.0564831676575611E-3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0.88753929523068165</v>
      </c>
      <c r="D157" s="50">
        <f>IF(hist!$D$2&gt;0,hist!B157/hist!$D$2,0)</f>
        <v>3.7973899534273371E-3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0.68683871740367053</v>
      </c>
      <c r="D160" s="50">
        <f>IF(hist!$D$2&gt;0,hist!B160/hist!$D$2,0)</f>
        <v>2.6762277770875325E-3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0.49343432831352352</v>
      </c>
      <c r="D162" s="50">
        <f>IF(hist!$D$2&gt;0,hist!B162/hist!$D$2,0)</f>
        <v>1.9864737654696528E-3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0.37224933385227987</v>
      </c>
      <c r="D165" s="50">
        <f>IF(hist!$D$2&gt;0,hist!B165/hist!$D$2,0)</f>
        <v>1.2716436292845555E-3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0.2311855932457112</v>
      </c>
      <c r="D167" s="50">
        <f>IF(hist!$D$2&gt;0,hist!B167/hist!$D$2,0)</f>
        <v>8.2017456490885668E-4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0.12057752761893356</v>
      </c>
      <c r="D170" s="50">
        <f>IF(hist!$D$2&gt;0,hist!B170/hist!$D$2,0)</f>
        <v>3.4612463565193935E-4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2.6084110658195403E-4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0.10936169575761205</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5.3616957576120471E-2</v>
      </c>
      <c r="D175" s="50">
        <f>IF(hist!$D$2&gt;0,hist!B175/hist!$D$2,0)</f>
        <v>1.2792529360497801E-4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3.1398161731684679E-2</v>
      </c>
      <c r="D178" s="50">
        <f>IF(hist!$D$2&gt;0,hist!B178/hist!$D$2,0)</f>
        <v>6.771788910221026E-5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2.4042573575641449E-2</v>
      </c>
      <c r="D180" s="50">
        <f>IF(hist!$D$2&gt;0,hist!B180/hist!$D$2,0)</f>
        <v>3.5106574394104626E-5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2.3951378701236491E-2</v>
      </c>
      <c r="D183" s="50">
        <f>IF(hist!$D$2&gt;0,hist!B183/hist!$D$2,0)</f>
        <v>3.7626539621549154E-5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7.6899793419358707E-3</v>
      </c>
      <c r="D185" s="50">
        <f>IF(hist!$D$2&gt;0,hist!B185/hist!$D$2,0)</f>
        <v>1.5045674740330553E-5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55.625700000000002</v>
      </c>
      <c r="C5" s="49">
        <v>3.4447000000000001</v>
      </c>
      <c r="D5" s="49">
        <v>6.1926399999999999</v>
      </c>
      <c r="E5" s="49">
        <v>20</v>
      </c>
      <c r="F5" s="49">
        <v>39.389200000000002</v>
      </c>
      <c r="G5" s="49">
        <v>50</v>
      </c>
      <c r="H5" s="49">
        <v>62.450099999999999</v>
      </c>
    </row>
    <row r="6" spans="1:10">
      <c r="A6" t="s">
        <v>1111</v>
      </c>
      <c r="B6" s="49">
        <v>29.511600000000001</v>
      </c>
      <c r="C6" s="49">
        <v>2.7968199999999999</v>
      </c>
      <c r="D6" s="49">
        <v>9.4770000000000003</v>
      </c>
      <c r="E6" s="49">
        <v>20</v>
      </c>
      <c r="F6" s="49">
        <v>21.550799999999999</v>
      </c>
      <c r="G6" s="49">
        <v>40</v>
      </c>
      <c r="H6" s="49">
        <v>31.340699999999998</v>
      </c>
    </row>
    <row r="7" spans="1:10">
      <c r="A7" t="s">
        <v>1112</v>
      </c>
      <c r="B7" s="49">
        <v>31.564800000000002</v>
      </c>
      <c r="C7" s="49">
        <v>3.26708</v>
      </c>
      <c r="D7" s="49">
        <v>10.3504</v>
      </c>
      <c r="E7" s="49">
        <v>15</v>
      </c>
      <c r="F7" s="49">
        <v>24.9312</v>
      </c>
      <c r="G7" s="49">
        <v>40</v>
      </c>
      <c r="H7" s="49">
        <v>43.770299999999999</v>
      </c>
    </row>
    <row r="8" spans="1:10">
      <c r="A8" t="s">
        <v>1113</v>
      </c>
      <c r="B8" s="49">
        <v>38.5593</v>
      </c>
      <c r="C8" s="49">
        <v>2.0805400000000001</v>
      </c>
      <c r="D8" s="49">
        <v>5.3956799999999996</v>
      </c>
      <c r="E8" s="49">
        <v>20</v>
      </c>
      <c r="F8" s="49">
        <v>31.916499999999999</v>
      </c>
      <c r="G8" s="49">
        <v>50</v>
      </c>
      <c r="H8" s="49">
        <v>40.850499999999997</v>
      </c>
    </row>
    <row r="9" spans="1:10">
      <c r="A9" t="s">
        <v>1114</v>
      </c>
      <c r="B9" s="49">
        <v>57.787999999999997</v>
      </c>
      <c r="C9" s="49">
        <v>6.6189299999999998</v>
      </c>
      <c r="D9" s="49">
        <v>11.453799999999999</v>
      </c>
      <c r="E9" s="49">
        <v>50</v>
      </c>
      <c r="F9" s="49">
        <v>41.162500000000001</v>
      </c>
      <c r="G9" s="49">
        <v>100</v>
      </c>
      <c r="H9" s="49">
        <v>68.8339</v>
      </c>
    </row>
    <row r="10" spans="1:10">
      <c r="A10" t="s">
        <v>1115</v>
      </c>
      <c r="B10" s="49">
        <v>79.064499999999995</v>
      </c>
      <c r="C10" s="49">
        <v>2.04576</v>
      </c>
      <c r="D10" s="49">
        <v>2.58745</v>
      </c>
      <c r="E10" s="49">
        <v>40</v>
      </c>
      <c r="F10" s="49">
        <v>74.712299999999999</v>
      </c>
      <c r="G10" s="49">
        <v>100</v>
      </c>
      <c r="H10" s="49">
        <v>83.729600000000005</v>
      </c>
    </row>
    <row r="11" spans="1:10">
      <c r="A11" t="s">
        <v>1116</v>
      </c>
      <c r="B11" s="49">
        <v>27.145499999999998</v>
      </c>
      <c r="C11" s="49">
        <v>4.7211600000000002</v>
      </c>
      <c r="D11" s="49">
        <v>17.392099999999999</v>
      </c>
      <c r="E11" s="49">
        <v>10</v>
      </c>
      <c r="F11" s="49">
        <v>22.236999999999998</v>
      </c>
      <c r="G11" s="49">
        <v>50</v>
      </c>
      <c r="H11" s="49">
        <v>38.649700000000003</v>
      </c>
    </row>
    <row r="12" spans="1:10">
      <c r="A12" t="s">
        <v>1117</v>
      </c>
      <c r="B12" s="49">
        <v>68.372399999999999</v>
      </c>
      <c r="C12" s="49">
        <v>3.7843100000000001</v>
      </c>
      <c r="D12" s="49">
        <v>5.53484</v>
      </c>
      <c r="E12" s="49">
        <v>50</v>
      </c>
      <c r="F12" s="49">
        <v>60.161299999999997</v>
      </c>
      <c r="G12" s="49">
        <v>100</v>
      </c>
      <c r="H12" s="49">
        <v>76.070599999999999</v>
      </c>
    </row>
    <row r="13" spans="1:10">
      <c r="A13" t="s">
        <v>1118</v>
      </c>
      <c r="B13" s="49">
        <v>18.917000000000002</v>
      </c>
      <c r="C13" s="49">
        <v>3.1556999999999999</v>
      </c>
      <c r="D13" s="49">
        <v>16.681799999999999</v>
      </c>
      <c r="E13" s="49">
        <v>10</v>
      </c>
      <c r="F13" s="49">
        <v>14.9787</v>
      </c>
      <c r="G13" s="49">
        <v>25</v>
      </c>
      <c r="H13" s="49">
        <v>30.008400000000002</v>
      </c>
      <c r="J13" s="49"/>
    </row>
    <row r="14" spans="1:10">
      <c r="A14" t="s">
        <v>1119</v>
      </c>
      <c r="B14" s="49">
        <v>31.556999999999999</v>
      </c>
      <c r="C14" s="49">
        <v>11.639900000000001</v>
      </c>
      <c r="D14" s="49">
        <v>36.885300000000001</v>
      </c>
      <c r="E14" s="49">
        <v>10</v>
      </c>
      <c r="F14" s="49">
        <v>3.2107000000000001</v>
      </c>
      <c r="G14" s="49">
        <v>50</v>
      </c>
      <c r="H14" s="49">
        <v>40.993099999999998</v>
      </c>
    </row>
    <row r="15" spans="1:10">
      <c r="A15" t="s">
        <v>1120</v>
      </c>
      <c r="B15" s="49">
        <v>-5.82096E-2</v>
      </c>
      <c r="C15" s="49">
        <v>0</v>
      </c>
      <c r="D15" s="49">
        <v>0</v>
      </c>
      <c r="E15" s="49">
        <v>0</v>
      </c>
      <c r="F15" s="49">
        <v>0</v>
      </c>
      <c r="G15" s="49">
        <v>0</v>
      </c>
      <c r="H15" s="49">
        <v>0</v>
      </c>
    </row>
    <row r="16" spans="1:10">
      <c r="A16" t="s">
        <v>1121</v>
      </c>
      <c r="B16" s="49">
        <v>-0.101205</v>
      </c>
      <c r="C16" s="49">
        <v>0</v>
      </c>
      <c r="D16" s="49">
        <v>0</v>
      </c>
      <c r="E16" s="49">
        <v>0</v>
      </c>
      <c r="F16" s="49">
        <v>0</v>
      </c>
      <c r="G16" s="49">
        <v>0</v>
      </c>
      <c r="H16" s="49">
        <v>0</v>
      </c>
    </row>
    <row r="17" spans="1:8">
      <c r="A17" t="s">
        <v>1122</v>
      </c>
      <c r="B17" s="49">
        <v>12.1951</v>
      </c>
      <c r="C17" s="49">
        <v>0</v>
      </c>
      <c r="D17" s="49">
        <v>0</v>
      </c>
      <c r="E17" s="49">
        <v>0</v>
      </c>
      <c r="F17" s="49">
        <v>0</v>
      </c>
      <c r="G17" s="49">
        <v>0</v>
      </c>
      <c r="H17" s="49">
        <v>0</v>
      </c>
    </row>
    <row r="18" spans="1:8">
      <c r="A18" t="s">
        <v>1123</v>
      </c>
      <c r="B18" s="49">
        <v>0.316832</v>
      </c>
      <c r="C18" s="49">
        <v>0</v>
      </c>
      <c r="D18" s="49">
        <v>0</v>
      </c>
      <c r="E18" s="49">
        <v>0</v>
      </c>
      <c r="F18" s="49">
        <v>0</v>
      </c>
      <c r="G18" s="49">
        <v>0</v>
      </c>
      <c r="H18" s="49">
        <v>0</v>
      </c>
    </row>
    <row r="19" spans="1:8">
      <c r="A19" t="s">
        <v>1124</v>
      </c>
      <c r="B19" s="49">
        <v>0.47092400000000001</v>
      </c>
      <c r="C19" s="49">
        <v>0</v>
      </c>
      <c r="D19" s="49">
        <v>0</v>
      </c>
      <c r="E19" s="49">
        <v>0</v>
      </c>
      <c r="F19" s="49">
        <v>0</v>
      </c>
      <c r="G19" s="49">
        <v>0</v>
      </c>
      <c r="H19" s="49">
        <v>0</v>
      </c>
    </row>
    <row r="20" spans="1:8">
      <c r="A20" t="s">
        <v>1125</v>
      </c>
      <c r="B20" s="49">
        <v>3.17462E-3</v>
      </c>
      <c r="C20" s="49">
        <v>5.1801100000000003E-2</v>
      </c>
      <c r="D20" s="49">
        <v>16.3172</v>
      </c>
      <c r="E20" s="49">
        <v>0</v>
      </c>
      <c r="F20" s="49">
        <v>0</v>
      </c>
      <c r="G20" s="49">
        <v>0</v>
      </c>
      <c r="H20" s="49">
        <v>1.2006300000000001</v>
      </c>
    </row>
    <row r="21" spans="1:8">
      <c r="A21" t="s">
        <v>1126</v>
      </c>
      <c r="B21" s="49">
        <v>0.135961</v>
      </c>
      <c r="C21" s="49">
        <v>0.2039</v>
      </c>
      <c r="D21" s="49">
        <v>1.4997</v>
      </c>
      <c r="E21" s="49">
        <v>0</v>
      </c>
      <c r="F21" s="49">
        <v>5.8795400000000002E-4</v>
      </c>
      <c r="G21" s="49">
        <v>0</v>
      </c>
      <c r="H21" s="49">
        <v>1.8678999999999999</v>
      </c>
    </row>
    <row r="22" spans="1:8">
      <c r="A22" t="s">
        <v>1127</v>
      </c>
      <c r="B22" s="49">
        <v>50.286499999999997</v>
      </c>
      <c r="C22" s="49">
        <v>13.872</v>
      </c>
      <c r="D22" s="49">
        <v>0.27585900000000002</v>
      </c>
      <c r="E22" s="49">
        <v>0</v>
      </c>
      <c r="F22" s="49">
        <v>20.304200000000002</v>
      </c>
      <c r="G22" s="49">
        <v>0</v>
      </c>
      <c r="H22" s="49">
        <v>93.767200000000003</v>
      </c>
    </row>
    <row r="23" spans="1:8">
      <c r="A23" t="s">
        <v>1128</v>
      </c>
      <c r="B23" s="49">
        <v>23.9467</v>
      </c>
      <c r="C23" s="49">
        <v>4.2508299999999997</v>
      </c>
      <c r="D23" s="49">
        <v>0.177512</v>
      </c>
      <c r="E23" s="49">
        <v>0</v>
      </c>
      <c r="F23" s="49">
        <v>20.128</v>
      </c>
      <c r="G23" s="49">
        <v>0</v>
      </c>
      <c r="H23" s="49">
        <v>38.698999999999998</v>
      </c>
    </row>
    <row r="24" spans="1:8">
      <c r="A24" t="s">
        <v>1129</v>
      </c>
      <c r="B24" s="49">
        <v>9.2889300000000008E-3</v>
      </c>
      <c r="C24" s="49">
        <v>2.9534700000000001E-2</v>
      </c>
      <c r="D24" s="49">
        <v>3.1795599999999999</v>
      </c>
      <c r="E24" s="49">
        <v>0</v>
      </c>
      <c r="F24" s="173">
        <v>7.0884399999999995E-5</v>
      </c>
      <c r="G24" s="49">
        <v>0</v>
      </c>
      <c r="H24" s="49">
        <v>0.31323499999999999</v>
      </c>
    </row>
    <row r="25" spans="1:8">
      <c r="A25" t="s">
        <v>1130</v>
      </c>
      <c r="B25" s="49">
        <v>0.18964</v>
      </c>
      <c r="C25" s="49">
        <v>9.0139499999999997E-2</v>
      </c>
      <c r="D25" s="49">
        <v>0.47532000000000002</v>
      </c>
      <c r="E25" s="49">
        <v>0</v>
      </c>
      <c r="F25" s="49">
        <v>3.4004300000000001E-2</v>
      </c>
      <c r="G25" s="49">
        <v>0</v>
      </c>
      <c r="H25" s="49">
        <v>0.51898999999999995</v>
      </c>
    </row>
    <row r="26" spans="1:8">
      <c r="A26" t="s">
        <v>1131</v>
      </c>
      <c r="B26" s="49">
        <v>9.5522599999999999E-4</v>
      </c>
      <c r="C26" s="49">
        <v>4.6166699999999998E-3</v>
      </c>
      <c r="D26" s="49">
        <v>4.8330700000000002</v>
      </c>
      <c r="E26" s="49">
        <v>0</v>
      </c>
      <c r="F26" s="173">
        <v>0</v>
      </c>
      <c r="G26" s="49">
        <v>0</v>
      </c>
      <c r="H26" s="49">
        <v>0.100496</v>
      </c>
    </row>
    <row r="27" spans="1:8">
      <c r="A27" t="s">
        <v>1132</v>
      </c>
      <c r="B27" s="173">
        <v>-1.9695400000000001E-5</v>
      </c>
      <c r="C27" s="49">
        <v>4.1329499999999998E-3</v>
      </c>
      <c r="D27" s="49">
        <v>-209.84399999999999</v>
      </c>
      <c r="E27" s="49">
        <v>0</v>
      </c>
      <c r="F27" s="49">
        <v>-6.6534300000000005E-2</v>
      </c>
      <c r="G27" s="49">
        <v>0</v>
      </c>
      <c r="H27" s="49">
        <v>6.3071199999999994E-2</v>
      </c>
    </row>
    <row r="28" spans="1:8">
      <c r="A28" t="s">
        <v>1133</v>
      </c>
      <c r="B28" s="49">
        <v>1.4807900000000001E-2</v>
      </c>
      <c r="C28" s="49">
        <v>1.63091E-2</v>
      </c>
      <c r="D28" s="49">
        <v>1.10138</v>
      </c>
      <c r="E28" s="49">
        <v>0</v>
      </c>
      <c r="F28" s="49">
        <v>2.70182E-4</v>
      </c>
      <c r="G28" s="49">
        <v>0</v>
      </c>
      <c r="H28" s="49">
        <v>0.12959599999999999</v>
      </c>
    </row>
    <row r="29" spans="1:8">
      <c r="A29" t="s">
        <v>1134</v>
      </c>
      <c r="B29" s="49">
        <v>80.577299999999994</v>
      </c>
      <c r="C29" s="49">
        <v>9.8594899999999992</v>
      </c>
      <c r="D29" s="49">
        <v>0.122361</v>
      </c>
      <c r="E29" s="49">
        <v>0</v>
      </c>
      <c r="F29" s="49">
        <v>47.8489</v>
      </c>
      <c r="G29" s="49">
        <v>0</v>
      </c>
      <c r="H29" s="49">
        <v>102.116</v>
      </c>
    </row>
    <row r="30" spans="1:8">
      <c r="A30" t="s">
        <v>1135</v>
      </c>
      <c r="B30" s="49">
        <v>29.438300000000002</v>
      </c>
      <c r="C30" s="49">
        <v>3.43174</v>
      </c>
      <c r="D30" s="49">
        <v>0.116574</v>
      </c>
      <c r="E30" s="49">
        <v>0</v>
      </c>
      <c r="F30" s="49">
        <v>25.832000000000001</v>
      </c>
      <c r="G30" s="49">
        <v>0</v>
      </c>
      <c r="H30" s="49">
        <v>38.552700000000002</v>
      </c>
    </row>
    <row r="31" spans="1:8">
      <c r="A31" t="s">
        <v>1136</v>
      </c>
      <c r="B31" s="49">
        <v>356.23399999999998</v>
      </c>
      <c r="C31" s="49">
        <v>33.404499999999999</v>
      </c>
      <c r="D31" s="49">
        <v>9.3771099999999996E-2</v>
      </c>
      <c r="E31" s="49">
        <v>0</v>
      </c>
      <c r="F31" s="49">
        <v>281.95400000000001</v>
      </c>
      <c r="G31" s="49">
        <v>0</v>
      </c>
      <c r="H31" s="49">
        <v>417.07299999999998</v>
      </c>
    </row>
    <row r="32" spans="1:8">
      <c r="A32" t="s">
        <v>1137</v>
      </c>
      <c r="B32" s="49">
        <v>0.31564799999999998</v>
      </c>
      <c r="C32" s="49">
        <v>3.26708E-2</v>
      </c>
      <c r="D32" s="49">
        <v>0.103504</v>
      </c>
      <c r="E32" s="49">
        <v>0.15</v>
      </c>
      <c r="F32" s="49">
        <v>0.24931200000000001</v>
      </c>
      <c r="G32" s="49">
        <v>0.4</v>
      </c>
      <c r="H32" s="49">
        <v>0.43770300000000001</v>
      </c>
    </row>
    <row r="33" spans="1:8">
      <c r="A33" t="s">
        <v>1138</v>
      </c>
      <c r="B33" s="49">
        <v>0.36089500000000002</v>
      </c>
      <c r="C33" s="49">
        <v>5.4458399999999997E-2</v>
      </c>
      <c r="D33" s="49">
        <v>0.150898</v>
      </c>
      <c r="E33" s="49">
        <v>0</v>
      </c>
      <c r="F33" s="49">
        <v>0.24812600000000001</v>
      </c>
      <c r="G33" s="49">
        <v>0</v>
      </c>
      <c r="H33" s="49">
        <v>0.47579100000000002</v>
      </c>
    </row>
    <row r="34" spans="1:8">
      <c r="A34" t="s">
        <v>1139</v>
      </c>
      <c r="B34" s="49">
        <v>0.18917</v>
      </c>
      <c r="C34" s="49">
        <v>3.1557000000000002E-2</v>
      </c>
      <c r="D34" s="49">
        <v>0.16681799999999999</v>
      </c>
      <c r="E34" s="49">
        <v>0.1</v>
      </c>
      <c r="F34" s="49">
        <v>0.149787</v>
      </c>
      <c r="G34" s="49">
        <v>0.25</v>
      </c>
      <c r="H34" s="49">
        <v>0.30008400000000002</v>
      </c>
    </row>
    <row r="35" spans="1:8">
      <c r="A35" t="s">
        <v>1140</v>
      </c>
      <c r="B35" s="49">
        <v>8.0974500000000005E-2</v>
      </c>
      <c r="C35" s="49">
        <v>2.2979300000000001E-2</v>
      </c>
      <c r="D35" s="49">
        <v>0.28378399999999998</v>
      </c>
      <c r="E35" s="49">
        <v>0</v>
      </c>
      <c r="F35" s="49">
        <v>4.0485399999999998E-2</v>
      </c>
      <c r="G35" s="49">
        <v>0</v>
      </c>
      <c r="H35" s="49">
        <v>0.14801800000000001</v>
      </c>
    </row>
    <row r="36" spans="1:8">
      <c r="A36" t="s">
        <v>1141</v>
      </c>
      <c r="B36" s="49">
        <v>0.165936</v>
      </c>
      <c r="C36" s="49">
        <v>9.25758E-2</v>
      </c>
      <c r="D36" s="49">
        <v>0.55789999999999995</v>
      </c>
      <c r="E36" s="49">
        <v>0</v>
      </c>
      <c r="F36" s="49">
        <v>3.6120600000000003E-2</v>
      </c>
      <c r="G36" s="49">
        <v>0</v>
      </c>
      <c r="H36" s="49">
        <v>0.56848699999999996</v>
      </c>
    </row>
    <row r="37" spans="1:8">
      <c r="A37" t="s">
        <v>1142</v>
      </c>
      <c r="B37" s="49">
        <v>0.31557000000000002</v>
      </c>
      <c r="C37" s="49">
        <v>0.116399</v>
      </c>
      <c r="D37" s="49">
        <v>0.36885299999999999</v>
      </c>
      <c r="E37" s="49">
        <v>0.1</v>
      </c>
      <c r="F37" s="49">
        <v>3.2106999999999997E-2</v>
      </c>
      <c r="G37" s="49">
        <v>0.5</v>
      </c>
      <c r="H37" s="49">
        <v>0.40993099999999999</v>
      </c>
    </row>
    <row r="38" spans="1:8">
      <c r="A38" t="s">
        <v>1143</v>
      </c>
      <c r="B38" s="49">
        <v>-6.8520300000000001</v>
      </c>
      <c r="C38" s="49">
        <v>23.079499999999999</v>
      </c>
      <c r="D38" s="49">
        <v>-3.3682699999999999</v>
      </c>
      <c r="E38" s="49">
        <v>0</v>
      </c>
      <c r="F38" s="49">
        <v>-79.021299999999997</v>
      </c>
      <c r="G38" s="49">
        <v>0</v>
      </c>
      <c r="H38" s="49">
        <v>116.19199999999999</v>
      </c>
    </row>
    <row r="39" spans="1:8">
      <c r="A39" t="s">
        <v>1144</v>
      </c>
      <c r="B39" s="49">
        <v>-3.2156099999999999</v>
      </c>
      <c r="C39" s="49">
        <v>2.2694000000000001</v>
      </c>
      <c r="D39" s="49">
        <v>-0.70574400000000004</v>
      </c>
      <c r="E39" s="49">
        <v>0</v>
      </c>
      <c r="F39" s="49">
        <v>-8.5443300000000004</v>
      </c>
      <c r="G39" s="49">
        <v>0</v>
      </c>
      <c r="H39" s="49">
        <v>2.9757199999999999</v>
      </c>
    </row>
    <row r="40" spans="1:8">
      <c r="A40" t="s">
        <v>1145</v>
      </c>
      <c r="B40" s="49">
        <v>-2.1857700000000002</v>
      </c>
      <c r="C40" s="49">
        <v>0.85987499999999994</v>
      </c>
      <c r="D40" s="49">
        <v>-0.39339600000000002</v>
      </c>
      <c r="E40" s="49">
        <v>0</v>
      </c>
      <c r="F40" s="49">
        <v>-4.7937500000000002</v>
      </c>
      <c r="G40" s="49">
        <v>0</v>
      </c>
      <c r="H40" s="49">
        <v>-1.67431</v>
      </c>
    </row>
    <row r="41" spans="1:8">
      <c r="A41" t="s">
        <v>1146</v>
      </c>
      <c r="B41" s="49">
        <v>-6.2901200000000004E-2</v>
      </c>
      <c r="C41" s="49">
        <v>0.18227299999999999</v>
      </c>
      <c r="D41" s="49">
        <v>-2.8977599999999999</v>
      </c>
      <c r="E41" s="49">
        <v>0</v>
      </c>
      <c r="F41" s="49">
        <v>-0.69343100000000002</v>
      </c>
      <c r="G41" s="49">
        <v>0</v>
      </c>
      <c r="H41" s="49">
        <v>1</v>
      </c>
    </row>
    <row r="42" spans="1:8">
      <c r="A42" t="s">
        <v>1147</v>
      </c>
      <c r="B42" s="49">
        <v>-0.11584700000000001</v>
      </c>
      <c r="C42" s="49">
        <v>4.2801199999999998E-2</v>
      </c>
      <c r="D42" s="49">
        <v>-0.36946400000000001</v>
      </c>
      <c r="E42" s="49">
        <v>0</v>
      </c>
      <c r="F42" s="49">
        <v>-0.20585700000000001</v>
      </c>
      <c r="G42" s="49">
        <v>0</v>
      </c>
      <c r="H42" s="49">
        <v>3.3609899999999998E-2</v>
      </c>
    </row>
    <row r="43" spans="1:8">
      <c r="A43" t="s">
        <v>1148</v>
      </c>
      <c r="B43" s="49">
        <v>-0.124168</v>
      </c>
      <c r="C43" s="49">
        <v>4.1912199999999997E-2</v>
      </c>
      <c r="D43" s="49">
        <v>-0.33754299999999998</v>
      </c>
      <c r="E43" s="49">
        <v>0</v>
      </c>
      <c r="F43" s="49">
        <v>-0.16541</v>
      </c>
      <c r="G43" s="49">
        <v>0</v>
      </c>
      <c r="H43" s="49">
        <v>-9.1232899999999992E-3</v>
      </c>
    </row>
    <row r="44" spans="1:8">
      <c r="A44" t="s">
        <v>1149</v>
      </c>
      <c r="B44" s="49">
        <v>24.395099999999999</v>
      </c>
      <c r="C44" s="49">
        <v>15.9754</v>
      </c>
      <c r="D44" s="49">
        <v>0.65486200000000006</v>
      </c>
      <c r="E44" s="49">
        <v>0</v>
      </c>
      <c r="F44" s="49">
        <v>-7.9363700000000001</v>
      </c>
      <c r="G44" s="49">
        <v>0</v>
      </c>
      <c r="H44" s="49">
        <v>47.258000000000003</v>
      </c>
    </row>
    <row r="45" spans="1:8">
      <c r="A45" t="s">
        <v>1150</v>
      </c>
      <c r="B45" s="49">
        <v>60.348999999999997</v>
      </c>
      <c r="C45" s="49">
        <v>7.5804299999999998</v>
      </c>
      <c r="D45" s="49">
        <v>0.12561</v>
      </c>
      <c r="E45" s="49">
        <v>0</v>
      </c>
      <c r="F45" s="49">
        <v>41.593800000000002</v>
      </c>
      <c r="G45" s="49">
        <v>0</v>
      </c>
      <c r="H45" s="49">
        <v>78.050200000000004</v>
      </c>
    </row>
    <row r="46" spans="1:8">
      <c r="A46" t="s">
        <v>1151</v>
      </c>
      <c r="B46" s="49">
        <v>40.569299999999998</v>
      </c>
      <c r="C46" s="49">
        <v>2.2503099999999998</v>
      </c>
      <c r="D46" s="49">
        <v>5.5468499999999997E-2</v>
      </c>
      <c r="E46" s="49">
        <v>0</v>
      </c>
      <c r="F46" s="49">
        <v>33.814399999999999</v>
      </c>
      <c r="G46" s="49">
        <v>0</v>
      </c>
      <c r="H46" s="49">
        <v>44.267299999999999</v>
      </c>
    </row>
    <row r="47" spans="1:8">
      <c r="A47" t="s">
        <v>1152</v>
      </c>
      <c r="B47" s="49">
        <v>0.98212600000000005</v>
      </c>
      <c r="C47" s="49">
        <v>0.38683499999999998</v>
      </c>
      <c r="D47" s="49">
        <v>0.39387499999999998</v>
      </c>
      <c r="E47" s="49">
        <v>0</v>
      </c>
      <c r="F47" s="49">
        <v>0.39990599999999998</v>
      </c>
      <c r="G47" s="49">
        <v>0</v>
      </c>
      <c r="H47" s="49">
        <v>2.5363099999999998</v>
      </c>
    </row>
    <row r="48" spans="1:8">
      <c r="A48" t="s">
        <v>1153</v>
      </c>
      <c r="B48" s="49">
        <v>0.95028800000000002</v>
      </c>
      <c r="C48" s="49">
        <v>0.18417500000000001</v>
      </c>
      <c r="D48" s="49">
        <v>0.19381000000000001</v>
      </c>
      <c r="E48" s="49">
        <v>0</v>
      </c>
      <c r="F48" s="49">
        <v>0.82130599999999998</v>
      </c>
      <c r="G48" s="49">
        <v>0</v>
      </c>
      <c r="H48" s="49">
        <v>1.44913</v>
      </c>
    </row>
    <row r="50" spans="1:4">
      <c r="A50" t="str">
        <f>lang!B7</f>
        <v>긍정감정</v>
      </c>
      <c r="B50" s="134">
        <f>SUM(B9:B12)</f>
        <v>232.37039999999999</v>
      </c>
      <c r="C50" s="134"/>
      <c r="D50" s="134">
        <f t="shared" ref="D50" si="0">SUM(D9:D12)</f>
        <v>36.96819</v>
      </c>
    </row>
    <row r="51" spans="1:4">
      <c r="A51" t="str">
        <f>lang!B8</f>
        <v>부정감정</v>
      </c>
      <c r="B51" s="134">
        <f>SUM(B5:B8)</f>
        <v>155.26140000000001</v>
      </c>
      <c r="C51" s="134"/>
      <c r="D51" s="134">
        <f t="shared" ref="D51" si="1">SUM(D5:D8)</f>
        <v>31.41572</v>
      </c>
    </row>
    <row r="52" spans="1:4">
      <c r="A52" t="str">
        <f>lang!B9</f>
        <v>생리감정</v>
      </c>
      <c r="B52" s="134">
        <f>SUM(B13:B14)</f>
        <v>50.474000000000004</v>
      </c>
      <c r="C52" s="134"/>
      <c r="D52" s="134">
        <f t="shared" ref="D52" si="2">SUM(D13:D14)</f>
        <v>53.567099999999996</v>
      </c>
    </row>
    <row r="53" spans="1:4">
      <c r="B53" s="50">
        <f>SUM(B50:B52)</f>
        <v>438.10579999999999</v>
      </c>
      <c r="D53" s="50">
        <f>SUM(D50:D52)</f>
        <v>121.95101</v>
      </c>
    </row>
    <row r="54" spans="1:4">
      <c r="A54" t="str">
        <f>lang!B7</f>
        <v>긍정감정</v>
      </c>
      <c r="B54" s="135">
        <f>IF(B$53&lt;&gt;0,B50/B$53,0)</f>
        <v>0.53039790845042456</v>
      </c>
      <c r="C54" s="135"/>
      <c r="D54" s="135">
        <f>IF(D$53&lt;&gt;0,D50/D$53,0)</f>
        <v>0.30313967879396819</v>
      </c>
    </row>
    <row r="55" spans="1:4">
      <c r="A55" t="str">
        <f>lang!B8</f>
        <v>부정감정</v>
      </c>
      <c r="B55" s="135">
        <f>IF(B$53&lt;&gt;0,B51/B$53,0)</f>
        <v>0.35439247779874178</v>
      </c>
      <c r="C55" s="135"/>
      <c r="D55" s="135">
        <f>IF(D$53&lt;&gt;0,D51/D$53,0)</f>
        <v>0.25760934657285744</v>
      </c>
    </row>
    <row r="56" spans="1:4">
      <c r="A56" t="str">
        <f>lang!B9</f>
        <v>생리감정</v>
      </c>
      <c r="B56" s="135">
        <f>IF(B$53&lt;&gt;0,B52/B$53,0)</f>
        <v>0.11520961375083372</v>
      </c>
      <c r="C56" s="135"/>
      <c r="D56" s="135">
        <f>IF(D$53&lt;&gt;0,D52/D$53,0)</f>
        <v>0.43925097463317442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3.3401000000000001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6.5786800000000006E-2</v>
      </c>
      <c r="B8" s="49">
        <v>6.5786800000000006E-2</v>
      </c>
    </row>
    <row r="9" spans="1:3">
      <c r="A9" s="49">
        <v>0</v>
      </c>
      <c r="B9" s="49">
        <v>0</v>
      </c>
    </row>
    <row r="10" spans="1:3">
      <c r="A10" s="49">
        <v>0.16487299999999999</v>
      </c>
      <c r="B10" s="49">
        <v>0.16487299999999999</v>
      </c>
    </row>
    <row r="11" spans="1:3">
      <c r="A11" s="49">
        <v>0</v>
      </c>
      <c r="B11" s="49">
        <v>0</v>
      </c>
    </row>
    <row r="12" spans="1:3">
      <c r="A12" s="49">
        <v>0</v>
      </c>
      <c r="B12" s="49">
        <v>0</v>
      </c>
    </row>
    <row r="13" spans="1:3">
      <c r="A13" s="49">
        <v>0.11512699999999999</v>
      </c>
      <c r="B13" s="49">
        <v>0.11512699999999999</v>
      </c>
    </row>
    <row r="14" spans="1:3">
      <c r="A14" s="49">
        <v>0</v>
      </c>
      <c r="B14" s="49">
        <v>0</v>
      </c>
    </row>
    <row r="15" spans="1:3">
      <c r="A15" s="49">
        <v>0.28771600000000003</v>
      </c>
      <c r="B15" s="49">
        <v>0.28771600000000003</v>
      </c>
    </row>
    <row r="16" spans="1:3">
      <c r="A16" s="49">
        <v>0</v>
      </c>
      <c r="B16" s="49">
        <v>0</v>
      </c>
    </row>
    <row r="17" spans="1:2">
      <c r="A17" s="49">
        <v>0</v>
      </c>
      <c r="B17" s="49">
        <v>0</v>
      </c>
    </row>
    <row r="18" spans="1:2">
      <c r="A18" s="49">
        <v>0.35695399999999999</v>
      </c>
      <c r="B18" s="49">
        <v>0.35695399999999999</v>
      </c>
    </row>
    <row r="19" spans="1:2">
      <c r="A19" s="49">
        <v>0</v>
      </c>
      <c r="B19" s="49">
        <v>0</v>
      </c>
    </row>
    <row r="20" spans="1:2">
      <c r="A20" s="49">
        <v>0</v>
      </c>
      <c r="B20" s="49">
        <v>0</v>
      </c>
    </row>
    <row r="21" spans="1:2">
      <c r="A21" s="49">
        <v>0.39086300000000002</v>
      </c>
      <c r="B21" s="49">
        <v>0.39086300000000002</v>
      </c>
    </row>
    <row r="22" spans="1:2">
      <c r="A22" s="49">
        <v>0</v>
      </c>
      <c r="B22" s="49">
        <v>0</v>
      </c>
    </row>
    <row r="23" spans="1:2">
      <c r="A23" s="49">
        <v>0.48284300000000002</v>
      </c>
      <c r="B23" s="49">
        <v>0.48284300000000002</v>
      </c>
    </row>
    <row r="24" spans="1:2">
      <c r="A24" s="49">
        <v>0</v>
      </c>
      <c r="B24" s="49">
        <v>0</v>
      </c>
    </row>
    <row r="25" spans="1:2">
      <c r="A25" s="49">
        <v>0</v>
      </c>
      <c r="B25" s="49">
        <v>0</v>
      </c>
    </row>
    <row r="26" spans="1:2">
      <c r="A26" s="49">
        <v>0.59279199999999999</v>
      </c>
      <c r="B26" s="49">
        <v>0.59279199999999999</v>
      </c>
    </row>
    <row r="27" spans="1:2">
      <c r="A27" s="49">
        <v>0</v>
      </c>
      <c r="B27" s="49">
        <v>0</v>
      </c>
    </row>
    <row r="28" spans="1:2">
      <c r="A28" s="49">
        <v>0.49370599999999998</v>
      </c>
      <c r="B28" s="49">
        <v>0.49370599999999998</v>
      </c>
    </row>
    <row r="29" spans="1:2">
      <c r="A29" s="49">
        <v>0</v>
      </c>
      <c r="B29" s="49">
        <v>0</v>
      </c>
    </row>
    <row r="30" spans="1:2">
      <c r="A30" s="49">
        <v>0</v>
      </c>
      <c r="B30" s="49">
        <v>0</v>
      </c>
    </row>
    <row r="31" spans="1:2">
      <c r="A31" s="49">
        <v>0.44375599999999998</v>
      </c>
      <c r="B31" s="49">
        <v>0.44375599999999998</v>
      </c>
    </row>
    <row r="32" spans="1:2">
      <c r="A32" s="49">
        <v>0</v>
      </c>
      <c r="B32" s="49">
        <v>0</v>
      </c>
    </row>
    <row r="33" spans="1:2">
      <c r="A33" s="49">
        <v>0.46040599999999998</v>
      </c>
      <c r="B33" s="49">
        <v>0.46040599999999998</v>
      </c>
    </row>
    <row r="34" spans="1:2">
      <c r="A34" s="49">
        <v>0</v>
      </c>
      <c r="B34" s="49">
        <v>0</v>
      </c>
    </row>
    <row r="35" spans="1:2">
      <c r="A35" s="49">
        <v>0</v>
      </c>
      <c r="B35" s="49">
        <v>0</v>
      </c>
    </row>
    <row r="36" spans="1:2">
      <c r="A36" s="49">
        <v>0.50192899999999996</v>
      </c>
      <c r="B36" s="49">
        <v>0.50192899999999996</v>
      </c>
    </row>
    <row r="37" spans="1:2">
      <c r="A37" s="49">
        <v>0</v>
      </c>
      <c r="B37" s="49">
        <v>0</v>
      </c>
    </row>
    <row r="38" spans="1:2">
      <c r="A38" s="49">
        <v>0</v>
      </c>
      <c r="B38" s="49">
        <v>0</v>
      </c>
    </row>
    <row r="39" spans="1:2">
      <c r="A39" s="49">
        <v>0.54020299999999999</v>
      </c>
      <c r="B39" s="49">
        <v>0.54020299999999999</v>
      </c>
    </row>
    <row r="40" spans="1:2">
      <c r="A40" s="49">
        <v>0</v>
      </c>
      <c r="B40" s="49">
        <v>0</v>
      </c>
    </row>
    <row r="41" spans="1:2">
      <c r="A41" s="49">
        <v>0.69786800000000004</v>
      </c>
      <c r="B41" s="49">
        <v>0.69786800000000004</v>
      </c>
    </row>
    <row r="42" spans="1:2">
      <c r="A42" s="49">
        <v>0</v>
      </c>
      <c r="B42" s="49">
        <v>0</v>
      </c>
    </row>
    <row r="43" spans="1:2">
      <c r="A43" s="49">
        <v>0</v>
      </c>
      <c r="B43" s="49">
        <v>0</v>
      </c>
    </row>
    <row r="44" spans="1:2">
      <c r="A44" s="49">
        <v>0.70933999999999997</v>
      </c>
      <c r="B44" s="49">
        <v>0.70933999999999997</v>
      </c>
    </row>
    <row r="45" spans="1:2">
      <c r="A45" s="49">
        <v>0</v>
      </c>
      <c r="B45" s="49">
        <v>0</v>
      </c>
    </row>
    <row r="46" spans="1:2">
      <c r="A46" s="49">
        <v>1.0081199999999999</v>
      </c>
      <c r="B46" s="49">
        <v>1.0081199999999999</v>
      </c>
    </row>
    <row r="47" spans="1:2">
      <c r="A47" s="49">
        <v>0</v>
      </c>
      <c r="B47" s="49">
        <v>0</v>
      </c>
    </row>
    <row r="48" spans="1:2">
      <c r="A48" s="49">
        <v>0</v>
      </c>
      <c r="B48" s="49">
        <v>0</v>
      </c>
    </row>
    <row r="49" spans="1:2">
      <c r="A49" s="49">
        <v>1.3121799999999999</v>
      </c>
      <c r="B49" s="49">
        <v>1.3121799999999999</v>
      </c>
    </row>
    <row r="50" spans="1:2">
      <c r="A50" s="49">
        <v>0</v>
      </c>
      <c r="B50" s="49">
        <v>0</v>
      </c>
    </row>
    <row r="51" spans="1:2">
      <c r="A51" s="49">
        <v>1.50457</v>
      </c>
      <c r="B51" s="49">
        <v>1.50457</v>
      </c>
    </row>
    <row r="52" spans="1:2">
      <c r="A52" s="49">
        <v>0</v>
      </c>
      <c r="B52" s="49">
        <v>0</v>
      </c>
    </row>
    <row r="53" spans="1:2">
      <c r="A53" s="49">
        <v>0</v>
      </c>
      <c r="B53" s="49">
        <v>0</v>
      </c>
    </row>
    <row r="54" spans="1:2">
      <c r="A54" s="49">
        <v>1.6860900000000001</v>
      </c>
      <c r="B54" s="49">
        <v>1.6860900000000001</v>
      </c>
    </row>
    <row r="55" spans="1:2">
      <c r="A55" s="49">
        <v>0</v>
      </c>
      <c r="B55" s="49">
        <v>0</v>
      </c>
    </row>
    <row r="56" spans="1:2">
      <c r="A56" s="49">
        <v>0</v>
      </c>
      <c r="B56" s="49">
        <v>0</v>
      </c>
    </row>
    <row r="57" spans="1:2">
      <c r="A57" s="49">
        <v>2.0531000000000001</v>
      </c>
      <c r="B57" s="49">
        <v>2.0531000000000001</v>
      </c>
    </row>
    <row r="58" spans="1:2">
      <c r="A58" s="49">
        <v>0</v>
      </c>
      <c r="B58" s="49">
        <v>0</v>
      </c>
    </row>
    <row r="59" spans="1:2">
      <c r="A59" s="49">
        <v>2.2677200000000002</v>
      </c>
      <c r="B59" s="49">
        <v>2.2677200000000002</v>
      </c>
    </row>
    <row r="60" spans="1:2">
      <c r="A60" s="49">
        <v>0</v>
      </c>
      <c r="B60" s="49">
        <v>0</v>
      </c>
    </row>
    <row r="61" spans="1:2">
      <c r="A61" s="49">
        <v>0</v>
      </c>
      <c r="B61" s="49">
        <v>0</v>
      </c>
    </row>
    <row r="62" spans="1:2">
      <c r="A62" s="49">
        <v>2.1791900000000002</v>
      </c>
      <c r="B62" s="49">
        <v>2.1791900000000002</v>
      </c>
    </row>
    <row r="63" spans="1:2">
      <c r="A63" s="49">
        <v>0</v>
      </c>
      <c r="B63" s="49">
        <v>0</v>
      </c>
    </row>
    <row r="64" spans="1:2">
      <c r="A64" s="49">
        <v>2.3921800000000002</v>
      </c>
      <c r="B64" s="49">
        <v>2.3921800000000002</v>
      </c>
    </row>
    <row r="65" spans="1:2">
      <c r="A65" s="49">
        <v>0</v>
      </c>
      <c r="B65" s="49">
        <v>0</v>
      </c>
    </row>
    <row r="66" spans="1:2">
      <c r="A66" s="49">
        <v>0</v>
      </c>
      <c r="B66" s="49">
        <v>0</v>
      </c>
    </row>
    <row r="67" spans="1:2">
      <c r="A67" s="49">
        <v>2.48264</v>
      </c>
      <c r="B67" s="49">
        <v>2.48264</v>
      </c>
    </row>
    <row r="68" spans="1:2">
      <c r="A68" s="49">
        <v>0</v>
      </c>
      <c r="B68" s="49">
        <v>0</v>
      </c>
    </row>
    <row r="69" spans="1:2">
      <c r="A69" s="49">
        <v>2.3625400000000001</v>
      </c>
      <c r="B69" s="49">
        <v>2.3625400000000001</v>
      </c>
    </row>
    <row r="70" spans="1:2">
      <c r="A70" s="49">
        <v>0</v>
      </c>
      <c r="B70" s="49">
        <v>0</v>
      </c>
    </row>
    <row r="71" spans="1:2">
      <c r="A71" s="49">
        <v>0</v>
      </c>
      <c r="B71" s="49">
        <v>0</v>
      </c>
    </row>
    <row r="72" spans="1:2">
      <c r="A72" s="49">
        <v>2.1490399999999998</v>
      </c>
      <c r="B72" s="49">
        <v>2.1490399999999998</v>
      </c>
    </row>
    <row r="73" spans="1:2">
      <c r="A73" s="49">
        <v>0</v>
      </c>
      <c r="B73" s="49">
        <v>0</v>
      </c>
    </row>
    <row r="74" spans="1:2">
      <c r="A74" s="49">
        <v>0</v>
      </c>
      <c r="B74" s="49">
        <v>0</v>
      </c>
    </row>
    <row r="75" spans="1:2">
      <c r="A75" s="49">
        <v>2.49898</v>
      </c>
      <c r="B75" s="49">
        <v>2.49898</v>
      </c>
    </row>
    <row r="76" spans="1:2">
      <c r="A76" s="49">
        <v>0</v>
      </c>
      <c r="B76" s="49">
        <v>0</v>
      </c>
    </row>
    <row r="77" spans="1:2">
      <c r="A77" s="49">
        <v>2.2783799999999998</v>
      </c>
      <c r="B77" s="49">
        <v>2.2783799999999998</v>
      </c>
    </row>
    <row r="78" spans="1:2">
      <c r="A78" s="49">
        <v>0</v>
      </c>
      <c r="B78" s="49">
        <v>0</v>
      </c>
    </row>
    <row r="79" spans="1:2">
      <c r="A79" s="49">
        <v>0</v>
      </c>
      <c r="B79" s="49">
        <v>0</v>
      </c>
    </row>
    <row r="80" spans="1:2">
      <c r="A80" s="49">
        <v>2.3934000000000002</v>
      </c>
      <c r="B80" s="49">
        <v>2.3934000000000002</v>
      </c>
    </row>
    <row r="81" spans="1:2">
      <c r="A81" s="49">
        <v>0</v>
      </c>
      <c r="B81" s="49">
        <v>0</v>
      </c>
    </row>
    <row r="82" spans="1:2">
      <c r="A82" s="49">
        <v>2.0733000000000001</v>
      </c>
      <c r="B82" s="49">
        <v>2.0733000000000001</v>
      </c>
    </row>
    <row r="83" spans="1:2">
      <c r="A83" s="49">
        <v>0</v>
      </c>
      <c r="B83" s="49">
        <v>0</v>
      </c>
    </row>
    <row r="84" spans="1:2">
      <c r="A84" s="49">
        <v>0</v>
      </c>
      <c r="B84" s="49">
        <v>0</v>
      </c>
    </row>
    <row r="85" spans="1:2">
      <c r="A85" s="49">
        <v>2.2249699999999999</v>
      </c>
      <c r="B85" s="49">
        <v>2.2249699999999999</v>
      </c>
    </row>
    <row r="86" spans="1:2">
      <c r="A86" s="49">
        <v>0</v>
      </c>
      <c r="B86" s="49">
        <v>0</v>
      </c>
    </row>
    <row r="87" spans="1:2">
      <c r="A87" s="49">
        <v>0</v>
      </c>
      <c r="B87" s="49">
        <v>0</v>
      </c>
    </row>
    <row r="88" spans="1:2">
      <c r="A88" s="49">
        <v>2.2448700000000001</v>
      </c>
      <c r="B88" s="49">
        <v>2.2448700000000001</v>
      </c>
    </row>
    <row r="89" spans="1:2">
      <c r="A89" s="49">
        <v>0</v>
      </c>
      <c r="B89" s="49">
        <v>0</v>
      </c>
    </row>
    <row r="90" spans="1:2">
      <c r="A90" s="49">
        <v>2.2801</v>
      </c>
      <c r="B90" s="49">
        <v>2.2801</v>
      </c>
    </row>
    <row r="91" spans="1:2">
      <c r="A91" s="49">
        <v>0</v>
      </c>
      <c r="B91" s="49">
        <v>0</v>
      </c>
    </row>
    <row r="92" spans="1:2">
      <c r="A92" s="49">
        <v>0</v>
      </c>
      <c r="B92" s="49">
        <v>0</v>
      </c>
    </row>
    <row r="93" spans="1:2">
      <c r="A93" s="49">
        <v>2.5967500000000001</v>
      </c>
      <c r="B93" s="49">
        <v>2.5967500000000001</v>
      </c>
    </row>
    <row r="94" spans="1:2">
      <c r="A94" s="49">
        <v>0</v>
      </c>
      <c r="B94" s="49">
        <v>0</v>
      </c>
    </row>
    <row r="95" spans="1:2">
      <c r="A95" s="49">
        <v>2.19503</v>
      </c>
      <c r="B95" s="49">
        <v>2.19503</v>
      </c>
    </row>
    <row r="96" spans="1:2">
      <c r="A96" s="49">
        <v>0</v>
      </c>
      <c r="B96" s="49">
        <v>0</v>
      </c>
    </row>
    <row r="97" spans="1:2">
      <c r="A97" s="49">
        <v>0</v>
      </c>
      <c r="B97" s="49">
        <v>0</v>
      </c>
    </row>
    <row r="98" spans="1:2">
      <c r="A98" s="49">
        <v>2.3608099999999999</v>
      </c>
      <c r="B98" s="49">
        <v>2.3608099999999999</v>
      </c>
    </row>
    <row r="99" spans="1:2">
      <c r="A99" s="49">
        <v>0</v>
      </c>
      <c r="B99" s="49">
        <v>0</v>
      </c>
    </row>
    <row r="100" spans="1:2">
      <c r="A100" s="49">
        <v>2.43208</v>
      </c>
      <c r="B100" s="49">
        <v>2.43208</v>
      </c>
    </row>
    <row r="101" spans="1:2">
      <c r="A101" s="49">
        <v>0</v>
      </c>
      <c r="B101" s="49">
        <v>0</v>
      </c>
    </row>
    <row r="102" spans="1:2">
      <c r="A102" s="49">
        <v>0</v>
      </c>
      <c r="B102" s="49">
        <v>0</v>
      </c>
    </row>
    <row r="103" spans="1:2">
      <c r="A103" s="49">
        <v>2.7942100000000001</v>
      </c>
      <c r="B103" s="49">
        <v>2.7942100000000001</v>
      </c>
    </row>
    <row r="104" spans="1:2">
      <c r="A104" s="49">
        <v>0</v>
      </c>
      <c r="B104" s="49">
        <v>0</v>
      </c>
    </row>
    <row r="105" spans="1:2">
      <c r="A105" s="49">
        <v>0</v>
      </c>
      <c r="B105" s="49">
        <v>0</v>
      </c>
    </row>
    <row r="106" spans="1:2">
      <c r="A106" s="49">
        <v>2.60934</v>
      </c>
      <c r="B106" s="49">
        <v>2.60934</v>
      </c>
    </row>
    <row r="107" spans="1:2">
      <c r="A107" s="49">
        <v>0</v>
      </c>
      <c r="B107" s="49">
        <v>0</v>
      </c>
    </row>
    <row r="108" spans="1:2">
      <c r="A108" s="49">
        <v>3.0857899999999998</v>
      </c>
      <c r="B108" s="49">
        <v>3.0857899999999998</v>
      </c>
    </row>
    <row r="109" spans="1:2">
      <c r="A109" s="49">
        <v>0</v>
      </c>
      <c r="B109" s="49">
        <v>0</v>
      </c>
    </row>
    <row r="110" spans="1:2">
      <c r="A110" s="49">
        <v>0</v>
      </c>
      <c r="B110" s="49">
        <v>0</v>
      </c>
    </row>
    <row r="111" spans="1:2">
      <c r="A111" s="49">
        <v>2.9615200000000002</v>
      </c>
      <c r="B111" s="49">
        <v>2.9615200000000002</v>
      </c>
    </row>
    <row r="112" spans="1:2">
      <c r="A112" s="49">
        <v>0</v>
      </c>
      <c r="B112" s="49">
        <v>0</v>
      </c>
    </row>
    <row r="113" spans="1:2">
      <c r="A113" s="49">
        <v>3.2540100000000001</v>
      </c>
      <c r="B113" s="49">
        <v>3.2540100000000001</v>
      </c>
    </row>
    <row r="114" spans="1:2">
      <c r="A114" s="49">
        <v>0</v>
      </c>
      <c r="B114" s="49">
        <v>0</v>
      </c>
    </row>
    <row r="115" spans="1:2">
      <c r="A115" s="49">
        <v>0</v>
      </c>
      <c r="B115" s="49">
        <v>0</v>
      </c>
    </row>
    <row r="116" spans="1:2">
      <c r="A116" s="49">
        <v>3.3401000000000001</v>
      </c>
      <c r="B116" s="49">
        <v>3.3401000000000001</v>
      </c>
    </row>
    <row r="117" spans="1:2">
      <c r="A117" s="49">
        <v>0</v>
      </c>
      <c r="B117" s="49">
        <v>0</v>
      </c>
    </row>
    <row r="118" spans="1:2">
      <c r="A118" s="49">
        <v>2.8605100000000001</v>
      </c>
      <c r="B118" s="49">
        <v>2.8605100000000001</v>
      </c>
    </row>
    <row r="119" spans="1:2">
      <c r="A119" s="49">
        <v>0</v>
      </c>
      <c r="B119" s="49">
        <v>0</v>
      </c>
    </row>
    <row r="120" spans="1:2">
      <c r="A120" s="49">
        <v>0</v>
      </c>
      <c r="B120" s="49">
        <v>0</v>
      </c>
    </row>
    <row r="121" spans="1:2">
      <c r="A121" s="49">
        <v>2.9843700000000002</v>
      </c>
      <c r="B121" s="49">
        <v>2.9843700000000002</v>
      </c>
    </row>
    <row r="122" spans="1:2">
      <c r="A122" s="49">
        <v>0</v>
      </c>
      <c r="B122" s="49">
        <v>0</v>
      </c>
    </row>
    <row r="123" spans="1:2">
      <c r="A123" s="49">
        <v>0</v>
      </c>
      <c r="B123" s="49">
        <v>0</v>
      </c>
    </row>
    <row r="124" spans="1:2">
      <c r="A124" s="49">
        <v>2.7984800000000001</v>
      </c>
      <c r="B124" s="49">
        <v>2.7984800000000001</v>
      </c>
    </row>
    <row r="125" spans="1:2">
      <c r="A125" s="49">
        <v>0</v>
      </c>
      <c r="B125" s="49">
        <v>0</v>
      </c>
    </row>
    <row r="126" spans="1:2">
      <c r="A126" s="49">
        <v>2.6357400000000002</v>
      </c>
      <c r="B126" s="49">
        <v>2.6357400000000002</v>
      </c>
    </row>
    <row r="127" spans="1:2">
      <c r="A127" s="49">
        <v>0</v>
      </c>
      <c r="B127" s="49">
        <v>0</v>
      </c>
    </row>
    <row r="128" spans="1:2">
      <c r="A128" s="49">
        <v>0</v>
      </c>
      <c r="B128" s="49">
        <v>0</v>
      </c>
    </row>
    <row r="129" spans="1:2">
      <c r="A129" s="49">
        <v>2.5296400000000001</v>
      </c>
      <c r="B129" s="49">
        <v>2.5296400000000001</v>
      </c>
    </row>
    <row r="130" spans="1:2">
      <c r="A130" s="49">
        <v>0</v>
      </c>
      <c r="B130" s="49">
        <v>0</v>
      </c>
    </row>
    <row r="131" spans="1:2">
      <c r="A131" s="49">
        <v>2.1149200000000001</v>
      </c>
      <c r="B131" s="49">
        <v>2.1149200000000001</v>
      </c>
    </row>
    <row r="132" spans="1:2">
      <c r="A132" s="49">
        <v>0</v>
      </c>
      <c r="B132" s="49">
        <v>0</v>
      </c>
    </row>
    <row r="133" spans="1:2">
      <c r="A133" s="49">
        <v>0</v>
      </c>
      <c r="B133" s="49">
        <v>0</v>
      </c>
    </row>
    <row r="134" spans="1:2">
      <c r="A134" s="49">
        <v>1.5546199999999999</v>
      </c>
      <c r="B134" s="49">
        <v>1.5546199999999999</v>
      </c>
    </row>
    <row r="135" spans="1:2">
      <c r="A135" s="49">
        <v>0</v>
      </c>
      <c r="B135" s="49">
        <v>0</v>
      </c>
    </row>
    <row r="136" spans="1:2">
      <c r="A136" s="49">
        <v>1.73919</v>
      </c>
      <c r="B136" s="49">
        <v>1.73919</v>
      </c>
    </row>
    <row r="137" spans="1:2">
      <c r="A137" s="49">
        <v>0</v>
      </c>
      <c r="B137" s="49">
        <v>0</v>
      </c>
    </row>
    <row r="138" spans="1:2">
      <c r="A138" s="49">
        <v>0</v>
      </c>
      <c r="B138" s="49">
        <v>0</v>
      </c>
    </row>
    <row r="139" spans="1:2">
      <c r="A139" s="49">
        <v>1.7048700000000001</v>
      </c>
      <c r="B139" s="49">
        <v>1.7048700000000001</v>
      </c>
    </row>
    <row r="140" spans="1:2">
      <c r="A140" s="49">
        <v>0</v>
      </c>
      <c r="B140" s="49">
        <v>0</v>
      </c>
    </row>
    <row r="141" spans="1:2">
      <c r="A141" s="49">
        <v>0</v>
      </c>
      <c r="B141" s="49">
        <v>0</v>
      </c>
    </row>
    <row r="142" spans="1:2">
      <c r="A142" s="49">
        <v>2.1404100000000001</v>
      </c>
      <c r="B142" s="49">
        <v>2.1404100000000001</v>
      </c>
    </row>
    <row r="143" spans="1:2">
      <c r="A143" s="49">
        <v>0</v>
      </c>
      <c r="B143" s="49">
        <v>0</v>
      </c>
    </row>
    <row r="144" spans="1:2">
      <c r="A144" s="49">
        <v>2.2681200000000001</v>
      </c>
      <c r="B144" s="49">
        <v>2.2681200000000001</v>
      </c>
    </row>
    <row r="145" spans="1:2">
      <c r="A145" s="49">
        <v>0</v>
      </c>
      <c r="B145" s="49">
        <v>0</v>
      </c>
    </row>
    <row r="146" spans="1:2">
      <c r="A146" s="49">
        <v>0</v>
      </c>
      <c r="B146" s="49">
        <v>0</v>
      </c>
    </row>
    <row r="147" spans="1:2">
      <c r="A147" s="49">
        <v>2.4601000000000002</v>
      </c>
      <c r="B147" s="49">
        <v>2.4601000000000002</v>
      </c>
    </row>
    <row r="148" spans="1:2">
      <c r="A148" s="49">
        <v>0</v>
      </c>
      <c r="B148" s="49">
        <v>0</v>
      </c>
    </row>
    <row r="149" spans="1:2">
      <c r="A149" s="49">
        <v>2.5435500000000002</v>
      </c>
      <c r="B149" s="49">
        <v>2.5435500000000002</v>
      </c>
    </row>
    <row r="150" spans="1:2">
      <c r="A150" s="49">
        <v>0</v>
      </c>
      <c r="B150" s="49">
        <v>0</v>
      </c>
    </row>
    <row r="151" spans="1:2">
      <c r="A151" s="49">
        <v>0</v>
      </c>
      <c r="B151" s="49">
        <v>0</v>
      </c>
    </row>
    <row r="152" spans="1:2">
      <c r="A152" s="49">
        <v>2.9911699999999999</v>
      </c>
      <c r="B152" s="49">
        <v>2.9911699999999999</v>
      </c>
    </row>
    <row r="153" spans="1:2">
      <c r="A153" s="49">
        <v>0</v>
      </c>
      <c r="B153" s="49">
        <v>0</v>
      </c>
    </row>
    <row r="154" spans="1:2">
      <c r="A154" s="49">
        <v>2.9742099999999998</v>
      </c>
      <c r="B154" s="49">
        <v>2.9742099999999998</v>
      </c>
    </row>
    <row r="155" spans="1:2">
      <c r="A155" s="49">
        <v>0</v>
      </c>
      <c r="B155" s="49">
        <v>0</v>
      </c>
    </row>
    <row r="156" spans="1:2">
      <c r="A156" s="49">
        <v>0</v>
      </c>
      <c r="B156" s="49">
        <v>0</v>
      </c>
    </row>
    <row r="157" spans="1:2">
      <c r="A157" s="49">
        <v>2.9644699999999999</v>
      </c>
      <c r="B157" s="49">
        <v>2.9644699999999999</v>
      </c>
    </row>
    <row r="158" spans="1:2">
      <c r="A158" s="49">
        <v>0</v>
      </c>
      <c r="B158" s="49">
        <v>0</v>
      </c>
    </row>
    <row r="159" spans="1:2">
      <c r="A159" s="49">
        <v>0</v>
      </c>
      <c r="B159" s="49">
        <v>0</v>
      </c>
    </row>
    <row r="160" spans="1:2">
      <c r="A160" s="49">
        <v>2.2941099999999999</v>
      </c>
      <c r="B160" s="49">
        <v>2.2941099999999999</v>
      </c>
    </row>
    <row r="161" spans="1:2">
      <c r="A161" s="49">
        <v>0</v>
      </c>
      <c r="B161" s="49">
        <v>0</v>
      </c>
    </row>
    <row r="162" spans="1:2">
      <c r="A162" s="49">
        <v>1.64812</v>
      </c>
      <c r="B162" s="49">
        <v>1.64812</v>
      </c>
    </row>
    <row r="163" spans="1:2">
      <c r="A163" s="49">
        <v>0</v>
      </c>
      <c r="B163" s="49">
        <v>0</v>
      </c>
    </row>
    <row r="164" spans="1:2">
      <c r="A164" s="49">
        <v>0</v>
      </c>
      <c r="B164" s="49">
        <v>0</v>
      </c>
    </row>
    <row r="165" spans="1:2">
      <c r="A165" s="49">
        <v>1.24335</v>
      </c>
      <c r="B165" s="49">
        <v>1.24335</v>
      </c>
    </row>
    <row r="166" spans="1:2">
      <c r="A166" s="49">
        <v>0</v>
      </c>
      <c r="B166" s="49">
        <v>0</v>
      </c>
    </row>
    <row r="167" spans="1:2">
      <c r="A167" s="49">
        <v>0.77218299999999995</v>
      </c>
      <c r="B167" s="49">
        <v>0.77218299999999995</v>
      </c>
    </row>
    <row r="168" spans="1:2">
      <c r="A168" s="49">
        <v>0</v>
      </c>
      <c r="B168" s="49">
        <v>0</v>
      </c>
    </row>
    <row r="169" spans="1:2">
      <c r="A169" s="49">
        <v>0</v>
      </c>
      <c r="B169" s="49">
        <v>0</v>
      </c>
    </row>
    <row r="170" spans="1:2">
      <c r="A170" s="49">
        <v>0.40274100000000002</v>
      </c>
      <c r="B170" s="49">
        <v>0.40274100000000002</v>
      </c>
    </row>
    <row r="171" spans="1:2">
      <c r="A171" s="49">
        <v>0</v>
      </c>
      <c r="B171" s="49">
        <v>0</v>
      </c>
    </row>
    <row r="172" spans="1:2">
      <c r="A172" s="49">
        <v>0</v>
      </c>
      <c r="B172" s="49">
        <v>0</v>
      </c>
    </row>
    <row r="173" spans="1:2">
      <c r="A173" s="49">
        <v>0.36527900000000002</v>
      </c>
      <c r="B173" s="49">
        <v>0.36527900000000002</v>
      </c>
    </row>
    <row r="174" spans="1:2">
      <c r="A174" s="49">
        <v>0</v>
      </c>
      <c r="B174" s="49">
        <v>0</v>
      </c>
    </row>
    <row r="175" spans="1:2">
      <c r="A175" s="49">
        <v>0.179086</v>
      </c>
      <c r="B175" s="49">
        <v>0.179086</v>
      </c>
    </row>
    <row r="176" spans="1:2">
      <c r="A176" s="49">
        <v>0</v>
      </c>
      <c r="B176" s="49">
        <v>0</v>
      </c>
    </row>
    <row r="177" spans="1:2">
      <c r="A177" s="49">
        <v>0</v>
      </c>
      <c r="B177" s="49">
        <v>0</v>
      </c>
    </row>
    <row r="178" spans="1:2">
      <c r="A178" s="49">
        <v>0.10487299999999999</v>
      </c>
      <c r="B178" s="49">
        <v>0.10487299999999999</v>
      </c>
    </row>
    <row r="179" spans="1:2">
      <c r="A179" s="49">
        <v>0</v>
      </c>
      <c r="B179" s="49">
        <v>0</v>
      </c>
    </row>
    <row r="180" spans="1:2">
      <c r="A180" s="49">
        <v>8.0304600000000004E-2</v>
      </c>
      <c r="B180" s="49">
        <v>8.0304600000000004E-2</v>
      </c>
    </row>
    <row r="181" spans="1:2">
      <c r="A181" s="49">
        <v>0</v>
      </c>
      <c r="B181" s="49">
        <v>0</v>
      </c>
    </row>
    <row r="182" spans="1:2">
      <c r="A182" s="49">
        <v>0</v>
      </c>
      <c r="B182" s="49">
        <v>0</v>
      </c>
    </row>
    <row r="183" spans="1:2">
      <c r="A183" s="49">
        <v>0.08</v>
      </c>
      <c r="B183" s="49">
        <v>0.08</v>
      </c>
    </row>
    <row r="184" spans="1:2">
      <c r="A184" s="49">
        <v>0</v>
      </c>
      <c r="B184" s="49">
        <v>0</v>
      </c>
    </row>
    <row r="185" spans="1:2">
      <c r="A185" s="49">
        <v>2.5685300000000001E-2</v>
      </c>
      <c r="B185" s="49">
        <v>2.5685300000000001E-2</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0.48835800000000001</v>
      </c>
      <c r="B2" s="49">
        <v>0.305033</v>
      </c>
      <c r="C2">
        <v>0</v>
      </c>
      <c r="D2">
        <v>0</v>
      </c>
      <c r="E2" t="s">
        <v>1161</v>
      </c>
      <c r="F2" s="49">
        <f>IF(A2&lt;&gt;"",1,"")</f>
        <v>1</v>
      </c>
      <c r="G2">
        <f>IF($H8&gt;0,LOOKUP(COUNT(A2:A1000)*$H8,F2:F1000,A2:A1000),LOOKUP(1,F2:F1000,A2:A1000))</f>
        <v>0.49151400000000001</v>
      </c>
      <c r="H2">
        <f>IF($H8&gt;0,LOOKUP(COUNT(B2:B1000)*$H8,F2:F1000,B2:B1000),LOOKUP(1,F2:F1000,B2:B1000))</f>
        <v>0.29269499999999998</v>
      </c>
      <c r="J2" s="49">
        <f>IF(A2&lt;&gt;"",A2*10,"")</f>
        <v>4.8835800000000003</v>
      </c>
      <c r="K2" s="49">
        <f>IF(B2&lt;&gt;"",B2*100,"")</f>
        <v>30.503299999999999</v>
      </c>
      <c r="L2" s="49">
        <f>IF(F2&lt;&gt;"",IF(K2&lt;&gt;0,K2/J2,0),"")</f>
        <v>6.2460940539522234</v>
      </c>
    </row>
    <row r="3" spans="1:12">
      <c r="A3" s="49">
        <v>0.48927700000000002</v>
      </c>
      <c r="B3" s="49">
        <v>0.30536799999999997</v>
      </c>
      <c r="C3">
        <v>0.40446199999999999</v>
      </c>
      <c r="D3">
        <v>0</v>
      </c>
      <c r="E3" t="s">
        <v>2560</v>
      </c>
      <c r="F3" s="49">
        <f>IF(A3&lt;&gt;"",F2+1,"")</f>
        <v>2</v>
      </c>
      <c r="G3">
        <f>IF($H9&gt;0,LOOKUP(COUNT(A2:A1000)*$H9,F2:F1000,A2:A1000),LOOKUP(1,F2:F1000,A2:A1000))</f>
        <v>0.38978800000000002</v>
      </c>
      <c r="H3">
        <f>IF($H9&gt;0,LOOKUP(COUNT(B2:B1000)*$H9,F2:F1000,B2:B1000),LOOKUP(1,F2:F1000,B2:B1000))</f>
        <v>0.213751</v>
      </c>
      <c r="J3" s="49">
        <f t="shared" ref="J3:J66" si="0">IF(A3&lt;&gt;"",A3*10,"")</f>
        <v>4.8927700000000005</v>
      </c>
      <c r="K3" s="49">
        <f t="shared" ref="K3:K66" si="1">IF(B3&lt;&gt;"",B3*100,"")</f>
        <v>30.536799999999996</v>
      </c>
      <c r="L3" s="49">
        <f t="shared" ref="L3:L66" si="2">IF(F3&lt;&gt;"",IF(K3&lt;&gt;0,K3/J3,0),"")</f>
        <v>6.2412089675173759</v>
      </c>
    </row>
    <row r="4" spans="1:12">
      <c r="A4" s="49">
        <v>0.49047800000000003</v>
      </c>
      <c r="B4" s="49">
        <v>0.30521700000000002</v>
      </c>
      <c r="C4">
        <v>0.80959199999999998</v>
      </c>
      <c r="D4">
        <v>0</v>
      </c>
      <c r="E4" t="s">
        <v>2561</v>
      </c>
      <c r="F4" s="49">
        <f t="shared" ref="F4:F67" si="3">IF(A4&lt;&gt;"",F3+1,"")</f>
        <v>3</v>
      </c>
      <c r="G4" s="71" t="s">
        <v>209</v>
      </c>
      <c r="H4" s="23">
        <f>IF(ISERROR(G3-G2)=FALSE,(G3-G2)*10,0)</f>
        <v>-1.0172599999999998</v>
      </c>
      <c r="J4" s="49">
        <f t="shared" si="0"/>
        <v>4.9047800000000006</v>
      </c>
      <c r="K4" s="49">
        <f t="shared" si="1"/>
        <v>30.521700000000003</v>
      </c>
      <c r="L4" s="49">
        <f t="shared" si="2"/>
        <v>6.2228479157067182</v>
      </c>
    </row>
    <row r="5" spans="1:12">
      <c r="A5" s="49">
        <v>0.49164799999999997</v>
      </c>
      <c r="B5" s="49">
        <v>0.304622</v>
      </c>
      <c r="C5">
        <v>1.2161999999999999</v>
      </c>
      <c r="D5">
        <v>0</v>
      </c>
      <c r="E5" t="s">
        <v>2562</v>
      </c>
      <c r="F5" s="49">
        <f t="shared" si="3"/>
        <v>4</v>
      </c>
      <c r="G5" s="71" t="s">
        <v>210</v>
      </c>
      <c r="H5" s="23">
        <f>IF(ISERROR(H3-H2)=FALSE,H3-H2,0)</f>
        <v>-7.8943999999999986E-2</v>
      </c>
      <c r="J5" s="49">
        <f t="shared" si="0"/>
        <v>4.91648</v>
      </c>
      <c r="K5" s="49">
        <f t="shared" si="1"/>
        <v>30.462199999999999</v>
      </c>
      <c r="L5" s="49">
        <f t="shared" si="2"/>
        <v>6.1959369304868526</v>
      </c>
    </row>
    <row r="6" spans="1:12">
      <c r="A6" s="49">
        <v>0.49251299999999998</v>
      </c>
      <c r="B6" s="49">
        <v>0.30349300000000001</v>
      </c>
      <c r="C6">
        <v>1.62202</v>
      </c>
      <c r="D6">
        <v>0</v>
      </c>
      <c r="E6" t="s">
        <v>2563</v>
      </c>
      <c r="F6" s="49">
        <f t="shared" si="3"/>
        <v>5</v>
      </c>
      <c r="G6" s="71" t="s">
        <v>211</v>
      </c>
      <c r="H6" s="23">
        <f>IF(H4&lt;&gt;0,H5/H4,0)</f>
        <v>7.7604545543912079E-2</v>
      </c>
      <c r="J6" s="49">
        <f t="shared" si="0"/>
        <v>4.9251299999999993</v>
      </c>
      <c r="K6" s="49">
        <f t="shared" si="1"/>
        <v>30.349299999999999</v>
      </c>
      <c r="L6" s="49">
        <f t="shared" si="2"/>
        <v>6.1621317609890509</v>
      </c>
    </row>
    <row r="7" spans="1:12">
      <c r="A7" s="49">
        <v>0.49285200000000001</v>
      </c>
      <c r="B7" s="49">
        <v>0.30169499999999999</v>
      </c>
      <c r="C7">
        <v>2.0300500000000001</v>
      </c>
      <c r="D7">
        <v>0</v>
      </c>
      <c r="E7" t="s">
        <v>2564</v>
      </c>
      <c r="F7" s="49">
        <f t="shared" si="3"/>
        <v>6</v>
      </c>
      <c r="G7" s="71" t="s">
        <v>212</v>
      </c>
      <c r="H7" s="23">
        <f>DEGREES(ATAN(H6))</f>
        <v>4.4375189241446353</v>
      </c>
      <c r="J7" s="49">
        <f t="shared" si="0"/>
        <v>4.9285199999999998</v>
      </c>
      <c r="K7" s="49">
        <f t="shared" si="1"/>
        <v>30.169499999999999</v>
      </c>
      <c r="L7" s="49">
        <f t="shared" si="2"/>
        <v>6.1214117016873217</v>
      </c>
    </row>
    <row r="8" spans="1:12">
      <c r="A8" s="49">
        <v>0.49283199999999999</v>
      </c>
      <c r="B8" s="49">
        <v>0.299375</v>
      </c>
      <c r="C8">
        <v>2.4369499999999999</v>
      </c>
      <c r="D8">
        <v>0</v>
      </c>
      <c r="E8" t="s">
        <v>2565</v>
      </c>
      <c r="F8" s="49">
        <f t="shared" si="3"/>
        <v>7</v>
      </c>
      <c r="G8" s="71" t="s">
        <v>213</v>
      </c>
      <c r="H8" s="72">
        <v>0.1</v>
      </c>
      <c r="J8" s="49">
        <f t="shared" si="0"/>
        <v>4.9283200000000003</v>
      </c>
      <c r="K8" s="49">
        <f t="shared" si="1"/>
        <v>29.9375</v>
      </c>
      <c r="L8" s="49">
        <f t="shared" si="2"/>
        <v>6.0745852542042718</v>
      </c>
    </row>
    <row r="9" spans="1:12">
      <c r="A9" s="49">
        <v>0.49231200000000003</v>
      </c>
      <c r="B9" s="49">
        <v>0.29634199999999999</v>
      </c>
      <c r="C9">
        <v>2.8413900000000001</v>
      </c>
      <c r="D9">
        <v>0</v>
      </c>
      <c r="E9" t="s">
        <v>2566</v>
      </c>
      <c r="F9" s="49">
        <f t="shared" si="3"/>
        <v>8</v>
      </c>
      <c r="G9" s="71" t="s">
        <v>214</v>
      </c>
      <c r="H9" s="72">
        <v>0.9</v>
      </c>
      <c r="J9" s="49">
        <f t="shared" si="0"/>
        <v>4.9231199999999999</v>
      </c>
      <c r="K9" s="49">
        <f t="shared" si="1"/>
        <v>29.6342</v>
      </c>
      <c r="L9" s="49">
        <f t="shared" si="2"/>
        <v>6.0193942053007037</v>
      </c>
    </row>
    <row r="10" spans="1:12">
      <c r="A10" s="49">
        <v>0.49151400000000001</v>
      </c>
      <c r="B10" s="49">
        <v>0.29269499999999998</v>
      </c>
      <c r="C10">
        <v>3.2499099999999999</v>
      </c>
      <c r="D10">
        <v>0</v>
      </c>
      <c r="E10" t="s">
        <v>2567</v>
      </c>
      <c r="F10" s="49">
        <f t="shared" si="3"/>
        <v>9</v>
      </c>
      <c r="G10" t="s">
        <v>215</v>
      </c>
      <c r="J10" s="49">
        <f t="shared" si="0"/>
        <v>4.9151400000000001</v>
      </c>
      <c r="K10" s="49">
        <f t="shared" si="1"/>
        <v>29.269499999999997</v>
      </c>
      <c r="L10" s="49">
        <f t="shared" si="2"/>
        <v>5.9549677120082025</v>
      </c>
    </row>
    <row r="11" spans="1:12">
      <c r="A11" s="49">
        <v>0.49048399999999998</v>
      </c>
      <c r="B11" s="49">
        <v>0.28926499999999999</v>
      </c>
      <c r="C11">
        <v>3.6543100000000002</v>
      </c>
      <c r="D11">
        <v>0</v>
      </c>
      <c r="E11" t="s">
        <v>2568</v>
      </c>
      <c r="F11" s="49">
        <f t="shared" si="3"/>
        <v>10</v>
      </c>
      <c r="G11" s="71" t="s">
        <v>216</v>
      </c>
      <c r="H11" s="73">
        <f>MIN(B2:B1000)</f>
        <v>0.19575500000000001</v>
      </c>
      <c r="J11" s="49">
        <f t="shared" si="0"/>
        <v>4.9048400000000001</v>
      </c>
      <c r="K11" s="49">
        <f t="shared" si="1"/>
        <v>28.926500000000001</v>
      </c>
      <c r="L11" s="49">
        <f t="shared" si="2"/>
        <v>5.8975420197192978</v>
      </c>
    </row>
    <row r="12" spans="1:12">
      <c r="A12" s="49">
        <v>0.48908000000000001</v>
      </c>
      <c r="B12" s="49">
        <v>0.28598200000000001</v>
      </c>
      <c r="C12">
        <v>4.0610400000000002</v>
      </c>
      <c r="D12">
        <v>0</v>
      </c>
      <c r="E12" t="s">
        <v>2569</v>
      </c>
      <c r="F12" s="49">
        <f t="shared" si="3"/>
        <v>11</v>
      </c>
      <c r="G12" s="71" t="s">
        <v>218</v>
      </c>
      <c r="H12" s="73">
        <f>MAX(B2:B1000)</f>
        <v>0.30536799999999997</v>
      </c>
      <c r="J12" s="49">
        <f t="shared" si="0"/>
        <v>4.8908000000000005</v>
      </c>
      <c r="K12" s="49">
        <f t="shared" si="1"/>
        <v>28.598200000000002</v>
      </c>
      <c r="L12" s="49">
        <f t="shared" si="2"/>
        <v>5.8473460374580846</v>
      </c>
    </row>
    <row r="13" spans="1:12">
      <c r="A13" s="49">
        <v>0.48717500000000002</v>
      </c>
      <c r="B13" s="49">
        <v>0.28268199999999999</v>
      </c>
      <c r="C13">
        <v>4.4660099999999998</v>
      </c>
      <c r="D13">
        <v>0</v>
      </c>
      <c r="E13" t="s">
        <v>2570</v>
      </c>
      <c r="F13" s="49">
        <f t="shared" si="3"/>
        <v>12</v>
      </c>
      <c r="G13" s="71" t="s">
        <v>220</v>
      </c>
      <c r="H13">
        <f>MATCH($H$11,B2:B1000,0)</f>
        <v>94</v>
      </c>
      <c r="J13" s="49">
        <f t="shared" si="0"/>
        <v>4.8717500000000005</v>
      </c>
      <c r="K13" s="49">
        <f t="shared" si="1"/>
        <v>28.2682</v>
      </c>
      <c r="L13" s="49">
        <f t="shared" si="2"/>
        <v>5.8024734438343506</v>
      </c>
    </row>
    <row r="14" spans="1:12">
      <c r="A14" s="49">
        <v>0.48478300000000002</v>
      </c>
      <c r="B14" s="49">
        <v>0.27983400000000003</v>
      </c>
      <c r="C14">
        <v>4.8718300000000001</v>
      </c>
      <c r="D14">
        <v>0</v>
      </c>
      <c r="E14" t="s">
        <v>2571</v>
      </c>
      <c r="F14" s="49">
        <f t="shared" si="3"/>
        <v>13</v>
      </c>
      <c r="G14" s="71" t="s">
        <v>221</v>
      </c>
      <c r="H14">
        <f>MATCH($H$12,B2:B1000,0)</f>
        <v>2</v>
      </c>
      <c r="J14" s="49">
        <f t="shared" si="0"/>
        <v>4.8478300000000001</v>
      </c>
      <c r="K14" s="49">
        <f t="shared" si="1"/>
        <v>27.983400000000003</v>
      </c>
      <c r="L14" s="49">
        <f t="shared" si="2"/>
        <v>5.7723558788158833</v>
      </c>
    </row>
    <row r="15" spans="1:12">
      <c r="A15" s="49">
        <v>0.48204799999999998</v>
      </c>
      <c r="B15" s="49">
        <v>0.27792600000000001</v>
      </c>
      <c r="C15">
        <v>5.2807399999999998</v>
      </c>
      <c r="D15">
        <v>0</v>
      </c>
      <c r="E15" t="s">
        <v>2572</v>
      </c>
      <c r="F15" s="49">
        <f t="shared" si="3"/>
        <v>14</v>
      </c>
      <c r="G15">
        <f>LOOKUP($H13,F2:F1000,A2:A1000)</f>
        <v>0.39014799999999999</v>
      </c>
      <c r="H15">
        <f>LOOKUP($H13,F2:F1000,B2:B1000)</f>
        <v>0.19575500000000001</v>
      </c>
      <c r="J15" s="49">
        <f t="shared" si="0"/>
        <v>4.8204799999999999</v>
      </c>
      <c r="K15" s="49">
        <f t="shared" si="1"/>
        <v>27.7926</v>
      </c>
      <c r="L15" s="49">
        <f t="shared" si="2"/>
        <v>5.7655254248539567</v>
      </c>
    </row>
    <row r="16" spans="1:12">
      <c r="A16" s="49">
        <v>0.47920600000000002</v>
      </c>
      <c r="B16" s="49">
        <v>0.27704899999999999</v>
      </c>
      <c r="C16">
        <v>5.6871299999999998</v>
      </c>
      <c r="D16">
        <v>0</v>
      </c>
      <c r="E16" t="s">
        <v>2573</v>
      </c>
      <c r="F16" s="49">
        <f t="shared" si="3"/>
        <v>15</v>
      </c>
      <c r="G16">
        <f>LOOKUP($H14,F2:F1000,A2:A1000)</f>
        <v>0.48927700000000002</v>
      </c>
      <c r="H16">
        <f>LOOKUP($H14,F2:F1000,B2:B1000)</f>
        <v>0.30536799999999997</v>
      </c>
      <c r="J16" s="49">
        <f t="shared" si="0"/>
        <v>4.7920600000000002</v>
      </c>
      <c r="K16" s="49">
        <f t="shared" si="1"/>
        <v>27.704899999999999</v>
      </c>
      <c r="L16" s="49">
        <f t="shared" si="2"/>
        <v>5.7814175949382935</v>
      </c>
    </row>
    <row r="17" spans="1:12">
      <c r="A17" s="49">
        <v>0.476105</v>
      </c>
      <c r="B17" s="49">
        <v>0.27613900000000002</v>
      </c>
      <c r="C17">
        <v>6.0903799999999997</v>
      </c>
      <c r="D17">
        <v>0</v>
      </c>
      <c r="E17" t="s">
        <v>2574</v>
      </c>
      <c r="F17" s="49">
        <f t="shared" si="3"/>
        <v>16</v>
      </c>
      <c r="J17" s="49">
        <f t="shared" si="0"/>
        <v>4.76105</v>
      </c>
      <c r="K17" s="49">
        <f t="shared" si="1"/>
        <v>27.613900000000001</v>
      </c>
      <c r="L17" s="49">
        <f t="shared" si="2"/>
        <v>5.7999600928366641</v>
      </c>
    </row>
    <row r="18" spans="1:12">
      <c r="A18" s="49">
        <v>0.47264099999999998</v>
      </c>
      <c r="B18" s="49">
        <v>0.27649699999999999</v>
      </c>
      <c r="C18">
        <v>6.4995500000000002</v>
      </c>
      <c r="D18">
        <v>0</v>
      </c>
      <c r="E18" t="s">
        <v>2575</v>
      </c>
      <c r="F18" s="49">
        <f t="shared" si="3"/>
        <v>17</v>
      </c>
      <c r="J18" s="49">
        <f t="shared" si="0"/>
        <v>4.7264099999999996</v>
      </c>
      <c r="K18" s="49">
        <f t="shared" si="1"/>
        <v>27.649699999999999</v>
      </c>
      <c r="L18" s="49">
        <f t="shared" si="2"/>
        <v>5.8500426327804824</v>
      </c>
    </row>
    <row r="19" spans="1:12">
      <c r="A19" s="49">
        <v>0.46932299999999999</v>
      </c>
      <c r="B19" s="49">
        <v>0.27721600000000002</v>
      </c>
      <c r="C19">
        <v>6.9037600000000001</v>
      </c>
      <c r="D19">
        <v>0</v>
      </c>
      <c r="E19" t="s">
        <v>2576</v>
      </c>
      <c r="F19" s="49">
        <f t="shared" si="3"/>
        <v>18</v>
      </c>
      <c r="J19" s="49">
        <f t="shared" si="0"/>
        <v>4.6932299999999998</v>
      </c>
      <c r="K19" s="49">
        <f t="shared" si="1"/>
        <v>27.721600000000002</v>
      </c>
      <c r="L19" s="49">
        <f t="shared" si="2"/>
        <v>5.9067209576347217</v>
      </c>
    </row>
    <row r="20" spans="1:12">
      <c r="A20" s="49">
        <v>0.46631699999999998</v>
      </c>
      <c r="B20" s="49">
        <v>0.27686300000000003</v>
      </c>
      <c r="C20">
        <v>7.3120200000000004</v>
      </c>
      <c r="D20">
        <v>0</v>
      </c>
      <c r="E20" t="s">
        <v>2577</v>
      </c>
      <c r="F20" s="49">
        <f t="shared" si="3"/>
        <v>19</v>
      </c>
      <c r="J20" s="49">
        <f t="shared" si="0"/>
        <v>4.66317</v>
      </c>
      <c r="K20" s="49">
        <f t="shared" si="1"/>
        <v>27.686300000000003</v>
      </c>
      <c r="L20" s="49">
        <f t="shared" si="2"/>
        <v>5.9372272509902064</v>
      </c>
    </row>
    <row r="21" spans="1:12">
      <c r="A21" s="49">
        <v>0.46346399999999999</v>
      </c>
      <c r="B21" s="49">
        <v>0.27575100000000002</v>
      </c>
      <c r="C21">
        <v>7.7178399999999998</v>
      </c>
      <c r="D21">
        <v>0</v>
      </c>
      <c r="E21" t="s">
        <v>2578</v>
      </c>
      <c r="F21" s="49">
        <f t="shared" si="3"/>
        <v>20</v>
      </c>
      <c r="J21" s="49">
        <f t="shared" si="0"/>
        <v>4.6346400000000001</v>
      </c>
      <c r="K21" s="49">
        <f t="shared" si="1"/>
        <v>27.575100000000003</v>
      </c>
      <c r="L21" s="49">
        <f t="shared" si="2"/>
        <v>5.9497825073792141</v>
      </c>
    </row>
    <row r="22" spans="1:12">
      <c r="A22" s="49">
        <v>0.46097399999999999</v>
      </c>
      <c r="B22" s="49">
        <v>0.27459099999999997</v>
      </c>
      <c r="C22">
        <v>8.1254799999999996</v>
      </c>
      <c r="D22">
        <v>0</v>
      </c>
      <c r="E22" t="s">
        <v>2579</v>
      </c>
      <c r="F22" s="49">
        <f t="shared" si="3"/>
        <v>21</v>
      </c>
      <c r="J22" s="49">
        <f t="shared" si="0"/>
        <v>4.6097400000000004</v>
      </c>
      <c r="K22" s="49">
        <f t="shared" si="1"/>
        <v>27.459099999999996</v>
      </c>
      <c r="L22" s="49">
        <f t="shared" si="2"/>
        <v>5.9567567802088606</v>
      </c>
    </row>
    <row r="23" spans="1:12">
      <c r="A23" s="49">
        <v>0.45844299999999999</v>
      </c>
      <c r="B23" s="49">
        <v>0.27362300000000001</v>
      </c>
      <c r="C23">
        <v>8.52956</v>
      </c>
      <c r="D23">
        <v>0</v>
      </c>
      <c r="E23" t="s">
        <v>2580</v>
      </c>
      <c r="F23" s="49">
        <f t="shared" si="3"/>
        <v>22</v>
      </c>
      <c r="J23" s="49">
        <f t="shared" si="0"/>
        <v>4.5844300000000002</v>
      </c>
      <c r="K23" s="49">
        <f t="shared" si="1"/>
        <v>27.362300000000001</v>
      </c>
      <c r="L23" s="49">
        <f t="shared" si="2"/>
        <v>5.9685282576023626</v>
      </c>
    </row>
    <row r="24" spans="1:12">
      <c r="A24" s="49">
        <v>0.45572099999999999</v>
      </c>
      <c r="B24" s="49">
        <v>0.27316600000000002</v>
      </c>
      <c r="C24">
        <v>8.9352699999999992</v>
      </c>
      <c r="D24">
        <v>0</v>
      </c>
      <c r="E24" t="s">
        <v>2581</v>
      </c>
      <c r="F24" s="49">
        <f t="shared" si="3"/>
        <v>23</v>
      </c>
      <c r="G24" t="s">
        <v>245</v>
      </c>
      <c r="H24">
        <f>COUNT(A2:A2000)</f>
        <v>97</v>
      </c>
      <c r="J24" s="49">
        <f t="shared" si="0"/>
        <v>4.5572099999999995</v>
      </c>
      <c r="K24" s="49">
        <f t="shared" si="1"/>
        <v>27.316600000000001</v>
      </c>
      <c r="L24" s="49">
        <f t="shared" si="2"/>
        <v>5.9941499294524512</v>
      </c>
    </row>
    <row r="25" spans="1:12">
      <c r="A25" s="49">
        <v>0.45305099999999998</v>
      </c>
      <c r="B25" s="49">
        <v>0.27273900000000001</v>
      </c>
      <c r="C25">
        <v>9.3403600000000004</v>
      </c>
      <c r="D25">
        <v>0</v>
      </c>
      <c r="E25" t="s">
        <v>2582</v>
      </c>
      <c r="F25" s="49">
        <f t="shared" si="3"/>
        <v>24</v>
      </c>
      <c r="J25" s="49">
        <f t="shared" si="0"/>
        <v>4.5305099999999996</v>
      </c>
      <c r="K25" s="49">
        <f t="shared" si="1"/>
        <v>27.273900000000001</v>
      </c>
      <c r="L25" s="49">
        <f t="shared" si="2"/>
        <v>6.020050722766312</v>
      </c>
    </row>
    <row r="26" spans="1:12">
      <c r="A26" s="49">
        <v>0.45014199999999999</v>
      </c>
      <c r="B26" s="49">
        <v>0.27222099999999999</v>
      </c>
      <c r="C26">
        <v>9.7490000000000006</v>
      </c>
      <c r="D26">
        <v>0</v>
      </c>
      <c r="E26" t="s">
        <v>2583</v>
      </c>
      <c r="F26" s="49">
        <f t="shared" si="3"/>
        <v>25</v>
      </c>
      <c r="J26" s="49">
        <f t="shared" si="0"/>
        <v>4.5014199999999995</v>
      </c>
      <c r="K26" s="49">
        <f t="shared" si="1"/>
        <v>27.222099999999998</v>
      </c>
      <c r="L26" s="49">
        <f t="shared" si="2"/>
        <v>6.0474472499788954</v>
      </c>
    </row>
    <row r="27" spans="1:12">
      <c r="A27" s="49">
        <v>0.44734099999999999</v>
      </c>
      <c r="B27" s="49">
        <v>0.27165499999999998</v>
      </c>
      <c r="C27">
        <v>10.1539</v>
      </c>
      <c r="D27">
        <v>0</v>
      </c>
      <c r="E27" t="s">
        <v>2584</v>
      </c>
      <c r="F27" s="49">
        <f t="shared" si="3"/>
        <v>26</v>
      </c>
      <c r="J27" s="49">
        <f t="shared" si="0"/>
        <v>4.4734099999999994</v>
      </c>
      <c r="K27" s="49">
        <f t="shared" si="1"/>
        <v>27.165499999999998</v>
      </c>
      <c r="L27" s="49">
        <f t="shared" si="2"/>
        <v>6.0726604536583952</v>
      </c>
    </row>
    <row r="28" spans="1:12">
      <c r="A28" s="49">
        <v>0.444878</v>
      </c>
      <c r="B28" s="49">
        <v>0.27077499999999999</v>
      </c>
      <c r="C28">
        <v>10.562200000000001</v>
      </c>
      <c r="D28">
        <v>0</v>
      </c>
      <c r="E28" t="s">
        <v>2585</v>
      </c>
      <c r="F28" s="49">
        <f t="shared" si="3"/>
        <v>27</v>
      </c>
      <c r="J28" s="49">
        <f t="shared" si="0"/>
        <v>4.4487800000000002</v>
      </c>
      <c r="K28" s="49">
        <f t="shared" si="1"/>
        <v>27.077500000000001</v>
      </c>
      <c r="L28" s="49">
        <f t="shared" si="2"/>
        <v>6.0865001191337846</v>
      </c>
    </row>
    <row r="29" spans="1:12">
      <c r="A29" s="49">
        <v>0.44201200000000002</v>
      </c>
      <c r="B29" s="49">
        <v>0.27013100000000001</v>
      </c>
      <c r="C29">
        <v>10.9686</v>
      </c>
      <c r="D29">
        <v>0</v>
      </c>
      <c r="E29" t="s">
        <v>2586</v>
      </c>
      <c r="F29" s="49">
        <f t="shared" si="3"/>
        <v>28</v>
      </c>
      <c r="J29" s="49">
        <f t="shared" si="0"/>
        <v>4.4201199999999998</v>
      </c>
      <c r="K29" s="49">
        <f t="shared" si="1"/>
        <v>27.013100000000001</v>
      </c>
      <c r="L29" s="49">
        <f t="shared" si="2"/>
        <v>6.1113951657421071</v>
      </c>
    </row>
    <row r="30" spans="1:12">
      <c r="A30" s="49">
        <v>0.438969</v>
      </c>
      <c r="B30" s="49">
        <v>0.26993499999999998</v>
      </c>
      <c r="C30">
        <v>11.3721</v>
      </c>
      <c r="D30">
        <v>0</v>
      </c>
      <c r="E30" t="s">
        <v>2587</v>
      </c>
      <c r="F30" s="49">
        <f t="shared" si="3"/>
        <v>29</v>
      </c>
      <c r="J30" s="49">
        <f t="shared" si="0"/>
        <v>4.3896899999999999</v>
      </c>
      <c r="K30" s="49">
        <f t="shared" si="1"/>
        <v>26.993499999999997</v>
      </c>
      <c r="L30" s="49">
        <f t="shared" si="2"/>
        <v>6.1492952805323382</v>
      </c>
    </row>
    <row r="31" spans="1:12">
      <c r="A31" s="49">
        <v>0.43645899999999999</v>
      </c>
      <c r="B31" s="49">
        <v>0.26984200000000003</v>
      </c>
      <c r="C31">
        <v>11.7818</v>
      </c>
      <c r="D31">
        <v>0</v>
      </c>
      <c r="E31" t="s">
        <v>2588</v>
      </c>
      <c r="F31" s="49">
        <f t="shared" si="3"/>
        <v>30</v>
      </c>
      <c r="J31" s="49">
        <f t="shared" si="0"/>
        <v>4.3645899999999997</v>
      </c>
      <c r="K31" s="49">
        <f t="shared" si="1"/>
        <v>26.984200000000001</v>
      </c>
      <c r="L31" s="49">
        <f t="shared" si="2"/>
        <v>6.1825280266875016</v>
      </c>
    </row>
    <row r="32" spans="1:12">
      <c r="A32" s="49">
        <v>0.43413000000000002</v>
      </c>
      <c r="B32" s="49">
        <v>0.26959300000000003</v>
      </c>
      <c r="C32">
        <v>12.1854</v>
      </c>
      <c r="D32">
        <v>0</v>
      </c>
      <c r="E32" t="s">
        <v>2589</v>
      </c>
      <c r="F32" s="49">
        <f t="shared" si="3"/>
        <v>31</v>
      </c>
      <c r="J32" s="49">
        <f t="shared" si="0"/>
        <v>4.3413000000000004</v>
      </c>
      <c r="K32" s="49">
        <f t="shared" si="1"/>
        <v>26.959300000000002</v>
      </c>
      <c r="L32" s="49">
        <f t="shared" si="2"/>
        <v>6.2099601501854282</v>
      </c>
    </row>
    <row r="33" spans="1:12">
      <c r="A33" s="49">
        <v>0.43192599999999998</v>
      </c>
      <c r="B33" s="49">
        <v>0.26980799999999999</v>
      </c>
      <c r="C33">
        <v>12.5938</v>
      </c>
      <c r="D33">
        <v>0</v>
      </c>
      <c r="E33" t="s">
        <v>2590</v>
      </c>
      <c r="F33" s="49">
        <f t="shared" si="3"/>
        <v>32</v>
      </c>
      <c r="J33" s="49">
        <f t="shared" si="0"/>
        <v>4.3192599999999999</v>
      </c>
      <c r="K33" s="49">
        <f t="shared" si="1"/>
        <v>26.980799999999999</v>
      </c>
      <c r="L33" s="49">
        <f t="shared" si="2"/>
        <v>6.2466255793816527</v>
      </c>
    </row>
    <row r="34" spans="1:12">
      <c r="A34" s="49">
        <v>0.42988599999999999</v>
      </c>
      <c r="B34" s="49">
        <v>0.27077600000000002</v>
      </c>
      <c r="C34">
        <v>12.9998</v>
      </c>
      <c r="D34">
        <v>0</v>
      </c>
      <c r="E34" t="s">
        <v>2591</v>
      </c>
      <c r="F34" s="49">
        <f t="shared" si="3"/>
        <v>33</v>
      </c>
      <c r="J34" s="49">
        <f t="shared" si="0"/>
        <v>4.2988599999999995</v>
      </c>
      <c r="K34" s="49">
        <f t="shared" si="1"/>
        <v>27.0776</v>
      </c>
      <c r="L34" s="49">
        <f t="shared" si="2"/>
        <v>6.2987861898270712</v>
      </c>
    </row>
    <row r="35" spans="1:12">
      <c r="A35" s="49">
        <v>0.42779400000000001</v>
      </c>
      <c r="B35" s="49">
        <v>0.272534</v>
      </c>
      <c r="C35">
        <v>13.4057</v>
      </c>
      <c r="D35">
        <v>0</v>
      </c>
      <c r="E35" t="s">
        <v>2592</v>
      </c>
      <c r="F35" s="49">
        <f t="shared" si="3"/>
        <v>34</v>
      </c>
      <c r="J35" s="49">
        <f t="shared" si="0"/>
        <v>4.2779400000000001</v>
      </c>
      <c r="K35" s="49">
        <f t="shared" si="1"/>
        <v>27.253399999999999</v>
      </c>
      <c r="L35" s="49">
        <f t="shared" si="2"/>
        <v>6.3706830857842789</v>
      </c>
    </row>
    <row r="36" spans="1:12">
      <c r="A36" s="49">
        <v>0.42555199999999999</v>
      </c>
      <c r="B36" s="49">
        <v>0.27475500000000003</v>
      </c>
      <c r="C36">
        <v>13.812799999999999</v>
      </c>
      <c r="D36">
        <v>0</v>
      </c>
      <c r="E36" t="s">
        <v>2593</v>
      </c>
      <c r="F36" s="49">
        <f t="shared" si="3"/>
        <v>35</v>
      </c>
      <c r="J36" s="49">
        <f t="shared" si="0"/>
        <v>4.2555199999999997</v>
      </c>
      <c r="K36" s="49">
        <f t="shared" si="1"/>
        <v>27.475500000000004</v>
      </c>
      <c r="L36" s="49">
        <f t="shared" si="2"/>
        <v>6.4564377561379116</v>
      </c>
    </row>
    <row r="37" spans="1:12">
      <c r="A37" s="49">
        <v>0.42340100000000003</v>
      </c>
      <c r="B37" s="49">
        <v>0.27691900000000003</v>
      </c>
      <c r="C37">
        <v>14.2178</v>
      </c>
      <c r="D37">
        <v>0</v>
      </c>
      <c r="E37" t="s">
        <v>2594</v>
      </c>
      <c r="F37" s="49">
        <f t="shared" si="3"/>
        <v>36</v>
      </c>
      <c r="J37" s="49">
        <f t="shared" si="0"/>
        <v>4.2340100000000005</v>
      </c>
      <c r="K37" s="49">
        <f t="shared" si="1"/>
        <v>27.691900000000004</v>
      </c>
      <c r="L37" s="49">
        <f t="shared" si="2"/>
        <v>6.5403482750395021</v>
      </c>
    </row>
    <row r="38" spans="1:12">
      <c r="A38" s="49">
        <v>0.42142800000000002</v>
      </c>
      <c r="B38" s="49">
        <v>0.27953600000000001</v>
      </c>
      <c r="C38">
        <v>14.6227</v>
      </c>
      <c r="D38">
        <v>0</v>
      </c>
      <c r="E38" t="s">
        <v>2595</v>
      </c>
      <c r="F38" s="49">
        <f t="shared" si="3"/>
        <v>37</v>
      </c>
      <c r="J38" s="49">
        <f t="shared" si="0"/>
        <v>4.2142800000000005</v>
      </c>
      <c r="K38" s="49">
        <f t="shared" si="1"/>
        <v>27.953600000000002</v>
      </c>
      <c r="L38" s="49">
        <f t="shared" si="2"/>
        <v>6.6330666211072824</v>
      </c>
    </row>
    <row r="39" spans="1:12">
      <c r="A39" s="49">
        <v>0.419709</v>
      </c>
      <c r="B39" s="49">
        <v>0.28150199999999997</v>
      </c>
      <c r="C39">
        <v>15.0305</v>
      </c>
      <c r="D39">
        <v>0</v>
      </c>
      <c r="E39" t="s">
        <v>2596</v>
      </c>
      <c r="F39" s="49">
        <f t="shared" si="3"/>
        <v>38</v>
      </c>
      <c r="J39" s="49">
        <f t="shared" si="0"/>
        <v>4.1970900000000002</v>
      </c>
      <c r="K39" s="49">
        <f t="shared" si="1"/>
        <v>28.150199999999998</v>
      </c>
      <c r="L39" s="49">
        <f t="shared" si="2"/>
        <v>6.707075616677268</v>
      </c>
    </row>
    <row r="40" spans="1:12">
      <c r="A40" s="49">
        <v>0.41808000000000001</v>
      </c>
      <c r="B40" s="49">
        <v>0.28290999999999999</v>
      </c>
      <c r="C40">
        <v>15.4346</v>
      </c>
      <c r="D40">
        <v>0</v>
      </c>
      <c r="E40" t="s">
        <v>2597</v>
      </c>
      <c r="F40" s="49">
        <f t="shared" si="3"/>
        <v>39</v>
      </c>
      <c r="J40" s="49">
        <f t="shared" si="0"/>
        <v>4.1807999999999996</v>
      </c>
      <c r="K40" s="49">
        <f t="shared" si="1"/>
        <v>28.291</v>
      </c>
      <c r="L40" s="49">
        <f t="shared" si="2"/>
        <v>6.7668867202449299</v>
      </c>
    </row>
    <row r="41" spans="1:12">
      <c r="A41" s="49">
        <v>0.41641099999999998</v>
      </c>
      <c r="B41" s="49">
        <v>0.283854</v>
      </c>
      <c r="C41">
        <v>15.846299999999999</v>
      </c>
      <c r="D41">
        <v>0</v>
      </c>
      <c r="E41" t="s">
        <v>2598</v>
      </c>
      <c r="F41" s="49">
        <f t="shared" si="3"/>
        <v>40</v>
      </c>
      <c r="J41" s="49">
        <f t="shared" si="0"/>
        <v>4.16411</v>
      </c>
      <c r="K41" s="49">
        <f t="shared" si="1"/>
        <v>28.385400000000001</v>
      </c>
      <c r="L41" s="49">
        <f t="shared" si="2"/>
        <v>6.8166787140589467</v>
      </c>
    </row>
    <row r="42" spans="1:12">
      <c r="A42" s="49">
        <v>0.41473100000000002</v>
      </c>
      <c r="B42" s="49">
        <v>0.28440300000000002</v>
      </c>
      <c r="C42">
        <v>16.252300000000002</v>
      </c>
      <c r="D42">
        <v>0</v>
      </c>
      <c r="E42" t="s">
        <v>2599</v>
      </c>
      <c r="F42" s="49">
        <f t="shared" si="3"/>
        <v>41</v>
      </c>
      <c r="J42" s="49">
        <f t="shared" si="0"/>
        <v>4.1473100000000001</v>
      </c>
      <c r="K42" s="49">
        <f t="shared" si="1"/>
        <v>28.440300000000001</v>
      </c>
      <c r="L42" s="49">
        <f t="shared" si="2"/>
        <v>6.8575293382939781</v>
      </c>
    </row>
    <row r="43" spans="1:12">
      <c r="A43" s="49">
        <v>0.41301599999999999</v>
      </c>
      <c r="B43" s="49">
        <v>0.28453200000000001</v>
      </c>
      <c r="C43">
        <v>16.6554</v>
      </c>
      <c r="D43">
        <v>0</v>
      </c>
      <c r="E43" t="s">
        <v>2600</v>
      </c>
      <c r="F43" s="49">
        <f t="shared" si="3"/>
        <v>42</v>
      </c>
      <c r="J43" s="49">
        <f t="shared" si="0"/>
        <v>4.1301600000000001</v>
      </c>
      <c r="K43" s="49">
        <f t="shared" si="1"/>
        <v>28.453200000000002</v>
      </c>
      <c r="L43" s="49">
        <f t="shared" si="2"/>
        <v>6.8891277819745484</v>
      </c>
    </row>
    <row r="44" spans="1:12">
      <c r="A44" s="49">
        <v>0.41135300000000002</v>
      </c>
      <c r="B44" s="49">
        <v>0.284472</v>
      </c>
      <c r="C44">
        <v>17.0609</v>
      </c>
      <c r="D44">
        <v>0</v>
      </c>
      <c r="E44" t="s">
        <v>2601</v>
      </c>
      <c r="F44" s="49">
        <f t="shared" si="3"/>
        <v>43</v>
      </c>
      <c r="J44" s="49">
        <f t="shared" si="0"/>
        <v>4.1135299999999999</v>
      </c>
      <c r="K44" s="49">
        <f t="shared" si="1"/>
        <v>28.447199999999999</v>
      </c>
      <c r="L44" s="49">
        <f t="shared" si="2"/>
        <v>6.9155202466008507</v>
      </c>
    </row>
    <row r="45" spans="1:12">
      <c r="A45" s="49">
        <v>0.40956799999999999</v>
      </c>
      <c r="B45" s="49">
        <v>0.28402899999999998</v>
      </c>
      <c r="C45">
        <v>17.468</v>
      </c>
      <c r="D45">
        <v>0</v>
      </c>
      <c r="E45" t="s">
        <v>2602</v>
      </c>
      <c r="F45" s="49">
        <f t="shared" si="3"/>
        <v>44</v>
      </c>
      <c r="J45" s="49">
        <f t="shared" si="0"/>
        <v>4.0956799999999998</v>
      </c>
      <c r="K45" s="49">
        <f t="shared" si="1"/>
        <v>28.402899999999999</v>
      </c>
      <c r="L45" s="49">
        <f t="shared" si="2"/>
        <v>6.9348435424642547</v>
      </c>
    </row>
    <row r="46" spans="1:12">
      <c r="A46" s="49">
        <v>0.40770600000000001</v>
      </c>
      <c r="B46" s="49">
        <v>0.28326400000000002</v>
      </c>
      <c r="C46">
        <v>17.8766</v>
      </c>
      <c r="D46">
        <v>0</v>
      </c>
      <c r="E46" t="s">
        <v>2603</v>
      </c>
      <c r="F46" s="49">
        <f t="shared" si="3"/>
        <v>45</v>
      </c>
      <c r="J46" s="49">
        <f t="shared" si="0"/>
        <v>4.0770600000000004</v>
      </c>
      <c r="K46" s="49">
        <f t="shared" si="1"/>
        <v>28.326400000000003</v>
      </c>
      <c r="L46" s="49">
        <f t="shared" si="2"/>
        <v>6.9477515660794786</v>
      </c>
    </row>
    <row r="47" spans="1:12">
      <c r="A47" s="49">
        <v>0.405781</v>
      </c>
      <c r="B47" s="49">
        <v>0.28237400000000001</v>
      </c>
      <c r="C47">
        <v>18.2804</v>
      </c>
      <c r="D47">
        <v>0</v>
      </c>
      <c r="E47" t="s">
        <v>2604</v>
      </c>
      <c r="F47" s="49">
        <f t="shared" si="3"/>
        <v>46</v>
      </c>
      <c r="J47" s="49">
        <f t="shared" si="0"/>
        <v>4.0578099999999999</v>
      </c>
      <c r="K47" s="49">
        <f t="shared" si="1"/>
        <v>28.237400000000001</v>
      </c>
      <c r="L47" s="49">
        <f t="shared" si="2"/>
        <v>6.9587782572372783</v>
      </c>
    </row>
    <row r="48" spans="1:12">
      <c r="A48" s="49">
        <v>0.404034</v>
      </c>
      <c r="B48" s="49">
        <v>0.280279</v>
      </c>
      <c r="C48">
        <v>18.685600000000001</v>
      </c>
      <c r="D48">
        <v>0</v>
      </c>
      <c r="E48" t="s">
        <v>2605</v>
      </c>
      <c r="F48" s="49">
        <f t="shared" si="3"/>
        <v>47</v>
      </c>
      <c r="J48" s="49">
        <f t="shared" si="0"/>
        <v>4.0403400000000005</v>
      </c>
      <c r="K48" s="49">
        <f t="shared" si="1"/>
        <v>28.027899999999999</v>
      </c>
      <c r="L48" s="49">
        <f t="shared" si="2"/>
        <v>6.9370152016909454</v>
      </c>
    </row>
    <row r="49" spans="1:12">
      <c r="A49" s="49">
        <v>0.40281600000000001</v>
      </c>
      <c r="B49" s="49">
        <v>0.277057</v>
      </c>
      <c r="C49">
        <v>19.095400000000001</v>
      </c>
      <c r="D49">
        <v>0</v>
      </c>
      <c r="E49" t="s">
        <v>2606</v>
      </c>
      <c r="F49" s="49">
        <f t="shared" si="3"/>
        <v>48</v>
      </c>
      <c r="J49" s="49">
        <f t="shared" si="0"/>
        <v>4.0281599999999997</v>
      </c>
      <c r="K49" s="49">
        <f t="shared" si="1"/>
        <v>27.7057</v>
      </c>
      <c r="L49" s="49">
        <f t="shared" si="2"/>
        <v>6.8780038528757554</v>
      </c>
    </row>
    <row r="50" spans="1:12">
      <c r="A50" s="49">
        <v>0.40207300000000001</v>
      </c>
      <c r="B50" s="49">
        <v>0.27362199999999998</v>
      </c>
      <c r="C50">
        <v>19.497699999999998</v>
      </c>
      <c r="D50">
        <v>0</v>
      </c>
      <c r="E50" t="s">
        <v>2607</v>
      </c>
      <c r="F50" s="49">
        <f t="shared" si="3"/>
        <v>49</v>
      </c>
      <c r="J50" s="49">
        <f t="shared" si="0"/>
        <v>4.0207300000000004</v>
      </c>
      <c r="K50" s="49">
        <f t="shared" si="1"/>
        <v>27.362199999999998</v>
      </c>
      <c r="L50" s="49">
        <f t="shared" si="2"/>
        <v>6.8052816279630806</v>
      </c>
    </row>
    <row r="51" spans="1:12">
      <c r="A51" s="49">
        <v>0.40195199999999998</v>
      </c>
      <c r="B51" s="49">
        <v>0.269484</v>
      </c>
      <c r="C51">
        <v>19.904800000000002</v>
      </c>
      <c r="D51">
        <v>0</v>
      </c>
      <c r="E51" t="s">
        <v>2608</v>
      </c>
      <c r="F51" s="49">
        <f t="shared" si="3"/>
        <v>50</v>
      </c>
      <c r="J51" s="49">
        <f t="shared" si="0"/>
        <v>4.01952</v>
      </c>
      <c r="K51" s="49">
        <f t="shared" si="1"/>
        <v>26.948399999999999</v>
      </c>
      <c r="L51" s="49">
        <f t="shared" si="2"/>
        <v>6.7043826128492956</v>
      </c>
    </row>
    <row r="52" spans="1:12">
      <c r="A52" s="49">
        <v>0.40188099999999999</v>
      </c>
      <c r="B52" s="49">
        <v>0.26551900000000001</v>
      </c>
      <c r="C52">
        <v>20.3125</v>
      </c>
      <c r="D52">
        <v>0</v>
      </c>
      <c r="E52" t="s">
        <v>2609</v>
      </c>
      <c r="F52" s="49">
        <f t="shared" si="3"/>
        <v>51</v>
      </c>
      <c r="J52" s="49">
        <f t="shared" si="0"/>
        <v>4.0188100000000002</v>
      </c>
      <c r="K52" s="49">
        <f t="shared" si="1"/>
        <v>26.5519</v>
      </c>
      <c r="L52" s="49">
        <f t="shared" si="2"/>
        <v>6.6069060244201641</v>
      </c>
    </row>
    <row r="53" spans="1:12">
      <c r="A53" s="49">
        <v>0.40168900000000002</v>
      </c>
      <c r="B53" s="49">
        <v>0.26209300000000002</v>
      </c>
      <c r="C53">
        <v>20.718299999999999</v>
      </c>
      <c r="D53">
        <v>0</v>
      </c>
      <c r="E53" t="s">
        <v>2610</v>
      </c>
      <c r="F53" s="49">
        <f t="shared" si="3"/>
        <v>52</v>
      </c>
      <c r="J53" s="49">
        <f t="shared" si="0"/>
        <v>4.0168900000000001</v>
      </c>
      <c r="K53" s="49">
        <f t="shared" si="1"/>
        <v>26.209300000000002</v>
      </c>
      <c r="L53" s="49">
        <f t="shared" si="2"/>
        <v>6.5247741411888303</v>
      </c>
    </row>
    <row r="54" spans="1:12">
      <c r="A54" s="49">
        <v>0.40151900000000001</v>
      </c>
      <c r="B54" s="49">
        <v>0.25848199999999999</v>
      </c>
      <c r="C54">
        <v>21.125299999999999</v>
      </c>
      <c r="D54">
        <v>0</v>
      </c>
      <c r="E54" t="s">
        <v>2611</v>
      </c>
      <c r="F54" s="49">
        <f t="shared" si="3"/>
        <v>53</v>
      </c>
      <c r="J54" s="49">
        <f t="shared" si="0"/>
        <v>4.0151900000000005</v>
      </c>
      <c r="K54" s="49">
        <f t="shared" si="1"/>
        <v>25.848199999999999</v>
      </c>
      <c r="L54" s="49">
        <f t="shared" si="2"/>
        <v>6.4376032018410072</v>
      </c>
    </row>
    <row r="55" spans="1:12">
      <c r="A55" s="49">
        <v>0.40143800000000002</v>
      </c>
      <c r="B55" s="49">
        <v>0.25512000000000001</v>
      </c>
      <c r="C55">
        <v>21.531400000000001</v>
      </c>
      <c r="D55">
        <v>0</v>
      </c>
      <c r="E55" t="s">
        <v>2612</v>
      </c>
      <c r="F55" s="49">
        <f t="shared" si="3"/>
        <v>54</v>
      </c>
      <c r="J55" s="49">
        <f t="shared" si="0"/>
        <v>4.0143800000000001</v>
      </c>
      <c r="K55" s="49">
        <f t="shared" si="1"/>
        <v>25.512</v>
      </c>
      <c r="L55" s="49">
        <f t="shared" si="2"/>
        <v>6.3551532241591477</v>
      </c>
    </row>
    <row r="56" spans="1:12">
      <c r="A56" s="49">
        <v>0.401306</v>
      </c>
      <c r="B56" s="49">
        <v>0.25219200000000003</v>
      </c>
      <c r="C56">
        <v>21.936</v>
      </c>
      <c r="D56">
        <v>0</v>
      </c>
      <c r="E56" t="s">
        <v>2613</v>
      </c>
      <c r="F56" s="49">
        <f t="shared" si="3"/>
        <v>55</v>
      </c>
      <c r="J56" s="49">
        <f t="shared" si="0"/>
        <v>4.0130600000000003</v>
      </c>
      <c r="K56" s="49">
        <f t="shared" si="1"/>
        <v>25.219200000000004</v>
      </c>
      <c r="L56" s="49">
        <f t="shared" si="2"/>
        <v>6.2842818198581636</v>
      </c>
    </row>
    <row r="57" spans="1:12">
      <c r="A57" s="49">
        <v>0.40108700000000003</v>
      </c>
      <c r="B57" s="49">
        <v>0.249866</v>
      </c>
      <c r="C57">
        <v>22.341100000000001</v>
      </c>
      <c r="D57">
        <v>0</v>
      </c>
      <c r="E57" t="s">
        <v>2614</v>
      </c>
      <c r="F57" s="49">
        <f t="shared" si="3"/>
        <v>56</v>
      </c>
      <c r="J57" s="49">
        <f t="shared" si="0"/>
        <v>4.0108700000000006</v>
      </c>
      <c r="K57" s="49">
        <f t="shared" si="1"/>
        <v>24.986599999999999</v>
      </c>
      <c r="L57" s="49">
        <f t="shared" si="2"/>
        <v>6.2297207339056104</v>
      </c>
    </row>
    <row r="58" spans="1:12">
      <c r="A58" s="49">
        <v>0.400812</v>
      </c>
      <c r="B58" s="49">
        <v>0.24760799999999999</v>
      </c>
      <c r="C58">
        <v>22.75</v>
      </c>
      <c r="D58">
        <v>0</v>
      </c>
      <c r="E58" t="s">
        <v>2615</v>
      </c>
      <c r="F58" s="49">
        <f t="shared" si="3"/>
        <v>57</v>
      </c>
      <c r="J58" s="49">
        <f t="shared" si="0"/>
        <v>4.0081199999999999</v>
      </c>
      <c r="K58" s="49">
        <f t="shared" si="1"/>
        <v>24.7608</v>
      </c>
      <c r="L58" s="49">
        <f t="shared" si="2"/>
        <v>6.1776593515164215</v>
      </c>
    </row>
    <row r="59" spans="1:12">
      <c r="A59" s="49">
        <v>0.40038200000000002</v>
      </c>
      <c r="B59" s="49">
        <v>0.24520800000000001</v>
      </c>
      <c r="C59">
        <v>23.153300000000002</v>
      </c>
      <c r="D59">
        <v>0</v>
      </c>
      <c r="E59" t="s">
        <v>2616</v>
      </c>
      <c r="F59" s="49">
        <f t="shared" si="3"/>
        <v>58</v>
      </c>
      <c r="J59" s="49">
        <f t="shared" si="0"/>
        <v>4.0038200000000002</v>
      </c>
      <c r="K59" s="49">
        <f t="shared" si="1"/>
        <v>24.520800000000001</v>
      </c>
      <c r="L59" s="49">
        <f t="shared" si="2"/>
        <v>6.1243512445614439</v>
      </c>
    </row>
    <row r="60" spans="1:12">
      <c r="A60" s="49">
        <v>0.3997</v>
      </c>
      <c r="B60" s="49">
        <v>0.24329200000000001</v>
      </c>
      <c r="C60">
        <v>23.562200000000001</v>
      </c>
      <c r="D60">
        <v>0</v>
      </c>
      <c r="E60" t="s">
        <v>2617</v>
      </c>
      <c r="F60" s="49">
        <f t="shared" si="3"/>
        <v>59</v>
      </c>
      <c r="J60" s="49">
        <f t="shared" si="0"/>
        <v>3.9969999999999999</v>
      </c>
      <c r="K60" s="49">
        <f t="shared" si="1"/>
        <v>24.3292</v>
      </c>
      <c r="L60" s="49">
        <f t="shared" si="2"/>
        <v>6.0868651488616461</v>
      </c>
    </row>
    <row r="61" spans="1:12">
      <c r="A61" s="49">
        <v>0.399113</v>
      </c>
      <c r="B61" s="49">
        <v>0.240701</v>
      </c>
      <c r="C61">
        <v>23.968800000000002</v>
      </c>
      <c r="D61">
        <v>0</v>
      </c>
      <c r="E61" t="s">
        <v>2618</v>
      </c>
      <c r="F61" s="49">
        <f t="shared" si="3"/>
        <v>60</v>
      </c>
      <c r="J61" s="49">
        <f t="shared" si="0"/>
        <v>3.9911300000000001</v>
      </c>
      <c r="K61" s="49">
        <f t="shared" si="1"/>
        <v>24.0701</v>
      </c>
      <c r="L61" s="49">
        <f t="shared" si="2"/>
        <v>6.0308985174624725</v>
      </c>
    </row>
    <row r="62" spans="1:12">
      <c r="A62" s="49">
        <v>0.39874700000000002</v>
      </c>
      <c r="B62" s="49">
        <v>0.23774999999999999</v>
      </c>
      <c r="C62">
        <v>24.372399999999999</v>
      </c>
      <c r="D62">
        <v>0</v>
      </c>
      <c r="E62" t="s">
        <v>2619</v>
      </c>
      <c r="F62" s="49">
        <f t="shared" si="3"/>
        <v>61</v>
      </c>
      <c r="J62" s="49">
        <f t="shared" si="0"/>
        <v>3.9874700000000001</v>
      </c>
      <c r="K62" s="49">
        <f t="shared" si="1"/>
        <v>23.774999999999999</v>
      </c>
      <c r="L62" s="49">
        <f t="shared" si="2"/>
        <v>5.962427303528302</v>
      </c>
    </row>
    <row r="63" spans="1:12">
      <c r="A63" s="49">
        <v>0.39827200000000001</v>
      </c>
      <c r="B63" s="49">
        <v>0.23500599999999999</v>
      </c>
      <c r="C63">
        <v>24.78</v>
      </c>
      <c r="D63">
        <v>0</v>
      </c>
      <c r="E63" t="s">
        <v>2620</v>
      </c>
      <c r="F63" s="49">
        <f t="shared" si="3"/>
        <v>62</v>
      </c>
      <c r="J63" s="49">
        <f t="shared" si="0"/>
        <v>3.98272</v>
      </c>
      <c r="K63" s="49">
        <f t="shared" si="1"/>
        <v>23.500599999999999</v>
      </c>
      <c r="L63" s="49">
        <f t="shared" si="2"/>
        <v>5.9006407681182704</v>
      </c>
    </row>
    <row r="64" spans="1:12">
      <c r="A64" s="49">
        <v>0.39771000000000001</v>
      </c>
      <c r="B64" s="49">
        <v>0.23288900000000001</v>
      </c>
      <c r="C64">
        <v>25.1861</v>
      </c>
      <c r="D64">
        <v>0</v>
      </c>
      <c r="E64" t="s">
        <v>2621</v>
      </c>
      <c r="F64" s="49">
        <f t="shared" si="3"/>
        <v>63</v>
      </c>
      <c r="J64" s="49">
        <f t="shared" si="0"/>
        <v>3.9771000000000001</v>
      </c>
      <c r="K64" s="49">
        <f t="shared" si="1"/>
        <v>23.288900000000002</v>
      </c>
      <c r="L64" s="49">
        <f t="shared" si="2"/>
        <v>5.8557491639636927</v>
      </c>
    </row>
    <row r="65" spans="1:12">
      <c r="A65" s="49">
        <v>0.39717799999999998</v>
      </c>
      <c r="B65" s="49">
        <v>0.231294</v>
      </c>
      <c r="C65">
        <v>25.591899999999999</v>
      </c>
      <c r="D65">
        <v>0</v>
      </c>
      <c r="E65" t="s">
        <v>2622</v>
      </c>
      <c r="F65" s="49">
        <f t="shared" si="3"/>
        <v>64</v>
      </c>
      <c r="J65" s="49">
        <f t="shared" si="0"/>
        <v>3.9717799999999999</v>
      </c>
      <c r="K65" s="49">
        <f t="shared" si="1"/>
        <v>23.1294</v>
      </c>
      <c r="L65" s="49">
        <f t="shared" si="2"/>
        <v>5.8234343291924526</v>
      </c>
    </row>
    <row r="66" spans="1:12">
      <c r="A66" s="49">
        <v>0.39666800000000002</v>
      </c>
      <c r="B66" s="49">
        <v>0.23003399999999999</v>
      </c>
      <c r="C66">
        <v>25.999500000000001</v>
      </c>
      <c r="D66">
        <v>0</v>
      </c>
      <c r="E66" t="s">
        <v>2623</v>
      </c>
      <c r="F66" s="49">
        <f t="shared" si="3"/>
        <v>65</v>
      </c>
      <c r="J66" s="49">
        <f t="shared" si="0"/>
        <v>3.9666800000000002</v>
      </c>
      <c r="K66" s="49">
        <f t="shared" si="1"/>
        <v>23.003399999999999</v>
      </c>
      <c r="L66" s="49">
        <f t="shared" si="2"/>
        <v>5.7991569776236043</v>
      </c>
    </row>
    <row r="67" spans="1:12">
      <c r="A67" s="49">
        <v>0.3967</v>
      </c>
      <c r="B67" s="49">
        <v>0.22819999999999999</v>
      </c>
      <c r="C67">
        <v>26.404199999999999</v>
      </c>
      <c r="D67">
        <v>0</v>
      </c>
      <c r="E67" t="s">
        <v>2624</v>
      </c>
      <c r="F67" s="49">
        <f t="shared" si="3"/>
        <v>66</v>
      </c>
      <c r="J67" s="49">
        <f t="shared" ref="J67:J130" si="4">IF(A67&lt;&gt;"",A67*10,"")</f>
        <v>3.9670000000000001</v>
      </c>
      <c r="K67" s="49">
        <f t="shared" ref="K67:K130" si="5">IF(B67&lt;&gt;"",B67*100,"")</f>
        <v>22.82</v>
      </c>
      <c r="L67" s="49">
        <f t="shared" ref="L67:L130" si="6">IF(F67&lt;&gt;"",IF(K67&lt;&gt;0,K67/J67,0),"")</f>
        <v>5.7524577766574234</v>
      </c>
    </row>
    <row r="68" spans="1:12">
      <c r="A68" s="49">
        <v>0.39673599999999998</v>
      </c>
      <c r="B68" s="49">
        <v>0.22645799999999999</v>
      </c>
      <c r="C68">
        <v>26.8096</v>
      </c>
      <c r="D68">
        <v>0</v>
      </c>
      <c r="E68" t="s">
        <v>2625</v>
      </c>
      <c r="F68" s="49">
        <f t="shared" ref="F68:F131" si="7">IF(A68&lt;&gt;"",F67+1,"")</f>
        <v>67</v>
      </c>
      <c r="J68" s="49">
        <f t="shared" si="4"/>
        <v>3.9673599999999998</v>
      </c>
      <c r="K68" s="49">
        <f t="shared" si="5"/>
        <v>22.645799999999998</v>
      </c>
      <c r="L68" s="49">
        <f t="shared" si="6"/>
        <v>5.708027504436199</v>
      </c>
    </row>
    <row r="69" spans="1:12">
      <c r="A69" s="49">
        <v>0.39664500000000003</v>
      </c>
      <c r="B69" s="49">
        <v>0.22423399999999999</v>
      </c>
      <c r="C69">
        <v>27.222200000000001</v>
      </c>
      <c r="D69">
        <v>0</v>
      </c>
      <c r="E69" t="s">
        <v>2626</v>
      </c>
      <c r="F69" s="49">
        <f t="shared" si="7"/>
        <v>68</v>
      </c>
      <c r="J69" s="49">
        <f t="shared" si="4"/>
        <v>3.96645</v>
      </c>
      <c r="K69" s="49">
        <f t="shared" si="5"/>
        <v>22.423399999999997</v>
      </c>
      <c r="L69" s="49">
        <f t="shared" si="6"/>
        <v>5.6532667750759487</v>
      </c>
    </row>
    <row r="70" spans="1:12">
      <c r="A70" s="49">
        <v>0.39648299999999997</v>
      </c>
      <c r="B70" s="49">
        <v>0.22237299999999999</v>
      </c>
      <c r="C70">
        <v>27.623000000000001</v>
      </c>
      <c r="D70">
        <v>0</v>
      </c>
      <c r="E70" t="s">
        <v>2627</v>
      </c>
      <c r="F70" s="49">
        <f t="shared" si="7"/>
        <v>69</v>
      </c>
      <c r="J70" s="49">
        <f t="shared" si="4"/>
        <v>3.9648299999999996</v>
      </c>
      <c r="K70" s="49">
        <f t="shared" si="5"/>
        <v>22.237299999999998</v>
      </c>
      <c r="L70" s="49">
        <f t="shared" si="6"/>
        <v>5.6086389580385543</v>
      </c>
    </row>
    <row r="71" spans="1:12">
      <c r="A71" s="49">
        <v>0.39652100000000001</v>
      </c>
      <c r="B71" s="49">
        <v>0.22054499999999999</v>
      </c>
      <c r="C71">
        <v>28.029599999999999</v>
      </c>
      <c r="D71">
        <v>0</v>
      </c>
      <c r="E71" t="s">
        <v>2628</v>
      </c>
      <c r="F71" s="49">
        <f t="shared" si="7"/>
        <v>70</v>
      </c>
      <c r="J71" s="49">
        <f t="shared" si="4"/>
        <v>3.9652099999999999</v>
      </c>
      <c r="K71" s="49">
        <f t="shared" si="5"/>
        <v>22.054499999999997</v>
      </c>
      <c r="L71" s="49">
        <f t="shared" si="6"/>
        <v>5.5620004993430356</v>
      </c>
    </row>
    <row r="72" spans="1:12">
      <c r="A72" s="49">
        <v>0.39674199999999998</v>
      </c>
      <c r="B72" s="49">
        <v>0.21884300000000001</v>
      </c>
      <c r="C72">
        <v>28.4375</v>
      </c>
      <c r="D72">
        <v>0</v>
      </c>
      <c r="E72" t="s">
        <v>2629</v>
      </c>
      <c r="F72" s="49">
        <f t="shared" si="7"/>
        <v>71</v>
      </c>
      <c r="J72" s="49">
        <f t="shared" si="4"/>
        <v>3.9674199999999997</v>
      </c>
      <c r="K72" s="49">
        <f t="shared" si="5"/>
        <v>21.8843</v>
      </c>
      <c r="L72" s="49">
        <f t="shared" si="6"/>
        <v>5.5160028431575183</v>
      </c>
    </row>
    <row r="73" spans="1:12">
      <c r="A73" s="49">
        <v>0.39669599999999999</v>
      </c>
      <c r="B73" s="49">
        <v>0.21784600000000001</v>
      </c>
      <c r="C73">
        <v>28.8429</v>
      </c>
      <c r="D73">
        <v>0</v>
      </c>
      <c r="E73" t="s">
        <v>2630</v>
      </c>
      <c r="F73" s="49">
        <f t="shared" si="7"/>
        <v>72</v>
      </c>
      <c r="J73" s="49">
        <f t="shared" si="4"/>
        <v>3.9669599999999998</v>
      </c>
      <c r="K73" s="49">
        <f t="shared" si="5"/>
        <v>21.784600000000001</v>
      </c>
      <c r="L73" s="49">
        <f t="shared" si="6"/>
        <v>5.4915098715389119</v>
      </c>
    </row>
    <row r="74" spans="1:12">
      <c r="A74" s="49">
        <v>0.39646700000000001</v>
      </c>
      <c r="B74" s="49">
        <v>0.21714600000000001</v>
      </c>
      <c r="C74">
        <v>29.2532</v>
      </c>
      <c r="D74">
        <v>0</v>
      </c>
      <c r="E74" t="s">
        <v>2631</v>
      </c>
      <c r="F74" s="49">
        <f t="shared" si="7"/>
        <v>73</v>
      </c>
      <c r="J74" s="49">
        <f t="shared" si="4"/>
        <v>3.9646699999999999</v>
      </c>
      <c r="K74" s="49">
        <f t="shared" si="5"/>
        <v>21.714600000000001</v>
      </c>
      <c r="L74" s="49">
        <f t="shared" si="6"/>
        <v>5.4770258306492092</v>
      </c>
    </row>
    <row r="75" spans="1:12">
      <c r="A75" s="49">
        <v>0.396208</v>
      </c>
      <c r="B75" s="49">
        <v>0.216756</v>
      </c>
      <c r="C75">
        <v>29.654499999999999</v>
      </c>
      <c r="D75">
        <v>0</v>
      </c>
      <c r="E75" t="s">
        <v>2632</v>
      </c>
      <c r="F75" s="49">
        <f t="shared" si="7"/>
        <v>74</v>
      </c>
      <c r="J75" s="49">
        <f t="shared" si="4"/>
        <v>3.9620800000000003</v>
      </c>
      <c r="K75" s="49">
        <f t="shared" si="5"/>
        <v>21.675599999999999</v>
      </c>
      <c r="L75" s="49">
        <f t="shared" si="6"/>
        <v>5.4707628316439845</v>
      </c>
    </row>
    <row r="76" spans="1:12">
      <c r="A76" s="49">
        <v>0.39563399999999999</v>
      </c>
      <c r="B76" s="49">
        <v>0.216867</v>
      </c>
      <c r="C76">
        <v>30.062200000000001</v>
      </c>
      <c r="D76">
        <v>0</v>
      </c>
      <c r="E76" t="s">
        <v>2633</v>
      </c>
      <c r="F76" s="49">
        <f t="shared" si="7"/>
        <v>75</v>
      </c>
      <c r="J76" s="49">
        <f t="shared" si="4"/>
        <v>3.95634</v>
      </c>
      <c r="K76" s="49">
        <f t="shared" si="5"/>
        <v>21.686700000000002</v>
      </c>
      <c r="L76" s="49">
        <f t="shared" si="6"/>
        <v>5.4815056339950567</v>
      </c>
    </row>
    <row r="77" spans="1:12">
      <c r="A77" s="49">
        <v>0.39500299999999999</v>
      </c>
      <c r="B77" s="49">
        <v>0.21697900000000001</v>
      </c>
      <c r="C77">
        <v>30.466699999999999</v>
      </c>
      <c r="D77">
        <v>0</v>
      </c>
      <c r="E77" t="s">
        <v>2634</v>
      </c>
      <c r="F77" s="49">
        <f t="shared" si="7"/>
        <v>76</v>
      </c>
      <c r="J77" s="49">
        <f t="shared" si="4"/>
        <v>3.9500299999999999</v>
      </c>
      <c r="K77" s="49">
        <f t="shared" si="5"/>
        <v>21.697900000000001</v>
      </c>
      <c r="L77" s="49">
        <f t="shared" si="6"/>
        <v>5.4930975207783233</v>
      </c>
    </row>
    <row r="78" spans="1:12">
      <c r="A78" s="49">
        <v>0.39458199999999999</v>
      </c>
      <c r="B78" s="49">
        <v>0.21686900000000001</v>
      </c>
      <c r="C78">
        <v>30.8749</v>
      </c>
      <c r="D78">
        <v>0</v>
      </c>
      <c r="E78" t="s">
        <v>2635</v>
      </c>
      <c r="F78" s="49">
        <f t="shared" si="7"/>
        <v>77</v>
      </c>
      <c r="J78" s="49">
        <f t="shared" si="4"/>
        <v>3.9458199999999999</v>
      </c>
      <c r="K78" s="49">
        <f t="shared" si="5"/>
        <v>21.686900000000001</v>
      </c>
      <c r="L78" s="49">
        <f t="shared" si="6"/>
        <v>5.4961706311995995</v>
      </c>
    </row>
    <row r="79" spans="1:12">
      <c r="A79" s="49">
        <v>0.39417999999999997</v>
      </c>
      <c r="B79" s="49">
        <v>0.21734700000000001</v>
      </c>
      <c r="C79">
        <v>31.2822</v>
      </c>
      <c r="D79">
        <v>0</v>
      </c>
      <c r="E79" t="s">
        <v>2636</v>
      </c>
      <c r="F79" s="49">
        <f t="shared" si="7"/>
        <v>78</v>
      </c>
      <c r="J79" s="49">
        <f t="shared" si="4"/>
        <v>3.9417999999999997</v>
      </c>
      <c r="K79" s="49">
        <f t="shared" si="5"/>
        <v>21.7347</v>
      </c>
      <c r="L79" s="49">
        <f t="shared" si="6"/>
        <v>5.5139022781470395</v>
      </c>
    </row>
    <row r="80" spans="1:12">
      <c r="A80" s="49">
        <v>0.39344099999999999</v>
      </c>
      <c r="B80" s="49">
        <v>0.21823600000000001</v>
      </c>
      <c r="C80">
        <v>31.685199999999998</v>
      </c>
      <c r="D80">
        <v>0</v>
      </c>
      <c r="E80" t="s">
        <v>2637</v>
      </c>
      <c r="F80" s="49">
        <f t="shared" si="7"/>
        <v>79</v>
      </c>
      <c r="J80" s="49">
        <f t="shared" si="4"/>
        <v>3.9344099999999997</v>
      </c>
      <c r="K80" s="49">
        <f t="shared" si="5"/>
        <v>21.823600000000003</v>
      </c>
      <c r="L80" s="49">
        <f t="shared" si="6"/>
        <v>5.5468545474416757</v>
      </c>
    </row>
    <row r="81" spans="1:12">
      <c r="A81" s="49">
        <v>0.39250800000000002</v>
      </c>
      <c r="B81" s="49">
        <v>0.21895100000000001</v>
      </c>
      <c r="C81">
        <v>32.092300000000002</v>
      </c>
      <c r="D81">
        <v>0</v>
      </c>
      <c r="E81" t="s">
        <v>2638</v>
      </c>
      <c r="F81" s="49">
        <f t="shared" si="7"/>
        <v>80</v>
      </c>
      <c r="J81" s="49">
        <f t="shared" si="4"/>
        <v>3.9250800000000003</v>
      </c>
      <c r="K81" s="49">
        <f t="shared" si="5"/>
        <v>21.895099999999999</v>
      </c>
      <c r="L81" s="49">
        <f t="shared" si="6"/>
        <v>5.578255729819519</v>
      </c>
    </row>
    <row r="82" spans="1:12">
      <c r="A82" s="49">
        <v>0.39161200000000002</v>
      </c>
      <c r="B82" s="49">
        <v>0.21918299999999999</v>
      </c>
      <c r="C82">
        <v>32.4985</v>
      </c>
      <c r="D82">
        <v>0</v>
      </c>
      <c r="E82" t="s">
        <v>2639</v>
      </c>
      <c r="F82" s="49">
        <f t="shared" si="7"/>
        <v>81</v>
      </c>
      <c r="J82" s="49">
        <f t="shared" si="4"/>
        <v>3.9161200000000003</v>
      </c>
      <c r="K82" s="49">
        <f t="shared" si="5"/>
        <v>21.918299999999999</v>
      </c>
      <c r="L82" s="49">
        <f t="shared" si="6"/>
        <v>5.5969428924547762</v>
      </c>
    </row>
    <row r="83" spans="1:12">
      <c r="A83" s="49">
        <v>0.39073799999999997</v>
      </c>
      <c r="B83" s="49">
        <v>0.21912799999999999</v>
      </c>
      <c r="C83">
        <v>32.906100000000002</v>
      </c>
      <c r="D83">
        <v>0</v>
      </c>
      <c r="E83" t="s">
        <v>2640</v>
      </c>
      <c r="F83" s="49">
        <f t="shared" si="7"/>
        <v>82</v>
      </c>
      <c r="J83" s="49">
        <f t="shared" si="4"/>
        <v>3.9073799999999999</v>
      </c>
      <c r="K83" s="49">
        <f t="shared" si="5"/>
        <v>21.912799999999997</v>
      </c>
      <c r="L83" s="49">
        <f t="shared" si="6"/>
        <v>5.6080545019936627</v>
      </c>
    </row>
    <row r="84" spans="1:12">
      <c r="A84" s="49">
        <v>0.39013500000000001</v>
      </c>
      <c r="B84" s="49">
        <v>0.218754</v>
      </c>
      <c r="C84">
        <v>33.313400000000001</v>
      </c>
      <c r="D84">
        <v>0</v>
      </c>
      <c r="E84" t="s">
        <v>2641</v>
      </c>
      <c r="F84" s="49">
        <f t="shared" si="7"/>
        <v>83</v>
      </c>
      <c r="J84" s="49">
        <f t="shared" si="4"/>
        <v>3.9013499999999999</v>
      </c>
      <c r="K84" s="49">
        <f t="shared" si="5"/>
        <v>21.875399999999999</v>
      </c>
      <c r="L84" s="49">
        <f t="shared" si="6"/>
        <v>5.6071359913875964</v>
      </c>
    </row>
    <row r="85" spans="1:12">
      <c r="A85" s="49">
        <v>0.389907</v>
      </c>
      <c r="B85" s="49">
        <v>0.217497</v>
      </c>
      <c r="C85">
        <v>33.719000000000001</v>
      </c>
      <c r="D85">
        <v>0</v>
      </c>
      <c r="E85" t="s">
        <v>2642</v>
      </c>
      <c r="F85" s="49">
        <f t="shared" si="7"/>
        <v>84</v>
      </c>
      <c r="J85" s="49">
        <f t="shared" si="4"/>
        <v>3.89907</v>
      </c>
      <c r="K85" s="49">
        <f t="shared" si="5"/>
        <v>21.749700000000001</v>
      </c>
      <c r="L85" s="49">
        <f t="shared" si="6"/>
        <v>5.5781763343566544</v>
      </c>
    </row>
    <row r="86" spans="1:12">
      <c r="A86" s="49">
        <v>0.38977400000000001</v>
      </c>
      <c r="B86" s="49">
        <v>0.21676300000000001</v>
      </c>
      <c r="C86">
        <v>34.123399999999997</v>
      </c>
      <c r="D86">
        <v>0</v>
      </c>
      <c r="E86" t="s">
        <v>2643</v>
      </c>
      <c r="F86" s="49">
        <f t="shared" si="7"/>
        <v>85</v>
      </c>
      <c r="J86" s="49">
        <f t="shared" si="4"/>
        <v>3.8977400000000002</v>
      </c>
      <c r="K86" s="49">
        <f t="shared" si="5"/>
        <v>21.676300000000001</v>
      </c>
      <c r="L86" s="49">
        <f t="shared" si="6"/>
        <v>5.5612483131250414</v>
      </c>
    </row>
    <row r="87" spans="1:12">
      <c r="A87" s="49">
        <v>0.38963500000000001</v>
      </c>
      <c r="B87" s="49">
        <v>0.21585699999999999</v>
      </c>
      <c r="C87">
        <v>34.529200000000003</v>
      </c>
      <c r="D87">
        <v>0</v>
      </c>
      <c r="E87" t="s">
        <v>2644</v>
      </c>
      <c r="F87" s="49">
        <f t="shared" si="7"/>
        <v>86</v>
      </c>
      <c r="J87" s="49">
        <f t="shared" si="4"/>
        <v>3.89635</v>
      </c>
      <c r="K87" s="49">
        <f t="shared" si="5"/>
        <v>21.585699999999999</v>
      </c>
      <c r="L87" s="49">
        <f t="shared" si="6"/>
        <v>5.5399797246140619</v>
      </c>
    </row>
    <row r="88" spans="1:12">
      <c r="A88" s="49">
        <v>0.38978800000000002</v>
      </c>
      <c r="B88" s="49">
        <v>0.213751</v>
      </c>
      <c r="C88">
        <v>34.934800000000003</v>
      </c>
      <c r="D88">
        <v>0</v>
      </c>
      <c r="E88" t="s">
        <v>2645</v>
      </c>
      <c r="F88" s="49">
        <f t="shared" si="7"/>
        <v>87</v>
      </c>
      <c r="J88" s="49">
        <f t="shared" si="4"/>
        <v>3.8978800000000002</v>
      </c>
      <c r="K88" s="49">
        <f t="shared" si="5"/>
        <v>21.3751</v>
      </c>
      <c r="L88" s="49">
        <f t="shared" si="6"/>
        <v>5.483775796073763</v>
      </c>
    </row>
    <row r="89" spans="1:12">
      <c r="A89" s="49">
        <v>0.39019199999999998</v>
      </c>
      <c r="B89" s="49">
        <v>0.210423</v>
      </c>
      <c r="C89">
        <v>35.344099999999997</v>
      </c>
      <c r="D89">
        <v>0</v>
      </c>
      <c r="E89" t="s">
        <v>2646</v>
      </c>
      <c r="F89" s="49">
        <f t="shared" si="7"/>
        <v>88</v>
      </c>
      <c r="J89" s="49">
        <f t="shared" si="4"/>
        <v>3.9019199999999996</v>
      </c>
      <c r="K89" s="49">
        <f t="shared" si="5"/>
        <v>21.042300000000001</v>
      </c>
      <c r="L89" s="49">
        <f t="shared" si="6"/>
        <v>5.3928066182802317</v>
      </c>
    </row>
    <row r="90" spans="1:12">
      <c r="A90" s="49">
        <v>0.39049600000000001</v>
      </c>
      <c r="B90" s="49">
        <v>0.206763</v>
      </c>
      <c r="C90">
        <v>35.749099999999999</v>
      </c>
      <c r="D90">
        <v>0</v>
      </c>
      <c r="E90" t="s">
        <v>2647</v>
      </c>
      <c r="F90" s="49">
        <f t="shared" si="7"/>
        <v>89</v>
      </c>
      <c r="J90" s="49">
        <f t="shared" si="4"/>
        <v>3.90496</v>
      </c>
      <c r="K90" s="49">
        <f t="shared" si="5"/>
        <v>20.676300000000001</v>
      </c>
      <c r="L90" s="49">
        <f t="shared" si="6"/>
        <v>5.2948813816274694</v>
      </c>
    </row>
    <row r="91" spans="1:12">
      <c r="A91" s="49">
        <v>0.39058199999999998</v>
      </c>
      <c r="B91" s="49">
        <v>0.20308399999999999</v>
      </c>
      <c r="C91">
        <v>36.1526</v>
      </c>
      <c r="D91">
        <v>0</v>
      </c>
      <c r="E91" t="s">
        <v>2648</v>
      </c>
      <c r="F91" s="49">
        <f t="shared" si="7"/>
        <v>90</v>
      </c>
      <c r="J91" s="49">
        <f t="shared" si="4"/>
        <v>3.9058199999999998</v>
      </c>
      <c r="K91" s="49">
        <f t="shared" si="5"/>
        <v>20.308399999999999</v>
      </c>
      <c r="L91" s="49">
        <f t="shared" si="6"/>
        <v>5.1995227634658026</v>
      </c>
    </row>
    <row r="92" spans="1:12">
      <c r="A92" s="49">
        <v>0.38978200000000002</v>
      </c>
      <c r="B92" s="49">
        <v>0.2011</v>
      </c>
      <c r="C92">
        <v>36.563899999999997</v>
      </c>
      <c r="D92">
        <v>0</v>
      </c>
      <c r="E92" t="s">
        <v>2649</v>
      </c>
      <c r="F92" s="49">
        <f t="shared" si="7"/>
        <v>91</v>
      </c>
      <c r="J92" s="49">
        <f t="shared" si="4"/>
        <v>3.8978200000000003</v>
      </c>
      <c r="K92" s="49">
        <f t="shared" si="5"/>
        <v>20.11</v>
      </c>
      <c r="L92" s="49">
        <f t="shared" si="6"/>
        <v>5.1592941695614467</v>
      </c>
    </row>
    <row r="93" spans="1:12">
      <c r="A93" s="49">
        <v>0.38929599999999998</v>
      </c>
      <c r="B93" s="49">
        <v>0.198325</v>
      </c>
      <c r="C93">
        <v>36.969000000000001</v>
      </c>
      <c r="D93">
        <v>0</v>
      </c>
      <c r="E93" t="s">
        <v>2650</v>
      </c>
      <c r="F93" s="49">
        <f t="shared" si="7"/>
        <v>92</v>
      </c>
      <c r="J93" s="49">
        <f t="shared" si="4"/>
        <v>3.8929599999999995</v>
      </c>
      <c r="K93" s="49">
        <f t="shared" si="5"/>
        <v>19.8325</v>
      </c>
      <c r="L93" s="49">
        <f t="shared" si="6"/>
        <v>5.0944525502445446</v>
      </c>
    </row>
    <row r="94" spans="1:12">
      <c r="A94" s="49">
        <v>0.38872000000000001</v>
      </c>
      <c r="B94" s="49">
        <v>0.19723099999999999</v>
      </c>
      <c r="C94">
        <v>37.375</v>
      </c>
      <c r="D94">
        <v>0</v>
      </c>
      <c r="E94" t="s">
        <v>2651</v>
      </c>
      <c r="F94" s="49">
        <f t="shared" si="7"/>
        <v>93</v>
      </c>
      <c r="J94" s="49">
        <f t="shared" si="4"/>
        <v>3.8872</v>
      </c>
      <c r="K94" s="49">
        <f t="shared" si="5"/>
        <v>19.723099999999999</v>
      </c>
      <c r="L94" s="49">
        <f t="shared" si="6"/>
        <v>5.0738577896686561</v>
      </c>
    </row>
    <row r="95" spans="1:12">
      <c r="A95" s="49">
        <v>0.39014799999999999</v>
      </c>
      <c r="B95" s="49">
        <v>0.19575500000000001</v>
      </c>
      <c r="C95">
        <v>37.780500000000004</v>
      </c>
      <c r="D95">
        <v>0</v>
      </c>
      <c r="E95" t="s">
        <v>2652</v>
      </c>
      <c r="F95" s="49">
        <f t="shared" si="7"/>
        <v>94</v>
      </c>
      <c r="J95" s="49">
        <f t="shared" si="4"/>
        <v>3.9014799999999998</v>
      </c>
      <c r="K95" s="49">
        <f t="shared" si="5"/>
        <v>19.575500000000002</v>
      </c>
      <c r="L95" s="49">
        <f t="shared" si="6"/>
        <v>5.0174549145452501</v>
      </c>
    </row>
    <row r="96" spans="1:12">
      <c r="A96" s="49">
        <v>0.39102199999999998</v>
      </c>
      <c r="B96" s="49">
        <v>0.196019</v>
      </c>
      <c r="C96">
        <v>38.186500000000002</v>
      </c>
      <c r="D96">
        <v>0</v>
      </c>
      <c r="E96" t="s">
        <v>2653</v>
      </c>
      <c r="F96" s="49">
        <f t="shared" si="7"/>
        <v>95</v>
      </c>
      <c r="J96" s="49">
        <f t="shared" si="4"/>
        <v>3.9102199999999998</v>
      </c>
      <c r="K96" s="49">
        <f t="shared" si="5"/>
        <v>19.601900000000001</v>
      </c>
      <c r="L96" s="49">
        <f t="shared" si="6"/>
        <v>5.0129915963807665</v>
      </c>
    </row>
    <row r="97" spans="1:12">
      <c r="A97" s="49">
        <v>0.38986199999999999</v>
      </c>
      <c r="B97" s="49">
        <v>0.198384</v>
      </c>
      <c r="C97">
        <v>38.593299999999999</v>
      </c>
      <c r="D97">
        <v>0</v>
      </c>
      <c r="E97" t="s">
        <v>2654</v>
      </c>
      <c r="F97" s="49">
        <f t="shared" si="7"/>
        <v>96</v>
      </c>
      <c r="J97" s="49">
        <f t="shared" si="4"/>
        <v>3.8986199999999998</v>
      </c>
      <c r="K97" s="49">
        <f t="shared" si="5"/>
        <v>19.8384</v>
      </c>
      <c r="L97" s="49">
        <f t="shared" si="6"/>
        <v>5.0885698016221124</v>
      </c>
    </row>
    <row r="98" spans="1:12">
      <c r="A98" s="49">
        <v>0.39082</v>
      </c>
      <c r="B98" s="49">
        <v>0.19999800000000001</v>
      </c>
      <c r="C98">
        <v>39.0002</v>
      </c>
      <c r="D98">
        <v>0</v>
      </c>
      <c r="E98" t="s">
        <v>2655</v>
      </c>
      <c r="F98" s="49">
        <f t="shared" si="7"/>
        <v>97</v>
      </c>
      <c r="J98" s="49">
        <f t="shared" si="4"/>
        <v>3.9081999999999999</v>
      </c>
      <c r="K98" s="49">
        <f t="shared" si="5"/>
        <v>19.9998</v>
      </c>
      <c r="L98" s="49">
        <f t="shared" si="6"/>
        <v>5.1173941968169494</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45856.493217592593</v>
      </c>
      <c r="B2" t="s">
        <v>2656</v>
      </c>
      <c r="C2" s="49"/>
      <c r="D2" s="49"/>
      <c r="E2" s="49">
        <v>4.9234099999999996</v>
      </c>
      <c r="F2" s="49">
        <v>1.97898</v>
      </c>
      <c r="G2" s="49">
        <v>0.71932700000000005</v>
      </c>
      <c r="H2" s="49">
        <v>0</v>
      </c>
      <c r="I2" s="49">
        <v>3.3401000000000001</v>
      </c>
      <c r="J2" s="49">
        <v>114</v>
      </c>
      <c r="K2" s="49">
        <v>114</v>
      </c>
      <c r="L2" s="49">
        <v>100</v>
      </c>
      <c r="M2" s="521" t="s">
        <v>1549</v>
      </c>
      <c r="O2" s="565" t="str">
        <f>IF(FH_info!B2="","",TRIM(MID(SUBSTITUTE(FH_info!B2,"^",REPT(" ",LEN(FH_info!B2))),LEN(FH_info!B2)*2-LEN(FH_info!B2)+1,LEN(FH_info!B2))))</f>
        <v>2Zs0</v>
      </c>
      <c r="P2" s="565" t="str">
        <f>IF(FH_info!O2="","",TRIM(MID(SUBSTITUTE(FH_info!O2," ",REPT(" ",LEN(FH_info!O2))),LEN(FH_info!O2)*1-LEN(FH_info!O2)+1,LEN(FH_info!O2))))</f>
        <v>2Zs0</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29</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3.3401010000000002</v>
      </c>
      <c r="D2">
        <f>MAX(B2:B257)</f>
        <v>40.476748999999998</v>
      </c>
      <c r="G2" t="s">
        <v>1590</v>
      </c>
      <c r="H2">
        <v>4.9234140000000002</v>
      </c>
      <c r="I2">
        <v>3.3401010000000002</v>
      </c>
      <c r="J2">
        <v>0</v>
      </c>
      <c r="K2">
        <v>114</v>
      </c>
      <c r="L2">
        <v>114</v>
      </c>
      <c r="M2">
        <v>1.9789749999999999</v>
      </c>
      <c r="N2">
        <v>0.71932700000000005</v>
      </c>
      <c r="O2">
        <v>0.51743099999999997</v>
      </c>
    </row>
    <row r="3" spans="1:15">
      <c r="A3">
        <v>0</v>
      </c>
      <c r="B3">
        <v>0</v>
      </c>
      <c r="G3" t="s">
        <v>1591</v>
      </c>
      <c r="H3">
        <v>4.9234140000000002</v>
      </c>
      <c r="I3">
        <v>40.476748999999998</v>
      </c>
      <c r="J3">
        <v>0</v>
      </c>
      <c r="K3">
        <v>6</v>
      </c>
      <c r="L3">
        <v>6</v>
      </c>
      <c r="M3">
        <v>0.56991899999999995</v>
      </c>
      <c r="N3">
        <v>0.61226499999999995</v>
      </c>
      <c r="O3">
        <v>0.37486900000000001</v>
      </c>
    </row>
    <row r="4" spans="1:15">
      <c r="A4">
        <v>0</v>
      </c>
      <c r="B4">
        <v>0</v>
      </c>
    </row>
    <row r="5" spans="1:15">
      <c r="A5">
        <v>2.4365000000000001E-2</v>
      </c>
      <c r="B5">
        <v>31.646193</v>
      </c>
    </row>
    <row r="6" spans="1:15">
      <c r="A6">
        <v>0</v>
      </c>
      <c r="B6">
        <v>0</v>
      </c>
    </row>
    <row r="7" spans="1:15">
      <c r="A7">
        <v>0</v>
      </c>
      <c r="B7">
        <v>0</v>
      </c>
    </row>
    <row r="8" spans="1:15">
      <c r="A8">
        <v>6.5786999999999998E-2</v>
      </c>
      <c r="B8">
        <v>40.476748999999998</v>
      </c>
    </row>
    <row r="9" spans="1:15">
      <c r="A9">
        <v>0</v>
      </c>
      <c r="B9">
        <v>0</v>
      </c>
    </row>
    <row r="10" spans="1:15">
      <c r="A10">
        <v>0.16487299999999999</v>
      </c>
      <c r="B10">
        <v>22.188427000000001</v>
      </c>
    </row>
    <row r="11" spans="1:15">
      <c r="A11">
        <v>0</v>
      </c>
      <c r="B11">
        <v>0</v>
      </c>
    </row>
    <row r="12" spans="1:15">
      <c r="A12">
        <v>0</v>
      </c>
      <c r="B12">
        <v>0</v>
      </c>
    </row>
    <row r="13" spans="1:15">
      <c r="A13">
        <v>0.11512699999999999</v>
      </c>
      <c r="B13">
        <v>17.455836999999999</v>
      </c>
    </row>
    <row r="14" spans="1:15">
      <c r="A14">
        <v>0</v>
      </c>
      <c r="B14">
        <v>0</v>
      </c>
    </row>
    <row r="15" spans="1:15">
      <c r="A15">
        <v>0.28771600000000003</v>
      </c>
      <c r="B15">
        <v>14.162742</v>
      </c>
    </row>
    <row r="16" spans="1:15">
      <c r="A16">
        <v>0</v>
      </c>
      <c r="B16">
        <v>0</v>
      </c>
    </row>
    <row r="17" spans="1:2">
      <c r="A17">
        <v>0</v>
      </c>
      <c r="B17">
        <v>0</v>
      </c>
    </row>
    <row r="18" spans="1:2">
      <c r="A18">
        <v>0.35695399999999999</v>
      </c>
      <c r="B18">
        <v>11.673603999999999</v>
      </c>
    </row>
    <row r="19" spans="1:2">
      <c r="A19">
        <v>0</v>
      </c>
      <c r="B19">
        <v>0</v>
      </c>
    </row>
    <row r="20" spans="1:2">
      <c r="A20">
        <v>0</v>
      </c>
      <c r="B20">
        <v>0</v>
      </c>
    </row>
    <row r="21" spans="1:2">
      <c r="A21">
        <v>0.39086300000000002</v>
      </c>
      <c r="B21">
        <v>10.130863</v>
      </c>
    </row>
    <row r="22" spans="1:2">
      <c r="A22">
        <v>0</v>
      </c>
      <c r="B22">
        <v>0</v>
      </c>
    </row>
    <row r="23" spans="1:2">
      <c r="A23">
        <v>0.48284300000000002</v>
      </c>
      <c r="B23">
        <v>8.7819289999999999</v>
      </c>
    </row>
    <row r="24" spans="1:2">
      <c r="A24">
        <v>0</v>
      </c>
      <c r="B24">
        <v>0</v>
      </c>
    </row>
    <row r="25" spans="1:2">
      <c r="A25">
        <v>0</v>
      </c>
      <c r="B25">
        <v>0</v>
      </c>
    </row>
    <row r="26" spans="1:2">
      <c r="A26">
        <v>0.59279199999999999</v>
      </c>
      <c r="B26">
        <v>7.7665990000000003</v>
      </c>
    </row>
    <row r="27" spans="1:2">
      <c r="A27">
        <v>0</v>
      </c>
      <c r="B27">
        <v>0</v>
      </c>
    </row>
    <row r="28" spans="1:2">
      <c r="A28">
        <v>0.49370599999999998</v>
      </c>
      <c r="B28">
        <v>7.0186809999999999</v>
      </c>
    </row>
    <row r="29" spans="1:2">
      <c r="A29">
        <v>0</v>
      </c>
      <c r="B29">
        <v>0</v>
      </c>
    </row>
    <row r="30" spans="1:2">
      <c r="A30">
        <v>0</v>
      </c>
      <c r="B30">
        <v>0</v>
      </c>
    </row>
    <row r="31" spans="1:2">
      <c r="A31">
        <v>0.44375599999999998</v>
      </c>
      <c r="B31">
        <v>6.4216249999999997</v>
      </c>
    </row>
    <row r="32" spans="1:2">
      <c r="A32">
        <v>0</v>
      </c>
      <c r="B32">
        <v>0</v>
      </c>
    </row>
    <row r="33" spans="1:2">
      <c r="A33">
        <v>0.46040599999999998</v>
      </c>
      <c r="B33">
        <v>5.8855829999999996</v>
      </c>
    </row>
    <row r="34" spans="1:2">
      <c r="A34">
        <v>0</v>
      </c>
      <c r="B34">
        <v>0</v>
      </c>
    </row>
    <row r="35" spans="1:2">
      <c r="A35">
        <v>0</v>
      </c>
      <c r="B35">
        <v>0</v>
      </c>
    </row>
    <row r="36" spans="1:2">
      <c r="A36">
        <v>0.50192899999999996</v>
      </c>
      <c r="B36">
        <v>5.2834519999999996</v>
      </c>
    </row>
    <row r="37" spans="1:2">
      <c r="A37">
        <v>0</v>
      </c>
      <c r="B37">
        <v>0</v>
      </c>
    </row>
    <row r="38" spans="1:2">
      <c r="A38">
        <v>0</v>
      </c>
      <c r="B38">
        <v>0</v>
      </c>
    </row>
    <row r="39" spans="1:2">
      <c r="A39">
        <v>0.54020299999999999</v>
      </c>
      <c r="B39">
        <v>5.0564470000000004</v>
      </c>
    </row>
    <row r="40" spans="1:2">
      <c r="A40">
        <v>0</v>
      </c>
      <c r="B40">
        <v>0</v>
      </c>
    </row>
    <row r="41" spans="1:2">
      <c r="A41">
        <v>0.69786800000000004</v>
      </c>
      <c r="B41">
        <v>4.607208</v>
      </c>
    </row>
    <row r="42" spans="1:2">
      <c r="A42">
        <v>0</v>
      </c>
      <c r="B42">
        <v>0</v>
      </c>
    </row>
    <row r="43" spans="1:2">
      <c r="A43">
        <v>0</v>
      </c>
      <c r="B43">
        <v>0</v>
      </c>
    </row>
    <row r="44" spans="1:2">
      <c r="A44">
        <v>0.70933999999999997</v>
      </c>
      <c r="B44">
        <v>4.3896449999999998</v>
      </c>
    </row>
    <row r="45" spans="1:2">
      <c r="A45">
        <v>0</v>
      </c>
      <c r="B45">
        <v>0</v>
      </c>
    </row>
    <row r="46" spans="1:2">
      <c r="A46">
        <v>1.008122</v>
      </c>
      <c r="B46">
        <v>4.0878170000000003</v>
      </c>
    </row>
    <row r="47" spans="1:2">
      <c r="A47">
        <v>0</v>
      </c>
      <c r="B47">
        <v>0</v>
      </c>
    </row>
    <row r="48" spans="1:2">
      <c r="A48">
        <v>0</v>
      </c>
      <c r="B48">
        <v>0</v>
      </c>
    </row>
    <row r="49" spans="1:2">
      <c r="A49">
        <v>1.3121830000000001</v>
      </c>
      <c r="B49">
        <v>3.8024369999999998</v>
      </c>
    </row>
    <row r="50" spans="1:2">
      <c r="A50">
        <v>0</v>
      </c>
      <c r="B50">
        <v>0</v>
      </c>
    </row>
    <row r="51" spans="1:2">
      <c r="A51">
        <v>1.5045679999999999</v>
      </c>
      <c r="B51">
        <v>3.6032489999999999</v>
      </c>
    </row>
    <row r="52" spans="1:2">
      <c r="A52">
        <v>0</v>
      </c>
      <c r="B52">
        <v>0</v>
      </c>
    </row>
    <row r="53" spans="1:2">
      <c r="A53">
        <v>0</v>
      </c>
      <c r="B53">
        <v>0</v>
      </c>
    </row>
    <row r="54" spans="1:2">
      <c r="A54">
        <v>1.686091</v>
      </c>
      <c r="B54">
        <v>3.3781729999999999</v>
      </c>
    </row>
    <row r="55" spans="1:2">
      <c r="A55">
        <v>0</v>
      </c>
      <c r="B55">
        <v>0</v>
      </c>
    </row>
    <row r="56" spans="1:2">
      <c r="A56">
        <v>0</v>
      </c>
      <c r="B56">
        <v>0</v>
      </c>
    </row>
    <row r="57" spans="1:2">
      <c r="A57">
        <v>2.053096</v>
      </c>
      <c r="B57">
        <v>3.160711</v>
      </c>
    </row>
    <row r="58" spans="1:2">
      <c r="A58">
        <v>0</v>
      </c>
      <c r="B58">
        <v>0</v>
      </c>
    </row>
    <row r="59" spans="1:2">
      <c r="A59">
        <v>2.2677160000000001</v>
      </c>
      <c r="B59">
        <v>2.964162</v>
      </c>
    </row>
    <row r="60" spans="1:2">
      <c r="A60">
        <v>0</v>
      </c>
      <c r="B60">
        <v>0</v>
      </c>
    </row>
    <row r="61" spans="1:2">
      <c r="A61">
        <v>0</v>
      </c>
      <c r="B61">
        <v>0</v>
      </c>
    </row>
    <row r="62" spans="1:2">
      <c r="A62">
        <v>2.1791879999999999</v>
      </c>
      <c r="B62">
        <v>2.7726899999999999</v>
      </c>
    </row>
    <row r="63" spans="1:2">
      <c r="A63">
        <v>0</v>
      </c>
      <c r="B63">
        <v>0</v>
      </c>
    </row>
    <row r="64" spans="1:2">
      <c r="A64">
        <v>2.3921830000000002</v>
      </c>
      <c r="B64">
        <v>2.5837560000000002</v>
      </c>
    </row>
    <row r="65" spans="1:2">
      <c r="A65">
        <v>0</v>
      </c>
      <c r="B65">
        <v>0</v>
      </c>
    </row>
    <row r="66" spans="1:2">
      <c r="A66">
        <v>0</v>
      </c>
      <c r="B66">
        <v>0</v>
      </c>
    </row>
    <row r="67" spans="1:2">
      <c r="A67">
        <v>2.48264</v>
      </c>
      <c r="B67">
        <v>2.4675129999999998</v>
      </c>
    </row>
    <row r="68" spans="1:2">
      <c r="A68">
        <v>0</v>
      </c>
      <c r="B68">
        <v>0</v>
      </c>
    </row>
    <row r="69" spans="1:2">
      <c r="A69">
        <v>2.3625379999999998</v>
      </c>
      <c r="B69">
        <v>2.3117770000000002</v>
      </c>
    </row>
    <row r="70" spans="1:2">
      <c r="A70">
        <v>0</v>
      </c>
      <c r="B70">
        <v>0</v>
      </c>
    </row>
    <row r="71" spans="1:2">
      <c r="A71">
        <v>0</v>
      </c>
      <c r="B71">
        <v>0</v>
      </c>
    </row>
    <row r="72" spans="1:2">
      <c r="A72">
        <v>2.149035</v>
      </c>
      <c r="B72">
        <v>2.1323859999999999</v>
      </c>
    </row>
    <row r="73" spans="1:2">
      <c r="A73">
        <v>0</v>
      </c>
      <c r="B73">
        <v>0</v>
      </c>
    </row>
    <row r="74" spans="1:2">
      <c r="A74">
        <v>0</v>
      </c>
      <c r="B74">
        <v>0</v>
      </c>
    </row>
    <row r="75" spans="1:2">
      <c r="A75">
        <v>2.4989849999999998</v>
      </c>
      <c r="B75">
        <v>1.974518</v>
      </c>
    </row>
    <row r="76" spans="1:2">
      <c r="A76">
        <v>0</v>
      </c>
      <c r="B76">
        <v>0</v>
      </c>
    </row>
    <row r="77" spans="1:2">
      <c r="A77">
        <v>2.2783760000000002</v>
      </c>
      <c r="B77">
        <v>1.8529949999999999</v>
      </c>
    </row>
    <row r="78" spans="1:2">
      <c r="A78">
        <v>0</v>
      </c>
      <c r="B78">
        <v>0</v>
      </c>
    </row>
    <row r="79" spans="1:2">
      <c r="A79">
        <v>0</v>
      </c>
      <c r="B79">
        <v>0</v>
      </c>
    </row>
    <row r="80" spans="1:2">
      <c r="A80">
        <v>2.3934009999999999</v>
      </c>
      <c r="B80">
        <v>1.7273099999999999</v>
      </c>
    </row>
    <row r="81" spans="1:2">
      <c r="A81">
        <v>0</v>
      </c>
      <c r="B81">
        <v>0</v>
      </c>
    </row>
    <row r="82" spans="1:2">
      <c r="A82">
        <v>2.073299</v>
      </c>
      <c r="B82">
        <v>1.652487</v>
      </c>
    </row>
    <row r="83" spans="1:2">
      <c r="A83">
        <v>0</v>
      </c>
      <c r="B83">
        <v>0</v>
      </c>
    </row>
    <row r="84" spans="1:2">
      <c r="A84">
        <v>0</v>
      </c>
      <c r="B84">
        <v>0</v>
      </c>
    </row>
    <row r="85" spans="1:2">
      <c r="A85">
        <v>2.2249750000000001</v>
      </c>
      <c r="B85">
        <v>1.575736</v>
      </c>
    </row>
    <row r="86" spans="1:2">
      <c r="A86">
        <v>0</v>
      </c>
      <c r="B86">
        <v>0</v>
      </c>
    </row>
    <row r="87" spans="1:2">
      <c r="A87">
        <v>0</v>
      </c>
      <c r="B87">
        <v>0</v>
      </c>
    </row>
    <row r="88" spans="1:2">
      <c r="A88">
        <v>2.2448730000000001</v>
      </c>
      <c r="B88">
        <v>1.467411</v>
      </c>
    </row>
    <row r="89" spans="1:2">
      <c r="A89">
        <v>0</v>
      </c>
      <c r="B89">
        <v>0</v>
      </c>
    </row>
    <row r="90" spans="1:2">
      <c r="A90">
        <v>2.2801019999999999</v>
      </c>
      <c r="B90">
        <v>1.4367509999999999</v>
      </c>
    </row>
    <row r="91" spans="1:2">
      <c r="A91">
        <v>0</v>
      </c>
      <c r="B91">
        <v>0</v>
      </c>
    </row>
    <row r="92" spans="1:2">
      <c r="A92">
        <v>0</v>
      </c>
      <c r="B92">
        <v>0</v>
      </c>
    </row>
    <row r="93" spans="1:2">
      <c r="A93">
        <v>2.5967509999999998</v>
      </c>
      <c r="B93">
        <v>1.3467</v>
      </c>
    </row>
    <row r="94" spans="1:2">
      <c r="A94">
        <v>0</v>
      </c>
      <c r="B94">
        <v>0</v>
      </c>
    </row>
    <row r="95" spans="1:2">
      <c r="A95">
        <v>2.1950249999999998</v>
      </c>
      <c r="B95">
        <v>1.252081</v>
      </c>
    </row>
    <row r="96" spans="1:2">
      <c r="A96">
        <v>0</v>
      </c>
      <c r="B96">
        <v>0</v>
      </c>
    </row>
    <row r="97" spans="1:2">
      <c r="A97">
        <v>0</v>
      </c>
      <c r="B97">
        <v>0</v>
      </c>
    </row>
    <row r="98" spans="1:2">
      <c r="A98">
        <v>2.3608120000000001</v>
      </c>
      <c r="B98">
        <v>1.197462</v>
      </c>
    </row>
    <row r="99" spans="1:2">
      <c r="A99">
        <v>0</v>
      </c>
      <c r="B99">
        <v>0</v>
      </c>
    </row>
    <row r="100" spans="1:2">
      <c r="A100">
        <v>2.4320810000000002</v>
      </c>
      <c r="B100">
        <v>1.125685</v>
      </c>
    </row>
    <row r="101" spans="1:2">
      <c r="A101">
        <v>0</v>
      </c>
      <c r="B101">
        <v>0</v>
      </c>
    </row>
    <row r="102" spans="1:2">
      <c r="A102">
        <v>0</v>
      </c>
      <c r="B102">
        <v>0</v>
      </c>
    </row>
    <row r="103" spans="1:2">
      <c r="A103">
        <v>2.7942130000000001</v>
      </c>
      <c r="B103">
        <v>1.1023350000000001</v>
      </c>
    </row>
    <row r="104" spans="1:2">
      <c r="A104">
        <v>0</v>
      </c>
      <c r="B104">
        <v>0</v>
      </c>
    </row>
    <row r="105" spans="1:2">
      <c r="A105">
        <v>0</v>
      </c>
      <c r="B105">
        <v>0</v>
      </c>
    </row>
    <row r="106" spans="1:2">
      <c r="A106">
        <v>2.60934</v>
      </c>
      <c r="B106">
        <v>1.0417259999999999</v>
      </c>
    </row>
    <row r="107" spans="1:2">
      <c r="A107">
        <v>0</v>
      </c>
      <c r="B107">
        <v>0</v>
      </c>
    </row>
    <row r="108" spans="1:2">
      <c r="A108">
        <v>3.0857869999999998</v>
      </c>
      <c r="B108">
        <v>1.0012179999999999</v>
      </c>
    </row>
    <row r="109" spans="1:2">
      <c r="A109">
        <v>0</v>
      </c>
      <c r="B109">
        <v>0</v>
      </c>
    </row>
    <row r="110" spans="1:2">
      <c r="A110">
        <v>0</v>
      </c>
      <c r="B110">
        <v>0</v>
      </c>
    </row>
    <row r="111" spans="1:2">
      <c r="A111">
        <v>2.9615230000000001</v>
      </c>
      <c r="B111">
        <v>0.95279199999999997</v>
      </c>
    </row>
    <row r="112" spans="1:2">
      <c r="A112">
        <v>0</v>
      </c>
      <c r="B112">
        <v>0</v>
      </c>
    </row>
    <row r="113" spans="1:2">
      <c r="A113">
        <v>3.2540100000000001</v>
      </c>
      <c r="B113">
        <v>0.92538100000000001</v>
      </c>
    </row>
    <row r="114" spans="1:2">
      <c r="A114">
        <v>0</v>
      </c>
      <c r="B114">
        <v>0</v>
      </c>
    </row>
    <row r="115" spans="1:2">
      <c r="A115">
        <v>0</v>
      </c>
      <c r="B115">
        <v>0</v>
      </c>
    </row>
    <row r="116" spans="1:2">
      <c r="A116">
        <v>3.3401010000000002</v>
      </c>
      <c r="B116">
        <v>0.88507599999999997</v>
      </c>
    </row>
    <row r="117" spans="1:2">
      <c r="A117">
        <v>0</v>
      </c>
      <c r="B117">
        <v>0</v>
      </c>
    </row>
    <row r="118" spans="1:2">
      <c r="A118">
        <v>2.8605079999999998</v>
      </c>
      <c r="B118">
        <v>0.81695399999999996</v>
      </c>
    </row>
    <row r="119" spans="1:2">
      <c r="A119">
        <v>0</v>
      </c>
      <c r="B119">
        <v>0</v>
      </c>
    </row>
    <row r="120" spans="1:2">
      <c r="A120">
        <v>0</v>
      </c>
      <c r="B120">
        <v>0</v>
      </c>
    </row>
    <row r="121" spans="1:2">
      <c r="A121">
        <v>2.9843649999999999</v>
      </c>
      <c r="B121">
        <v>0.79553300000000005</v>
      </c>
    </row>
    <row r="122" spans="1:2">
      <c r="A122">
        <v>0</v>
      </c>
      <c r="B122">
        <v>0</v>
      </c>
    </row>
    <row r="123" spans="1:2">
      <c r="A123">
        <v>0</v>
      </c>
      <c r="B123">
        <v>0</v>
      </c>
    </row>
    <row r="124" spans="1:2">
      <c r="A124">
        <v>2.7984770000000001</v>
      </c>
      <c r="B124">
        <v>0.74903600000000004</v>
      </c>
    </row>
    <row r="125" spans="1:2">
      <c r="A125">
        <v>0</v>
      </c>
      <c r="B125">
        <v>0</v>
      </c>
    </row>
    <row r="126" spans="1:2">
      <c r="A126">
        <v>2.6357360000000001</v>
      </c>
      <c r="B126">
        <v>0.69725899999999996</v>
      </c>
    </row>
    <row r="127" spans="1:2">
      <c r="A127">
        <v>0</v>
      </c>
      <c r="B127">
        <v>0</v>
      </c>
    </row>
    <row r="128" spans="1:2">
      <c r="A128">
        <v>0</v>
      </c>
      <c r="B128">
        <v>0</v>
      </c>
    </row>
    <row r="129" spans="1:2">
      <c r="A129">
        <v>2.5296449999999999</v>
      </c>
      <c r="B129">
        <v>0.68517799999999995</v>
      </c>
    </row>
    <row r="130" spans="1:2">
      <c r="A130">
        <v>0</v>
      </c>
      <c r="B130">
        <v>0</v>
      </c>
    </row>
    <row r="131" spans="1:2">
      <c r="A131">
        <v>2.1149239999999998</v>
      </c>
      <c r="B131">
        <v>0.60091399999999995</v>
      </c>
    </row>
    <row r="132" spans="1:2">
      <c r="A132">
        <v>0</v>
      </c>
      <c r="B132">
        <v>0</v>
      </c>
    </row>
    <row r="133" spans="1:2">
      <c r="A133">
        <v>0</v>
      </c>
      <c r="B133">
        <v>0</v>
      </c>
    </row>
    <row r="134" spans="1:2">
      <c r="A134">
        <v>1.554619</v>
      </c>
      <c r="B134">
        <v>0.52517800000000003</v>
      </c>
    </row>
    <row r="135" spans="1:2">
      <c r="A135">
        <v>0</v>
      </c>
      <c r="B135">
        <v>0</v>
      </c>
    </row>
    <row r="136" spans="1:2">
      <c r="A136">
        <v>1.739188</v>
      </c>
      <c r="B136">
        <v>0.48598999999999998</v>
      </c>
    </row>
    <row r="137" spans="1:2">
      <c r="A137">
        <v>0</v>
      </c>
      <c r="B137">
        <v>0</v>
      </c>
    </row>
    <row r="138" spans="1:2">
      <c r="A138">
        <v>0</v>
      </c>
      <c r="B138">
        <v>0</v>
      </c>
    </row>
    <row r="139" spans="1:2">
      <c r="A139">
        <v>1.7048730000000001</v>
      </c>
      <c r="B139">
        <v>0.46314699999999998</v>
      </c>
    </row>
    <row r="140" spans="1:2">
      <c r="A140">
        <v>0</v>
      </c>
      <c r="B140">
        <v>0</v>
      </c>
    </row>
    <row r="141" spans="1:2">
      <c r="A141">
        <v>0</v>
      </c>
      <c r="B141">
        <v>0</v>
      </c>
    </row>
    <row r="142" spans="1:2">
      <c r="A142">
        <v>2.140406</v>
      </c>
      <c r="B142">
        <v>0.423147</v>
      </c>
    </row>
    <row r="143" spans="1:2">
      <c r="A143">
        <v>0</v>
      </c>
      <c r="B143">
        <v>0</v>
      </c>
    </row>
    <row r="144" spans="1:2">
      <c r="A144">
        <v>2.268122</v>
      </c>
      <c r="B144">
        <v>0.37908599999999998</v>
      </c>
    </row>
    <row r="145" spans="1:2">
      <c r="A145">
        <v>0</v>
      </c>
      <c r="B145">
        <v>0</v>
      </c>
    </row>
    <row r="146" spans="1:2">
      <c r="A146">
        <v>0</v>
      </c>
      <c r="B146">
        <v>0</v>
      </c>
    </row>
    <row r="147" spans="1:2">
      <c r="A147">
        <v>2.460102</v>
      </c>
      <c r="B147">
        <v>0.35086299999999998</v>
      </c>
    </row>
    <row r="148" spans="1:2">
      <c r="A148">
        <v>0</v>
      </c>
      <c r="B148">
        <v>0</v>
      </c>
    </row>
    <row r="149" spans="1:2">
      <c r="A149">
        <v>2.5435530000000002</v>
      </c>
      <c r="B149">
        <v>0.28862900000000002</v>
      </c>
    </row>
    <row r="150" spans="1:2">
      <c r="A150">
        <v>0</v>
      </c>
      <c r="B150">
        <v>0</v>
      </c>
    </row>
    <row r="151" spans="1:2">
      <c r="A151">
        <v>0</v>
      </c>
      <c r="B151">
        <v>0</v>
      </c>
    </row>
    <row r="152" spans="1:2">
      <c r="A152">
        <v>2.991168</v>
      </c>
      <c r="B152">
        <v>0.25715700000000002</v>
      </c>
    </row>
    <row r="153" spans="1:2">
      <c r="A153">
        <v>0</v>
      </c>
      <c r="B153">
        <v>0</v>
      </c>
    </row>
    <row r="154" spans="1:2">
      <c r="A154">
        <v>2.9742130000000002</v>
      </c>
      <c r="B154">
        <v>0.20466999999999999</v>
      </c>
    </row>
    <row r="155" spans="1:2">
      <c r="A155">
        <v>0</v>
      </c>
      <c r="B155">
        <v>0</v>
      </c>
    </row>
    <row r="156" spans="1:2">
      <c r="A156">
        <v>0</v>
      </c>
      <c r="B156">
        <v>0</v>
      </c>
    </row>
    <row r="157" spans="1:2">
      <c r="A157">
        <v>2.964467</v>
      </c>
      <c r="B157">
        <v>0.15370600000000001</v>
      </c>
    </row>
    <row r="158" spans="1:2">
      <c r="A158">
        <v>0</v>
      </c>
      <c r="B158">
        <v>0</v>
      </c>
    </row>
    <row r="159" spans="1:2">
      <c r="A159">
        <v>0</v>
      </c>
      <c r="B159">
        <v>0</v>
      </c>
    </row>
    <row r="160" spans="1:2">
      <c r="A160">
        <v>2.2941120000000002</v>
      </c>
      <c r="B160">
        <v>0.108325</v>
      </c>
    </row>
    <row r="161" spans="1:2">
      <c r="A161">
        <v>0</v>
      </c>
      <c r="B161">
        <v>0</v>
      </c>
    </row>
    <row r="162" spans="1:2">
      <c r="A162">
        <v>1.6481220000000001</v>
      </c>
      <c r="B162">
        <v>8.0406000000000005E-2</v>
      </c>
    </row>
    <row r="163" spans="1:2">
      <c r="A163">
        <v>0</v>
      </c>
      <c r="B163">
        <v>0</v>
      </c>
    </row>
    <row r="164" spans="1:2">
      <c r="A164">
        <v>0</v>
      </c>
      <c r="B164">
        <v>0</v>
      </c>
    </row>
    <row r="165" spans="1:2">
      <c r="A165">
        <v>1.24335</v>
      </c>
      <c r="B165">
        <v>5.1471999999999997E-2</v>
      </c>
    </row>
    <row r="166" spans="1:2">
      <c r="A166">
        <v>0</v>
      </c>
      <c r="B166">
        <v>0</v>
      </c>
    </row>
    <row r="167" spans="1:2">
      <c r="A167">
        <v>0.77218299999999995</v>
      </c>
      <c r="B167">
        <v>3.3197999999999998E-2</v>
      </c>
    </row>
    <row r="168" spans="1:2">
      <c r="A168">
        <v>0</v>
      </c>
      <c r="B168">
        <v>0</v>
      </c>
    </row>
    <row r="169" spans="1:2">
      <c r="A169">
        <v>0</v>
      </c>
      <c r="B169">
        <v>0</v>
      </c>
    </row>
    <row r="170" spans="1:2">
      <c r="A170">
        <v>0.40274100000000002</v>
      </c>
      <c r="B170">
        <v>1.401E-2</v>
      </c>
    </row>
    <row r="171" spans="1:2">
      <c r="A171">
        <v>0</v>
      </c>
      <c r="B171">
        <v>0</v>
      </c>
    </row>
    <row r="172" spans="1:2">
      <c r="A172">
        <v>0</v>
      </c>
      <c r="B172">
        <v>1.0558E-2</v>
      </c>
    </row>
    <row r="173" spans="1:2">
      <c r="A173">
        <v>0.36527900000000002</v>
      </c>
      <c r="B173">
        <v>0</v>
      </c>
    </row>
    <row r="174" spans="1:2">
      <c r="A174">
        <v>0</v>
      </c>
      <c r="B174">
        <v>0</v>
      </c>
    </row>
    <row r="175" spans="1:2">
      <c r="A175">
        <v>0.179086</v>
      </c>
      <c r="B175">
        <v>5.1780000000000003E-3</v>
      </c>
    </row>
    <row r="176" spans="1:2">
      <c r="A176">
        <v>0</v>
      </c>
      <c r="B176">
        <v>0</v>
      </c>
    </row>
    <row r="177" spans="1:2">
      <c r="A177">
        <v>0</v>
      </c>
      <c r="B177">
        <v>0</v>
      </c>
    </row>
    <row r="178" spans="1:2">
      <c r="A178">
        <v>0.10487299999999999</v>
      </c>
      <c r="B178">
        <v>2.7409999999999999E-3</v>
      </c>
    </row>
    <row r="179" spans="1:2">
      <c r="A179">
        <v>0</v>
      </c>
      <c r="B179">
        <v>0</v>
      </c>
    </row>
    <row r="180" spans="1:2">
      <c r="A180">
        <v>8.0305000000000001E-2</v>
      </c>
      <c r="B180">
        <v>1.421E-3</v>
      </c>
    </row>
    <row r="181" spans="1:2">
      <c r="A181">
        <v>0</v>
      </c>
      <c r="B181">
        <v>0</v>
      </c>
    </row>
    <row r="182" spans="1:2">
      <c r="A182">
        <v>0</v>
      </c>
      <c r="B182">
        <v>0</v>
      </c>
    </row>
    <row r="183" spans="1:2">
      <c r="A183">
        <v>0.08</v>
      </c>
      <c r="B183">
        <v>1.523E-3</v>
      </c>
    </row>
    <row r="184" spans="1:2">
      <c r="A184">
        <v>0</v>
      </c>
      <c r="B184">
        <v>0</v>
      </c>
    </row>
    <row r="185" spans="1:2">
      <c r="A185">
        <v>2.5684999999999999E-2</v>
      </c>
      <c r="B185">
        <v>6.0899999999999995E-4</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0.109085102379886
0.11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0.10908510237988622</v>
      </c>
      <c r="I4" s="322">
        <f>IF(Measurement!AQ7&lt;&gt;"",NORMSDIST((H6-$B$2)/$B$3)*100,"")</f>
        <v>63.74421340436691</v>
      </c>
      <c r="J4" t="str">
        <f>Measurement!AR7</f>
        <v>건강</v>
      </c>
    </row>
    <row r="5" spans="1:11">
      <c r="B5" s="171">
        <v>-10</v>
      </c>
      <c r="C5" s="171">
        <f>NORMSDIST(($B5-$B$2)/$B$3)*100</f>
        <v>7.1097265868555281E-5</v>
      </c>
      <c r="G5" t="s">
        <v>1539</v>
      </c>
      <c r="H5" s="320">
        <f>IF(Measurement!AQ7&lt;-7,-7,Measurement!AQ7)</f>
        <v>0.10908510237988622</v>
      </c>
      <c r="I5" s="321">
        <f>IF(Measurement!AQ7&lt;&gt;"",0,"")</f>
        <v>0</v>
      </c>
    </row>
    <row r="6" spans="1:11">
      <c r="B6" s="171">
        <f>B5+0.1</f>
        <v>-9.9</v>
      </c>
      <c r="C6" s="171">
        <f t="shared" ref="C6:C57" si="0">NORMSDIST(($B6-$B$2)/$B$3)*100</f>
        <v>9.1781224195367343E-5</v>
      </c>
      <c r="H6" s="320">
        <f>IF(Measurement!AQ7&lt;-7,-7,Measurement!AQ7)</f>
        <v>0.10908510237988622</v>
      </c>
      <c r="I6" s="321">
        <f>IF(Measurement!AQ7&lt;&gt;"",NORMSDIST((H6-$B$2)/$B$3)*100,"")</f>
        <v>63.74421340436691</v>
      </c>
    </row>
    <row r="7" spans="1:11">
      <c r="B7" s="171">
        <f t="shared" ref="B7:B70" si="1">B6+0.1</f>
        <v>-9.8000000000000007</v>
      </c>
      <c r="C7" s="171">
        <f t="shared" si="0"/>
        <v>1.1818368021892541E-4</v>
      </c>
      <c r="D7" s="171"/>
      <c r="H7" s="320">
        <f>IF(Measurement!AQ7&lt;&gt;"",-7,"")</f>
        <v>-7</v>
      </c>
      <c r="I7" s="321">
        <f>IF(Measurement!AQ7&lt;&gt;"",NORMSDIST((H6-$B$2)/$B$3)*100,"")</f>
        <v>63.74421340436691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28.07</v>
      </c>
      <c r="V4" t="s">
        <v>1218</v>
      </c>
    </row>
    <row r="5" spans="1:29">
      <c r="B5" s="171">
        <v>0</v>
      </c>
      <c r="C5" s="171">
        <f>NORMSDIST(($B5-$B$2)/$B$3)*100</f>
        <v>1.2153167836658598</v>
      </c>
      <c r="H5">
        <f>info!W36</f>
        <v>28.067299999999996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28.067299999999996</v>
      </c>
      <c r="I6" s="171">
        <f>NORMSDIST((H6-$B$2)/$B$3)*100</f>
        <v>16.158625163133156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16.158625163133156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1.97898</v>
      </c>
    </row>
    <row r="3" spans="1:11" ht="18">
      <c r="A3" s="71" t="s">
        <v>1065</v>
      </c>
      <c r="B3" s="557">
        <v>0.71290976993199895</v>
      </c>
      <c r="C3" s="523"/>
      <c r="H3" s="561" t="s">
        <v>2223</v>
      </c>
      <c r="I3" s="562">
        <f>IF(I2=0,0,NORMSDIST((I2-$B$2)/$B$3)*100)</f>
        <v>54.410674172785299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1.98</v>
      </c>
    </row>
    <row r="6" spans="1:11">
      <c r="B6" s="23">
        <v>0</v>
      </c>
      <c r="C6" s="23">
        <f>NORMSDIST(($B6-$B$2)/$B$3)*100</f>
        <v>0.38478836223957635</v>
      </c>
      <c r="H6" s="205">
        <f>IF(info!V36&gt;I1,I1,info!V36)</f>
        <v>1.97898</v>
      </c>
      <c r="I6" s="560">
        <v>0</v>
      </c>
    </row>
    <row r="7" spans="1:11">
      <c r="B7" s="23">
        <f>B5+0.05</f>
        <v>0</v>
      </c>
      <c r="C7" s="23">
        <f t="shared" ref="C7:E58" si="0">NORMSDIST(($B7-$B$2)/$B$3)*100</f>
        <v>0.38478836223957635</v>
      </c>
      <c r="H7" s="205">
        <f>IF(info!V36&gt;I1,I1,info!V36)</f>
        <v>1.97898</v>
      </c>
      <c r="I7" s="560">
        <f>NORMSDIST((H7-$B$2)/$B$3)*100</f>
        <v>54.410674172785299</v>
      </c>
    </row>
    <row r="8" spans="1:11">
      <c r="B8" s="23">
        <f t="shared" ref="B8:B71" si="1">B7+0.05</f>
        <v>0.05</v>
      </c>
      <c r="C8" s="23">
        <f t="shared" si="0"/>
        <v>0.47295624138584591</v>
      </c>
      <c r="D8" s="171"/>
      <c r="H8" s="205">
        <v>0</v>
      </c>
      <c r="I8" s="560">
        <f>NORMSDIST((H7-$B$2)/$B$3)*100</f>
        <v>54.410674172785299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1.97898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1.97898</v>
      </c>
      <c r="I6" s="171">
        <f>NORMSDIST((H6-$B$2)/$B$3)*100</f>
        <v>6.7718237577785695E-2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6.7718237577785695E-2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45856.493217592593</v>
      </c>
      <c r="I7" s="876"/>
      <c r="J7" s="877"/>
      <c r="K7" s="166" t="str">
        <f>lang!B160</f>
        <v>나이</v>
      </c>
      <c r="L7" s="879" t="str">
        <f>IF(FH_info!B2="","", FH_info!T2)</f>
        <v>29</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2Zs0</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9</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45856.493217592593</v>
      </c>
      <c r="I7" s="876"/>
      <c r="J7" s="877"/>
      <c r="K7" s="166" t="str">
        <f>lang!B160</f>
        <v>나이</v>
      </c>
      <c r="L7" s="878" t="str">
        <f>IF(FH_info!B2="","", FH_info!T2)</f>
        <v>29</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2Zs0</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2025-07-18T02:52:46Z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