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6\11\vision^zcz7^1^1^\"/>
    </mc:Choice>
  </mc:AlternateContent>
  <xr:revisionPtr revIDLastSave="0" documentId="13_ncr:1_{399DB690-C3B9-41ED-8F94-BAF6D5AAB4EE}"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43" s="1"/>
  <c r="L8" i="36" l="1"/>
  <c r="L8" i="40"/>
  <c r="L8" i="44"/>
  <c r="L7" i="33"/>
  <c r="H8" i="36"/>
  <c r="Q8" i="37"/>
  <c r="L7" i="39"/>
  <c r="H8" i="40"/>
  <c r="Q8" i="41"/>
  <c r="L7" i="43"/>
  <c r="H8" i="44"/>
  <c r="Q8" i="45"/>
  <c r="L7" i="30"/>
  <c r="H8" i="33"/>
  <c r="Q8" i="36"/>
  <c r="L7" i="38"/>
  <c r="H8" i="39"/>
  <c r="Q8" i="40"/>
  <c r="L7" i="42"/>
  <c r="Q8" i="44"/>
  <c r="L7" i="46"/>
  <c r="Q2" i="14"/>
  <c r="H8" i="49"/>
  <c r="H8" i="30"/>
  <c r="Q8" i="33"/>
  <c r="L7" i="37"/>
  <c r="H8" i="38"/>
  <c r="Q8" i="39"/>
  <c r="L7" i="41"/>
  <c r="H8" i="42"/>
  <c r="Q8" i="43"/>
  <c r="L7" i="45"/>
  <c r="H8" i="46"/>
  <c r="L8" i="37"/>
  <c r="L8" i="41"/>
  <c r="L8" i="45"/>
  <c r="L8" i="33"/>
  <c r="L8" i="39"/>
  <c r="L8" i="43"/>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6" i="1"/>
  <c r="I41" i="48" s="1"/>
  <c r="L8" i="1"/>
  <c r="I33" i="48" s="1"/>
  <c r="L13" i="1"/>
  <c r="I38" i="48" s="1"/>
  <c r="L7" i="1"/>
  <c r="I32" i="48" s="1"/>
  <c r="N16" i="1"/>
  <c r="O41" i="48" s="1"/>
  <c r="N9" i="1"/>
  <c r="O34" i="48" s="1"/>
  <c r="N10" i="1"/>
  <c r="O35" i="48" s="1"/>
  <c r="N11" i="1"/>
  <c r="O36" i="48" s="1"/>
  <c r="N12" i="1"/>
  <c r="O37" i="48" s="1"/>
  <c r="N13" i="1"/>
  <c r="O38" i="48" s="1"/>
  <c r="N14" i="1"/>
  <c r="O39" i="48" s="1"/>
  <c r="N15" i="1"/>
  <c r="O40" i="48" s="1"/>
  <c r="N8" i="1"/>
  <c r="O33" i="48" s="1"/>
  <c r="N7" i="1"/>
  <c r="O32" i="48" s="1"/>
  <c r="L12" i="1" l="1"/>
  <c r="I37" i="48" s="1"/>
  <c r="L10" i="1"/>
  <c r="I35" i="48" s="1"/>
  <c r="L11" i="1"/>
  <c r="I36" i="48" s="1"/>
  <c r="L9" i="1"/>
  <c r="I34" i="48" s="1"/>
  <c r="L15" i="1"/>
  <c r="I40" i="48" s="1"/>
  <c r="L14" i="1"/>
  <c r="I39" i="48" s="1"/>
  <c r="V45" i="11"/>
  <c r="T12" i="49"/>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H38" i="11"/>
  <c r="G39" i="11"/>
  <c r="I39" i="11" s="1"/>
  <c r="Y39" i="11" s="1"/>
  <c r="H39" i="11"/>
  <c r="G40" i="11"/>
  <c r="I40" i="11" s="1"/>
  <c r="H40" i="11"/>
  <c r="G41" i="11"/>
  <c r="I41" i="11" s="1"/>
  <c r="Y41" i="11" s="1"/>
  <c r="H41" i="11"/>
  <c r="G42" i="11"/>
  <c r="I42" i="11" s="1"/>
  <c r="H42" i="11"/>
  <c r="G43" i="11"/>
  <c r="I43" i="11" s="1"/>
  <c r="Y43" i="11" s="1"/>
  <c r="H43" i="11"/>
  <c r="G44" i="11"/>
  <c r="I44" i="11" s="1"/>
  <c r="H44" i="11"/>
  <c r="G45" i="11"/>
  <c r="I45" i="11" s="1"/>
  <c r="Y45" i="11" s="1"/>
  <c r="H45" i="11"/>
  <c r="G46" i="11"/>
  <c r="I46" i="11" s="1"/>
  <c r="H46" i="11"/>
  <c r="G47" i="11"/>
  <c r="I47" i="11" s="1"/>
  <c r="Y47" i="11" s="1"/>
  <c r="H47" i="11"/>
  <c r="G48" i="11"/>
  <c r="I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Y40" i="11" l="1"/>
  <c r="Y48" i="11"/>
  <c r="Y44" i="11"/>
  <c r="Y46" i="11"/>
  <c r="Y42" i="11"/>
  <c r="Y38" i="11"/>
  <c r="I33" i="18"/>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BV7" i="1"/>
  <c r="CD7" i="1"/>
  <c r="CB7" i="1"/>
  <c r="BY7" i="1"/>
  <c r="BW7" i="1"/>
  <c r="B82" i="23"/>
  <c r="E81" i="23"/>
  <c r="B26" i="21"/>
  <c r="C25" i="21"/>
  <c r="C27" i="23"/>
  <c r="K6" i="11"/>
  <c r="K5" i="11"/>
  <c r="K3" i="11"/>
  <c r="F14" i="13"/>
  <c r="L13" i="13"/>
  <c r="N7" i="11"/>
  <c r="N5" i="11"/>
  <c r="AQ7" i="1"/>
  <c r="H20" i="48" s="1"/>
  <c r="J19" i="19"/>
  <c r="D19" i="19"/>
  <c r="L19" i="19"/>
  <c r="N19" i="19"/>
  <c r="Q19" i="19"/>
  <c r="F19" i="19"/>
  <c r="F8" i="11"/>
  <c r="A9" i="11"/>
  <c r="B8" i="11"/>
  <c r="E8" i="11" s="1"/>
  <c r="CC7" i="1" l="1"/>
  <c r="BX7" i="1"/>
  <c r="BZ7" i="1"/>
  <c r="CA7" i="1"/>
  <c r="AS7" i="1"/>
  <c r="A71" i="32"/>
  <c r="A67" i="32"/>
  <c r="B53" i="24"/>
  <c r="D53" i="24" s="1"/>
  <c r="H4" i="21"/>
  <c r="H6" i="21"/>
  <c r="I6" i="21" s="1"/>
  <c r="H5" i="21"/>
  <c r="A9" i="17"/>
  <c r="C8" i="17"/>
  <c r="B8" i="17" s="1"/>
  <c r="V21" i="11"/>
  <c r="V52" i="11"/>
  <c r="X52" i="11" s="1"/>
  <c r="B46" i="25"/>
  <c r="G46" i="25" s="1"/>
  <c r="BW6" i="1"/>
  <c r="BY6" i="1"/>
  <c r="CA6" i="1"/>
  <c r="CC6" i="1"/>
  <c r="BX6" i="1"/>
  <c r="BZ6" i="1"/>
  <c r="CB6" i="1"/>
  <c r="CD6" i="1"/>
  <c r="BV6" i="1"/>
  <c r="CE6" i="1"/>
  <c r="H7" i="21"/>
  <c r="I5" i="21"/>
  <c r="B27" i="21"/>
  <c r="C26" i="21"/>
  <c r="B83" i="23"/>
  <c r="E82" i="23"/>
  <c r="C28" i="23"/>
  <c r="H20" i="18"/>
  <c r="F15" i="13"/>
  <c r="L14" i="13"/>
  <c r="M17" i="1"/>
  <c r="A50" i="6"/>
  <c r="A54" i="6"/>
  <c r="K24" i="1"/>
  <c r="I24" i="1"/>
  <c r="F9" i="11"/>
  <c r="A10" i="11"/>
  <c r="B9" i="11"/>
  <c r="E9" i="11" s="1"/>
  <c r="C27" i="48" l="1"/>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N7" i="18"/>
  <c r="P7" i="19"/>
  <c r="P7" i="49"/>
  <c r="O7" i="45"/>
  <c r="O7" i="41"/>
  <c r="O7" i="37"/>
  <c r="O7" i="46"/>
  <c r="O7" i="42"/>
  <c r="O7" i="38"/>
  <c r="O7" i="30"/>
  <c r="O7" i="40"/>
  <c r="O7" i="36"/>
  <c r="O7" i="43"/>
  <c r="O7" i="39"/>
  <c r="O7" i="33"/>
  <c r="O7" i="44"/>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R7" i="1" s="1"/>
  <c r="A185" i="17"/>
  <c r="F182" i="11"/>
  <c r="A183" i="11"/>
  <c r="B182" i="11"/>
  <c r="E182" i="11" s="1"/>
  <c r="E20" i="48" l="1"/>
  <c r="E20" i="18"/>
  <c r="J4" i="21"/>
  <c r="C185" i="17"/>
  <c r="B185" i="17" s="1"/>
  <c r="A186" i="17"/>
  <c r="F183" i="11"/>
  <c r="B183" i="11"/>
  <c r="E183" i="11" s="1"/>
  <c r="A184" i="11"/>
  <c r="A187" i="17" l="1"/>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T7" i="1" s="1"/>
  <c r="A193" i="17"/>
  <c r="F190" i="11"/>
  <c r="A191" i="11"/>
  <c r="B190" i="11"/>
  <c r="E190" i="11" s="1"/>
  <c r="C193" i="17" l="1"/>
  <c r="B193" i="17"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V7" i="1" s="1"/>
  <c r="A199" i="17"/>
  <c r="F196" i="11"/>
  <c r="B196" i="11"/>
  <c r="E196" i="11" s="1"/>
  <c r="A197" i="11"/>
  <c r="C28" i="48" l="1"/>
  <c r="C28" i="18"/>
  <c r="AW7" i="1"/>
  <c r="C199" i="17"/>
  <c r="B199" i="17" s="1"/>
  <c r="A200" i="17"/>
  <c r="F197" i="11"/>
  <c r="A198" i="11"/>
  <c r="B197" i="11"/>
  <c r="E197" i="11" s="1"/>
  <c r="A201" i="17" l="1"/>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Y13" i="1"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L38" i="48" l="1"/>
  <c r="L38" i="18"/>
  <c r="A212" i="17"/>
  <c r="C211" i="17"/>
  <c r="B211" i="17" s="1"/>
  <c r="F209" i="11"/>
  <c r="B209" i="11"/>
  <c r="E209" i="11" s="1"/>
  <c r="A210" i="11"/>
  <c r="Y7" i="1" l="1"/>
  <c r="Y16" i="1"/>
  <c r="C212" i="17"/>
  <c r="B212" i="17" s="1"/>
  <c r="A213" i="17"/>
  <c r="F210" i="11"/>
  <c r="B210" i="11"/>
  <c r="E210" i="11" s="1"/>
  <c r="A211" i="11"/>
  <c r="Y12" i="1" l="1"/>
  <c r="Y8" i="1"/>
  <c r="Y14" i="1"/>
  <c r="Y10" i="1"/>
  <c r="L41" i="48"/>
  <c r="L41" i="18"/>
  <c r="L32" i="48"/>
  <c r="L32" i="18"/>
  <c r="C213" i="17"/>
  <c r="B213" i="17" s="1"/>
  <c r="A214" i="17"/>
  <c r="F211" i="11"/>
  <c r="A212" i="11"/>
  <c r="B211" i="11"/>
  <c r="E211" i="11" s="1"/>
  <c r="L39" i="48" l="1"/>
  <c r="L39" i="18"/>
  <c r="L35" i="48"/>
  <c r="L35" i="18"/>
  <c r="L33" i="48"/>
  <c r="L33" i="18"/>
  <c r="Y11" i="1"/>
  <c r="Y9" i="1"/>
  <c r="L37" i="48"/>
  <c r="L37" i="18"/>
  <c r="C214" i="17"/>
  <c r="B214" i="17" s="1"/>
  <c r="A215" i="17"/>
  <c r="F212" i="11"/>
  <c r="A213" i="11"/>
  <c r="B212" i="11"/>
  <c r="E212" i="11" s="1"/>
  <c r="L34" i="48" l="1"/>
  <c r="L34" i="18"/>
  <c r="L36" i="48"/>
  <c r="L36" i="18"/>
  <c r="C215" i="17"/>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F255" i="11"/>
  <c r="A256" i="11"/>
  <c r="B255" i="11"/>
  <c r="E255" i="11" s="1"/>
  <c r="CG9" i="1" l="1"/>
  <c r="CK9" i="1"/>
  <c r="CJ9" i="1"/>
  <c r="CJ14" i="1" s="1"/>
  <c r="D13" i="18" s="1"/>
  <c r="C258" i="17"/>
  <c r="B258" i="17" s="1"/>
  <c r="A259" i="17"/>
  <c r="CU9" i="1"/>
  <c r="CS9" i="1"/>
  <c r="CT9" i="1"/>
  <c r="CH9" i="1" s="1"/>
  <c r="CV9" i="1"/>
  <c r="CS6" i="1"/>
  <c r="F256" i="11"/>
  <c r="A257" i="11"/>
  <c r="B257" i="11" s="1"/>
  <c r="E257" i="11" s="1"/>
  <c r="B256" i="11"/>
  <c r="E256" i="11" s="1"/>
  <c r="CG18" i="1" l="1"/>
  <c r="CG16" i="1"/>
  <c r="CG15" i="1" s="1"/>
  <c r="CG17" i="1"/>
  <c r="A260" i="17"/>
  <c r="C259" i="17"/>
  <c r="B259" i="17" s="1"/>
  <c r="CN10" i="1" s="1"/>
  <c r="K15" i="18" s="1"/>
  <c r="CR6" i="1"/>
  <c r="CY9" i="1"/>
  <c r="CW6" i="1"/>
  <c r="CR9" i="1"/>
  <c r="CW9" i="1"/>
  <c r="P13" i="18" s="1"/>
  <c r="CX9" i="1"/>
  <c r="F257" i="11"/>
  <c r="C260" i="17" l="1"/>
  <c r="B260" i="17" s="1"/>
  <c r="CO10" i="1" s="1"/>
  <c r="K16" i="18" s="1"/>
  <c r="A261" i="17"/>
  <c r="F258" i="11"/>
  <c r="C261" i="17" l="1"/>
  <c r="B261" i="17" s="1"/>
  <c r="CP10" i="1" s="1"/>
  <c r="A262" i="17"/>
  <c r="F259" i="11"/>
  <c r="K17" i="18" l="1"/>
  <c r="CG10" i="1"/>
  <c r="CJ10" i="1"/>
  <c r="CK10" i="1"/>
  <c r="C262" i="17"/>
  <c r="B262" i="17" s="1"/>
  <c r="CQ10" i="1" s="1"/>
  <c r="K18" i="18" s="1"/>
  <c r="A263" i="17"/>
  <c r="F260" i="11"/>
  <c r="C263" i="17" l="1"/>
  <c r="B263" i="17" s="1"/>
  <c r="CR10" i="1" s="1"/>
  <c r="P16" i="18" s="1"/>
  <c r="A264" i="17"/>
  <c r="F261" i="11"/>
  <c r="A265" i="17" l="1"/>
  <c r="C264" i="17"/>
  <c r="B264" i="17" s="1"/>
  <c r="CS10" i="1" s="1"/>
  <c r="M18" i="18" s="1"/>
  <c r="F262" i="11"/>
  <c r="C265" i="17" l="1"/>
  <c r="B265" i="17" s="1"/>
  <c r="CT10" i="1" s="1"/>
  <c r="A266" i="17"/>
  <c r="F263" i="11"/>
  <c r="M17" i="18" l="1"/>
  <c r="CH10" i="1"/>
  <c r="C266" i="17"/>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273" i="17" l="1"/>
  <c r="B273" i="17" s="1"/>
  <c r="CP11" i="1" s="1"/>
  <c r="A274" i="17"/>
  <c r="F271" i="11"/>
  <c r="CG11" i="1" l="1"/>
  <c r="CJ11" i="1"/>
  <c r="G13" i="18" s="1"/>
  <c r="CK11" i="1"/>
  <c r="C274" i="17"/>
  <c r="B274" i="17" s="1"/>
  <c r="CQ11" i="1" s="1"/>
  <c r="A275" i="17"/>
  <c r="F272" i="11"/>
  <c r="A276" i="17" l="1"/>
  <c r="C275" i="17"/>
  <c r="B275" i="17" s="1"/>
  <c r="CR11" i="1" s="1"/>
  <c r="F273" i="11"/>
  <c r="C276" i="17" l="1"/>
  <c r="B276" i="17" s="1"/>
  <c r="CS11" i="1" s="1"/>
  <c r="A277" i="17"/>
  <c r="F274" i="11"/>
  <c r="C277" i="17" l="1"/>
  <c r="B277" i="17" s="1"/>
  <c r="CT11" i="1" s="1"/>
  <c r="CH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N15" i="1"/>
  <c r="K13" i="48" s="1"/>
  <c r="CP15" i="1"/>
  <c r="F282" i="11"/>
  <c r="CJ16" i="1" l="1"/>
  <c r="CJ20" i="1" s="1"/>
  <c r="D13" i="48" s="1"/>
  <c r="CK16" i="1"/>
  <c r="C285" i="17"/>
  <c r="B285" i="17" s="1"/>
  <c r="A286" i="17"/>
  <c r="CS15" i="1"/>
  <c r="M13" i="48" s="1"/>
  <c r="CT15" i="1"/>
  <c r="CV15" i="1"/>
  <c r="CU15" i="1"/>
  <c r="F283" i="11"/>
  <c r="C286" i="17" l="1"/>
  <c r="B286" i="17" s="1"/>
  <c r="CN16" i="1" s="1"/>
  <c r="K15" i="48" s="1"/>
  <c r="A287" i="17"/>
  <c r="CW15" i="1"/>
  <c r="P13" i="48" s="1"/>
  <c r="CR15" i="1"/>
  <c r="CX15" i="1"/>
  <c r="CY15" i="1"/>
  <c r="F284" i="11"/>
  <c r="C287" i="17" l="1"/>
  <c r="B287" i="17" s="1"/>
  <c r="CO16" i="1" s="1"/>
  <c r="A288" i="17"/>
  <c r="F285" i="11"/>
  <c r="C288" i="17" l="1"/>
  <c r="B288" i="17" s="1"/>
  <c r="CP16" i="1" s="1"/>
  <c r="A289" i="17"/>
  <c r="F286" i="11"/>
  <c r="CJ17" i="1" l="1"/>
  <c r="CK17" i="1"/>
  <c r="C289" i="17"/>
  <c r="B289" i="17" s="1"/>
  <c r="CQ16"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A300" i="17"/>
  <c r="F297" i="11"/>
  <c r="C300" i="17" l="1"/>
  <c r="B300" i="17" s="1"/>
  <c r="CP17" i="1" s="1"/>
  <c r="A301" i="17"/>
  <c r="F298" i="11"/>
  <c r="CJ18" i="1" l="1"/>
  <c r="G13" i="48" s="1"/>
  <c r="CK18" i="1"/>
  <c r="C301" i="17"/>
  <c r="B301" i="17" s="1"/>
  <c r="CQ17" i="1"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312" i="17" l="1"/>
  <c r="B312" i="17" s="1"/>
  <c r="CP12" i="1" s="1"/>
  <c r="A313" i="17"/>
  <c r="F310" i="11"/>
  <c r="CG12" i="1" l="1"/>
  <c r="CJ19" i="1"/>
  <c r="D15" i="48" s="1"/>
  <c r="CK19" i="1"/>
  <c r="CK12" i="1"/>
  <c r="CJ12" i="1"/>
  <c r="D15" i="18" s="1"/>
  <c r="C313" i="17"/>
  <c r="B313" i="17" s="1"/>
  <c r="CQ12" i="1" s="1"/>
  <c r="A314" i="17"/>
  <c r="F311" i="11"/>
  <c r="C314" i="17" l="1"/>
  <c r="B314" i="17" s="1"/>
  <c r="CR12" i="1" s="1"/>
  <c r="A315" i="17"/>
  <c r="F312" i="11"/>
  <c r="C315" i="17" l="1"/>
  <c r="B315" i="17" s="1"/>
  <c r="CS12" i="1" s="1"/>
  <c r="A316" i="17"/>
  <c r="F313" i="11"/>
  <c r="C316" i="17" l="1"/>
  <c r="B316" i="17" s="1"/>
  <c r="CT12" i="1" s="1"/>
  <c r="CH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CB33"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CB34"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CB35"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CB36"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CB37" i="11" s="1"/>
  <c r="CB31" i="11" s="1"/>
  <c r="A461" i="17"/>
  <c r="F458" i="11"/>
  <c r="J28" i="18" l="1"/>
  <c r="J28" i="48"/>
  <c r="C461" i="17"/>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CB38"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CB39"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CB40"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AW24" i="11" s="1"/>
  <c r="F617" i="11"/>
  <c r="AS26" i="11" l="1"/>
  <c r="AR26" i="11"/>
  <c r="X21" i="11" s="1"/>
  <c r="C621" i="17"/>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<sst xmlns="http://schemas.openxmlformats.org/spreadsheetml/2006/main" count="7385" uniqueCount="2659">
  <si>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</si>
  <si>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</si>
  <si>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</si>
  <si>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</si>
  <si>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</si>
  <si>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</si>
  <si>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</si>
  <si>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</si>
  <si>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</si>
  <si>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</si>
  <si>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</si>
  <si>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</si>
  <si>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</si>
  <si>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</si>
  <si>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</si>
  <si>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</si>
  <si>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</si>
  <si>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</si>
  <si>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</si>
  <si>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</si>
  <si>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</si>
  <si>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</si>
  <si>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</si>
  <si>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</si>
  <si>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</si>
  <si>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</si>
  <si>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</si>
  <si>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</si>
  <si>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</si>
  <si>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</si>
  <si>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</si>
  <si>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</si>
  <si>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</si>
  <si>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</si>
  <si>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</si>
  <si>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</si>
  <si>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</si>
  <si>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</si>
  <si>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</si>
  <si>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</si>
  <si>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</si>
  <si>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</si>
  <si>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</si>
  <si>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</si>
  <si>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</si>
  <si>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</si>
  <si>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</si>
  <si>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</si>
  <si>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</si>
  <si>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</si>
  <si>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</si>
  <si>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</si>
  <si>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</si>
  <si>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</si>
  <si>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</si>
  <si>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</si>
  <si>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</si>
  <si>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</si>
  <si>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</si>
  <si>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</si>
  <si>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</si>
  <si>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</si>
  <si>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</si>
  <si>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</si>
  <si>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</si>
  <si>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</si>
  <si>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</si>
  <si>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</si>
  <si>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</si>
  <si>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</si>
  <si>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</si>
  <si>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</si>
  <si>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</si>
  <si>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</si>
  <si>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</si>
  <si>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</si>
  <si>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</si>
  <si>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</si>
  <si>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</si>
  <si>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</si>
  <si>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</si>
  <si>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</si>
  <si>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</si>
  <si>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</si>
  <si>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</si>
  <si>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</si>
  <si>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</si>
  <si>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</si>
  <si>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</si>
  <si>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</si>
  <si>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</si>
  <si>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</si>
  <si>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</si>
  <si>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</si>
  <si>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</si>
  <si>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</si>
  <si>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</si>
  <si>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</si>
  <si>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</si>
  <si>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</si>
  <si>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</si>
  <si>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</si>
  <si>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</si>
  <si>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</si>
  <si>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</si>
  <si>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</si>
  <si>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</si>
  <si>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</si>
  <si>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</si>
  <si>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</si>
  <si>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</si>
  <si>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</si>
  <si>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</si>
  <si>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</si>
  <si>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</si>
  <si>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</si>
  <si>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</si>
  <si>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</si>
  <si>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</si>
  <si>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</si>
  <si>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</si>
  <si>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</si>
  <si>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</si>
  <si>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</si>
  <si>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</si>
  <si>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</si>
  <si>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</si>
  <si>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</si>
  <si>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</si>
  <si>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</si>
  <si>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</si>
  <si>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</si>
  <si>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</si>
  <si>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</si>
  <si>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</si>
  <si>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</si>
  <si>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</si>
  <si>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</si>
  <si>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</si>
  <si>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</si>
  <si>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</si>
  <si>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</si>
  <si>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</si>
  <si>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</si>
  <si>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</si>
  <si>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</si>
  <si>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</si>
  <si>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</si>
  <si>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</si>
  <si>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</si>
  <si>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</si>
  <si>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</si>
  <si>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</si>
  <si>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</si>
  <si>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</si>
  <si>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</si>
  <si>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</si>
  <si>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</si>
  <si>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</si>
  <si>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</si>
  <si>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</si>
  <si>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</si>
  <si>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</si>
  <si>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</si>
  <si>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</si>
  <si>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</si>
  <si>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</si>
  <si>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</si>
  <si>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</si>
  <si>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</si>
  <si>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</si>
  <si>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</si>
  <si>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</si>
  <si>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</si>
  <si>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</si>
  <si>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</si>
  <si>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</si>
  <si>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</si>
  <si>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</si>
  <si>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</si>
  <si>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</si>
  <si>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</si>
  <si>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</si>
  <si>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</si>
  <si>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</si>
  <si>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</si>
  <si>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</si>
  <si>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</si>
  <si>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</si>
  <si>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</si>
  <si>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</si>
  <si>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</si>
  <si>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</si>
  <si>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</si>
  <si>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</si>
  <si>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</si>
  <si>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</si>
  <si>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</si>
  <si>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</si>
  <si>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</si>
  <si>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</si>
  <si>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</si>
  <si>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</si>
  <si>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</si>
  <si>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</si>
  <si>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</si>
  <si>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</si>
  <si>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</si>
  <si>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</si>
  <si>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</si>
  <si>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</si>
  <si>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</si>
  <si>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</si>
  <si>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</si>
  <si>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</si>
  <si>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</si>
  <si>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</si>
  <si>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</si>
  <si>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</si>
  <si>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</si>
  <si>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</si>
  <si>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</si>
  <si>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</si>
  <si>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</si>
  <si>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</si>
  <si>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</si>
  <si>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</si>
  <si>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</si>
  <si>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</si>
  <si>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</si>
  <si>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</si>
  <si>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</si>
  <si>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</si>
  <si>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</si>
  <si>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</si>
  <si>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</si>
  <si>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</si>
  <si>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</si>
  <si>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</si>
  <si>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</si>
  <si>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</si>
  <si>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</si>
  <si>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</si>
  <si>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</si>
  <si>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</si>
  <si>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</si>
  <si>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</si>
  <si>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</si>
  <si>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</si>
  <si>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</si>
  <si>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</si>
  <si>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</si>
  <si>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</si>
  <si>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</si>
  <si>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</si>
  <si>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</si>
  <si>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</si>
  <si>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</si>
  <si>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</si>
  <si>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</si>
  <si>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</si>
  <si>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</si>
  <si>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</si>
  <si>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</si>
  <si>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</si>
  <si>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</si>
  <si>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</si>
  <si>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</si>
  <si>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</si>
  <si>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</si>
  <si>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</si>
  <si>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</si>
  <si>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</si>
  <si>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</si>
  <si>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</si>
  <si>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</si>
  <si>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</si>
  <si>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</si>
  <si>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</si>
  <si>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</si>
  <si>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</si>
  <si>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</si>
  <si>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</si>
  <si>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</si>
  <si>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</si>
  <si>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</si>
  <si>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</si>
  <si>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</si>
  <si>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</si>
  <si>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</si>
  <si>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</si>
  <si>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</si>
  <si>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</si>
  <si>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</si>
  <si>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</si>
  <si>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</si>
  <si>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</si>
  <si>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</si>
  <si>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</si>
  <si>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</si>
  <si>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</si>
  <si>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</si>
  <si>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</si>
  <si>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</si>
  <si>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</si>
  <si>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</si>
  <si>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</si>
  <si>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</si>
  <si>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</si>
  <si>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</si>
  <si>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</si>
  <si>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</si>
  <si>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</si>
  <si>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</si>
  <si>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</si>
  <si>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</si>
  <si>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</si>
  <si>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</si>
  <si>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</si>
  <si>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</si>
  <si>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</si>
  <si>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</si>
  <si>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</si>
  <si>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</si>
  <si>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</si>
  <si>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</si>
  <si>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</si>
  <si>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</si>
  <si>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</si>
  <si>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</si>
  <si>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</si>
  <si>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</si>
  <si>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</si>
  <si>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</si>
  <si>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</si>
  <si>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</si>
  <si>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</si>
  <si>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</si>
  <si>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</si>
  <si>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</si>
  <si>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</si>
  <si>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</si>
  <si>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</si>
  <si>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</si>
  <si>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</si>
  <si>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</si>
  <si>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</si>
  <si>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</si>
  <si>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</si>
  <si>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</si>
  <si>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</si>
  <si>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</si>
  <si>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</si>
  <si>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</si>
  <si>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</si>
  <si>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</si>
  <si>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</si>
  <si>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</si>
  <si>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</si>
  <si>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</si>
  <si>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</si>
  <si>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</si>
  <si>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</si>
  <si>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</si>
  <si>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</si>
  <si>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</si>
  <si>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</si>
  <si>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</si>
  <si>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</si>
  <si>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</si>
  <si>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</si>
  <si>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</si>
  <si>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</si>
  <si>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</si>
  <si>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</si>
  <si>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</si>
  <si>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</si>
  <si>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</si>
  <si>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</si>
  <si>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</si>
  <si>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</si>
  <si>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</si>
  <si>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</si>
  <si>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</si>
  <si>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</si>
  <si>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</si>
  <si>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</si>
  <si>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</si>
  <si>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</si>
  <si>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</si>
  <si>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</si>
  <si>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</si>
  <si>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</si>
  <si>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</si>
  <si>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</si>
  <si>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</si>
  <si>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</si>
  <si>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</si>
  <si>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</si>
  <si>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</si>
  <si>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</si>
  <si>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</si>
  <si>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</si>
  <si>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</si>
  <si>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</si>
  <si>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</si>
  <si>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</si>
  <si>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</si>
  <si>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</si>
  <si>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</si>
  <si>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</si>
  <si>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</si>
  <si>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</si>
  <si>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</si>
  <si>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</si>
  <si>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</si>
  <si>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</si>
  <si>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</si>
  <si>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</si>
  <si>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</si>
  <si>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</si>
  <si>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</si>
  <si>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</si>
  <si>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</si>
  <si>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</si>
  <si>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</si>
  <si>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</si>
  <si>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</si>
  <si>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</si>
  <si>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</si>
  <si>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</si>
  <si>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</si>
  <si>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</si>
  <si>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</si>
  <si>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</si>
  <si>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</si>
  <si>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</si>
  <si>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</si>
  <si>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</si>
  <si>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</si>
  <si>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</si>
  <si>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</si>
  <si>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</si>
  <si>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</si>
  <si>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</si>
  <si>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</si>
  <si>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</si>
  <si>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</si>
  <si>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</si>
  <si>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</si>
  <si>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</si>
  <si>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</si>
  <si>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</si>
  <si>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</si>
  <si>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</si>
  <si>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</si>
  <si>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</si>
  <si>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</si>
  <si>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</si>
  <si>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</si>
  <si>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</si>
  <si>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</si>
  <si>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</si>
  <si>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</si>
  <si>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</si>
  <si>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</si>
  <si>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</si>
  <si>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</si>
  <si>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</si>
  <si>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</si>
  <si>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</si>
  <si>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</si>
  <si>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</si>
  <si>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</si>
  <si>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</si>
  <si>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</si>
  <si>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</si>
  <si>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</si>
  <si>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</si>
  <si>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</si>
  <si>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</si>
  <si>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</si>
  <si>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</si>
  <si>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</si>
  <si>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</si>
  <si>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</si>
  <si>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</si>
  <si>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</si>
  <si>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</si>
  <si>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</si>
  <si>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</si>
  <si>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</si>
  <si>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</si>
  <si>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</si>
  <si>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</si>
  <si>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</si>
  <si>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</si>
  <si>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</si>
  <si>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</si>
  <si>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</si>
  <si>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</si>
  <si>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</si>
  <si>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</si>
  <si>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</si>
  <si>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</si>
  <si>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</si>
  <si>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</si>
  <si>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</si>
  <si>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</si>
  <si>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</si>
  <si>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</si>
  <si>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</si>
  <si>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</si>
  <si>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</si>
  <si>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</si>
  <si>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</si>
  <si>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</si>
  <si>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</si>
  <si>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</si>
  <si>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</si>
  <si>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</si>
  <si>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</si>
  <si>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</si>
  <si>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</si>
  <si>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</si>
  <si>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</si>
  <si>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</si>
  <si>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</si>
  <si>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</si>
  <si>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</si>
  <si>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</si>
  <si>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</si>
  <si>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</si>
  <si>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</si>
  <si>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</si>
  <si>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</si>
  <si>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</si>
  <si>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</si>
  <si>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</si>
  <si>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</si>
  <si>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</si>
  <si>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</si>
  <si>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</si>
  <si>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</si>
  <si>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</si>
  <si>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</si>
  <si>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</si>
  <si>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</si>
  <si>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</si>
  <si>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</si>
  <si>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</si>
  <si>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</si>
  <si>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</si>
  <si>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</si>
  <si>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</si>
  <si>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</si>
  <si>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</si>
  <si>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</si>
  <si>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</si>
  <si>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</si>
  <si>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</si>
  <si>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</si>
  <si>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</si>
  <si>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</si>
  <si>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</si>
  <si>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</si>
  <si>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</si>
  <si>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</si>
  <si>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</si>
  <si>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</si>
  <si>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</si>
  <si>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</si>
  <si>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</si>
  <si>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</si>
  <si>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</si>
  <si>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</si>
  <si>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</si>
  <si>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</si>
  <si>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</si>
  <si>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</si>
  <si>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</si>
  <si>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</si>
  <si>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</si>
  <si>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</si>
  <si>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</si>
  <si>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</si>
  <si>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</si>
  <si>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</si>
  <si>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</si>
  <si>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</si>
  <si>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</si>
  <si>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</si>
  <si>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</si>
  <si>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</si>
  <si>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</si>
  <si>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</si>
  <si>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</si>
  <si>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</si>
  <si>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</si>
  <si>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</si>
  <si>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</si>
  <si>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</si>
  <si>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</si>
  <si>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</si>
  <si>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</si>
  <si>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</si>
  <si>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</si>
  <si>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</si>
  <si>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</si>
  <si>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</si>
  <si>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</si>
  <si>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</si>
  <si>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</si>
  <si>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</si>
  <si>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</si>
  <si>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</si>
  <si>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</si>
  <si>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</si>
  <si>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</si>
  <si>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</si>
  <si>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</si>
  <si>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</si>
  <si>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</si>
  <si>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</si>
  <si>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</si>
  <si>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</si>
  <si>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</si>
  <si>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</si>
  <si>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</si>
  <si>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</si>
  <si>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</si>
  <si>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</si>
  <si>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</si>
  <si>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</si>
  <si>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</si>
  <si>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</si>
  <si>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</si>
  <si>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</si>
  <si>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</si>
  <si>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</si>
  <si>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</si>
  <si>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</si>
  <si>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</si>
  <si>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</si>
  <si>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</si>
  <si>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</si>
  <si>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</si>
  <si>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</si>
  <si>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</si>
  <si>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</si>
  <si>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</si>
  <si>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</si>
  <si>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</si>
  <si>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</si>
  <si>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</si>
  <si>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</si>
  <si>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</si>
  <si>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</si>
  <si>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</si>
  <si>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</si>
  <si>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</si>
  <si>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</si>
  <si>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</si>
  <si>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</si>
  <si>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</si>
  <si>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</si>
  <si>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</si>
  <si>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</si>
  <si>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</si>
  <si>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</si>
  <si>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</si>
  <si>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</si>
  <si>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</si>
  <si>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</si>
  <si>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</si>
  <si>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</si>
  <si>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</si>
  <si>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</si>
  <si>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</si>
  <si>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</si>
  <si>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</si>
  <si>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</si>
  <si>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</si>
  <si>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</si>
  <si>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</si>
  <si>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</si>
  <si>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</si>
  <si>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</si>
  <si>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</si>
  <si>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</si>
  <si>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</si>
  <si>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</si>
  <si>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</si>
  <si>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</si>
  <si>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</si>
  <si>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</si>
  <si>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</si>
  <si>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</si>
  <si>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</si>
  <si>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</si>
  <si>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</si>
  <si>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</si>
  <si>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</si>
  <si>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</si>
  <si>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</si>
  <si>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</si>
  <si>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</si>
  <si>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</si>
  <si>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</si>
  <si>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</si>
  <si>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</si>
  <si>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</si>
  <si>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</si>
  <si>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</si>
  <si>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</si>
  <si>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</si>
  <si>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</si>
  <si>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</si>
  <si>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</si>
  <si>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</si>
  <si>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</si>
  <si>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</si>
  <si>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</si>
  <si>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</si>
  <si>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</si>
  <si>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</si>
  <si>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</si>
  <si>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</si>
  <si>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</si>
  <si>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</si>
  <si>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</si>
  <si>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</si>
  <si>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</si>
  <si>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</si>
  <si>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</si>
  <si>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</si>
  <si>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</si>
  <si>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</si>
  <si>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</si>
  <si>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</si>
  <si>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</si>
  <si>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</si>
  <si>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</si>
  <si>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</si>
  <si>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</si>
  <si>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</si>
  <si>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</si>
  <si>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</si>
  <si>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</si>
  <si>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</si>
  <si>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</si>
  <si>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</si>
  <si>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</si>
  <si>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</si>
  <si>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</si>
  <si>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</si>
  <si>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</si>
  <si>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</si>
  <si>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</si>
  <si>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</si>
  <si>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</si>
  <si>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</si>
  <si>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</si>
  <si>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</si>
  <si>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</si>
  <si>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</si>
  <si>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</si>
  <si>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</si>
  <si>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</si>
  <si>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</si>
  <si>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</si>
  <si>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</si>
  <si>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</si>
  <si>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</si>
  <si>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</si>
  <si>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</si>
  <si>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</si>
  <si>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</si>
  <si>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</si>
  <si>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</si>
  <si>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</si>
  <si>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</si>
  <si>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</si>
  <si>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</si>
  <si>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</si>
  <si>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</si>
  <si>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</si>
  <si>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</si>
  <si>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</si>
  <si>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</si>
  <si>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</si>
  <si>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</si>
  <si>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</si>
  <si>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</si>
  <si>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</si>
  <si>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</si>
  <si>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</si>
  <si>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</si>
  <si>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</si>
  <si>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</si>
  <si>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</si>
  <si>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</si>
  <si>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</si>
  <si>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</si>
  <si>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</si>
  <si>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</si>
  <si>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</si>
  <si>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</si>
  <si>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</si>
  <si>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</si>
  <si>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</si>
  <si>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</si>
  <si>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</si>
  <si>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</si>
  <si>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</si>
  <si>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</si>
  <si>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</si>
  <si>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</si>
  <si>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</si>
  <si>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</si>
  <si>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</si>
  <si>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</si>
  <si>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</si>
  <si>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</si>
  <si>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</si>
  <si>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</si>
  <si>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</si>
  <si>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</si>
  <si>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</si>
  <si>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</si>
  <si>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</si>
  <si>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</si>
  <si>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</si>
  <si>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</si>
  <si>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</si>
  <si>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</si>
  <si>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</si>
  <si>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</si>
  <si>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</si>
  <si>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</si>
  <si>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</si>
  <si>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</si>
  <si>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</si>
  <si>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</si>
  <si>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</si>
  <si>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</si>
  <si>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</si>
  <si>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</si>
  <si>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</si>
  <si>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</si>
  <si>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</si>
  <si>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</si>
  <si>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</si>
  <si>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</si>
  <si>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</si>
  <si>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</si>
  <si>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</si>
  <si>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</si>
  <si>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</si>
  <si>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</si>
  <si>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</si>
  <si>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</si>
  <si>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</si>
  <si>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</si>
  <si>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</si>
  <si>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</si>
  <si>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</si>
  <si>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</si>
  <si>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</si>
  <si>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</si>
  <si>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</si>
  <si>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</si>
  <si>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</si>
  <si>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</si>
  <si>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</si>
  <si>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</si>
  <si>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</si>
  <si>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</si>
  <si>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</si>
  <si>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</si>
  <si>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</si>
  <si>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</si>
  <si>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</si>
  <si>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</si>
  <si>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</si>
  <si>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</si>
  <si>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</si>
  <si>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</si>
  <si>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</si>
  <si>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</si>
  <si>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</si>
  <si>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</si>
  <si>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</si>
  <si>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</si>
  <si>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</si>
  <si>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</si>
  <si>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</si>
  <si>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</si>
  <si>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</si>
  <si>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</si>
  <si>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</si>
  <si>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</si>
  <si>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</si>
  <si>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</si>
  <si>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</si>
  <si>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</si>
  <si>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</si>
  <si>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</si>
  <si>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</si>
  <si>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</si>
  <si>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</si>
  <si>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</si>
  <si>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</si>
  <si>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</si>
  <si>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</si>
  <si>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</si>
  <si>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</si>
  <si>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</si>
  <si>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</si>
  <si>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</si>
  <si>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</si>
  <si>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</si>
  <si>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</si>
  <si>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</si>
  <si>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</si>
  <si>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</si>
  <si>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</si>
  <si>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</si>
  <si>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</si>
  <si>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</si>
  <si>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</si>
  <si>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</si>
  <si>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</si>
  <si>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</si>
  <si>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</si>
  <si>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</si>
  <si>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</si>
  <si>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</si>
  <si>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</si>
  <si>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</si>
  <si>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</si>
  <si>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</si>
  <si>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</si>
  <si>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</si>
  <si>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</si>
  <si>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</si>
  <si>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</si>
  <si>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</si>
  <si>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</si>
  <si>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</si>
  <si>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</si>
  <si>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</si>
  <si>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</si>
  <si>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</si>
  <si>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</si>
  <si>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</si>
  <si>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</si>
  <si>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</si>
  <si>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</si>
  <si>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</si>
  <si>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</si>
  <si>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</si>
  <si>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</si>
  <si>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</si>
  <si>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</si>
  <si>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</si>
  <si>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</si>
  <si>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</si>
  <si>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</si>
  <si>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</si>
  <si>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</si>
  <si>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</si>
  <si>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</si>
  <si>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</si>
  <si>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</si>
  <si>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</si>
  <si>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</si>
  <si>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</si>
  <si>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</si>
  <si>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</si>
  <si>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</si>
  <si>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</si>
  <si>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</si>
  <si>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</si>
  <si>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</si>
  <si>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</si>
  <si>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</si>
  <si>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</si>
  <si>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</si>
  <si>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</si>
  <si>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</si>
  <si>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</si>
  <si>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</si>
  <si>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</si>
  <si>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</si>
  <si>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</si>
  <si>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</si>
  <si>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</si>
  <si>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</si>
  <si>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</si>
  <si>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</si>
  <si>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</si>
  <si>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</si>
  <si>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</si>
  <si>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</si>
  <si>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</si>
  <si>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</si>
  <si>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</si>
  <si>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</si>
  <si>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</si>
  <si>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</si>
  <si>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</si>
  <si>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</si>
  <si>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</si>
  <si>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</si>
  <si>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</si>
  <si>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</si>
  <si>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</si>
  <si>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</si>
  <si>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</si>
  <si>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</si>
  <si>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</si>
  <si>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</si>
  <si>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</si>
  <si>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</si>
  <si>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</si>
  <si>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</si>
  <si>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</si>
  <si>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</si>
  <si>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</si>
  <si>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</si>
  <si>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</si>
  <si>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</si>
  <si>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</si>
  <si>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</si>
  <si>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</si>
  <si>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</si>
  <si>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</si>
  <si>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</si>
  <si>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</si>
  <si>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</si>
  <si>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</si>
  <si>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</si>
  <si>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</si>
  <si>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</si>
  <si>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</si>
  <si>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</si>
  <si>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</si>
  <si>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</si>
  <si>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</si>
  <si>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</si>
  <si>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</si>
  <si>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</si>
  <si>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</si>
  <si>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</si>
  <si>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</si>
  <si>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</si>
  <si>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</si>
  <si>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</si>
  <si>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</si>
  <si>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</si>
  <si>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</si>
  <si>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</si>
  <si>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</si>
  <si>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</si>
  <si>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</si>
  <si>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</si>
  <si>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</si>
  <si>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</si>
  <si>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</si>
  <si>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</si>
  <si>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</si>
  <si>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</si>
  <si>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</si>
  <si>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</si>
  <si>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</si>
  <si>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</si>
  <si>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</si>
  <si>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</si>
  <si>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</si>
  <si>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</si>
  <si>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</si>
  <si>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</si>
  <si>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</si>
  <si>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</si>
  <si>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</si>
  <si>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</si>
  <si>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</si>
  <si>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</si>
  <si>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</si>
  <si>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</si>
  <si>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</si>
  <si>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</si>
  <si>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</si>
  <si>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</si>
  <si>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</si>
  <si>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</si>
  <si>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</si>
  <si>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</si>
  <si>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</si>
  <si>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</si>
  <si>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</si>
  <si>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</si>
  <si>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</si>
  <si>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</si>
  <si>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</si>
  <si>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</si>
  <si>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</si>
  <si>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</si>
  <si>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</si>
  <si>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</si>
  <si>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</si>
  <si>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</si>
  <si>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</si>
  <si>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</si>
  <si>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</si>
  <si>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</si>
  <si>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</si>
  <si>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</si>
  <si>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</si>
  <si>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</si>
  <si>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</si>
  <si>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</si>
  <si>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</si>
  <si>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</si>
  <si>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</si>
  <si>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</si>
  <si>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</si>
  <si>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</si>
  <si>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</si>
  <si>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</si>
  <si>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</si>
  <si>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</si>
  <si>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</si>
  <si>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</si>
  <si>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</si>
  <si>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</si>
  <si>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</si>
  <si>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</si>
  <si>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</si>
  <si>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</si>
  <si>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</si>
  <si>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</si>
  <si>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</si>
  <si>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</si>
  <si>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</si>
  <si>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</si>
  <si>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</si>
  <si>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</si>
  <si>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</si>
  <si>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</si>
  <si>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</si>
  <si>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</si>
  <si>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</si>
  <si>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</si>
  <si>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</si>
  <si>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</si>
  <si>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</si>
  <si>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</si>
  <si>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</si>
  <si>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</si>
  <si>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</si>
  <si>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</si>
  <si>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</si>
  <si>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</si>
  <si>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</si>
  <si>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</si>
  <si>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</si>
  <si>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</si>
  <si>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</si>
  <si>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</si>
  <si>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</si>
  <si>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</si>
  <si>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</si>
  <si>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</si>
  <si>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</si>
  <si>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</si>
  <si>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</si>
  <si>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</si>
  <si>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</si>
  <si>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</si>
  <si>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</si>
  <si>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</si>
  <si>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</si>
  <si>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</si>
  <si>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</si>
  <si>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</si>
  <si>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</si>
  <si>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</si>
  <si>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</si>
  <si>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</si>
  <si>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</si>
  <si>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</si>
  <si>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</si>
  <si>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</si>
  <si>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</si>
  <si>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</si>
  <si>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</si>
  <si>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</si>
  <si>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</si>
  <si>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</si>
  <si>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</si>
  <si>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</si>
  <si>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</si>
  <si>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</si>
  <si>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</si>
  <si>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</si>
  <si>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</si>
  <si>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</si>
  <si>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</si>
  <si>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</si>
  <si>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</si>
  <si>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</si>
  <si>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</si>
  <si>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</si>
  <si>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</si>
  <si>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</si>
  <si>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</si>
  <si>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</si>
  <si>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</si>
  <si>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</si>
  <si>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</si>
  <si>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</si>
  <si>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</si>
  <si>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</si>
  <si>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</si>
  <si>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</si>
  <si>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</si>
  <si>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</si>
  <si>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</si>
  <si>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</si>
  <si>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</si>
  <si>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</si>
  <si>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</si>
  <si>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</si>
  <si>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</si>
  <si>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</si>
  <si>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</si>
  <si>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</si>
  <si>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</si>
  <si>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</si>
  <si>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</si>
  <si>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</si>
  <si>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</si>
  <si>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</si>
  <si>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</si>
  <si>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</si>
  <si>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</si>
  <si>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</si>
  <si>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</si>
  <si>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</si>
  <si>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</si>
  <si>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</si>
  <si>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</si>
  <si>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</si>
  <si>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</si>
  <si>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</si>
  <si>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</si>
  <si>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</si>
  <si>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</si>
  <si>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</si>
  <si>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</si>
  <si>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</si>
  <si>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</si>
  <si>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</si>
  <si>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</si>
  <si>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</si>
  <si>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</si>
  <si>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</si>
  <si>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</si>
  <si>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</si>
  <si>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</si>
  <si>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</si>
  <si>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</si>
  <si>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</si>
  <si>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</si>
  <si>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</si>
  <si>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</si>
  <si>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</si>
  <si>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</si>
  <si>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</si>
  <si>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</si>
  <si>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</si>
  <si>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</si>
  <si>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</si>
  <si>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</si>
  <si>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</si>
  <si>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</si>
  <si>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</si>
  <si>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</si>
  <si>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</si>
  <si>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</si>
  <si>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</si>
  <si>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</si>
  <si>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</si>
  <si>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</si>
  <si>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</si>
  <si>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</si>
  <si>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</si>
  <si>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</si>
  <si>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</si>
  <si>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</si>
  <si>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</si>
  <si>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</si>
  <si>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</si>
  <si>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</si>
  <si>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</si>
  <si>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</si>
  <si>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</si>
  <si>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</si>
  <si>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</si>
  <si>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</si>
  <si>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</si>
  <si>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</si>
  <si>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</si>
  <si>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</si>
  <si>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</si>
  <si>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</si>
  <si>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</si>
  <si>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</si>
  <si>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</si>
  <si>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</si>
  <si>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</si>
  <si>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</si>
  <si>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</si>
  <si>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</si>
  <si>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</si>
  <si>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</si>
  <si>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</si>
  <si>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</si>
  <si>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</si>
  <si>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</si>
  <si>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</si>
  <si>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</si>
  <si>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</si>
  <si>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</si>
  <si>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</si>
  <si>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</si>
  <si>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</si>
  <si>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</si>
  <si>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</si>
  <si>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</si>
  <si>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</si>
  <si>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</si>
  <si>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</si>
  <si>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</si>
  <si>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</si>
  <si>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</si>
  <si>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</si>
  <si>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</si>
  <si>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</si>
  <si>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</si>
  <si>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</si>
  <si>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</si>
  <si>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</si>
  <si>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</si>
  <si>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</si>
  <si>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</si>
  <si>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</si>
  <si>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</si>
  <si>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</si>
  <si>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</si>
  <si>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</si>
  <si>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</si>
  <si>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</si>
  <si>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</si>
  <si>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</si>
  <si>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</si>
  <si>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</si>
  <si>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</si>
  <si>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</si>
  <si>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</si>
  <si>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</si>
  <si>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</si>
  <si>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</si>
  <si>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</si>
  <si>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</si>
  <si>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</si>
  <si>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</si>
  <si>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</si>
  <si>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</si>
  <si>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</si>
  <si>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</si>
  <si>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</si>
  <si>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</si>
  <si>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</si>
  <si>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</si>
  <si>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</si>
  <si>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</si>
  <si>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</si>
  <si>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</si>
  <si>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</si>
  <si>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</si>
  <si>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</si>
  <si>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</si>
  <si>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</si>
  <si>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</si>
  <si>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</si>
  <si>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</si>
  <si>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</si>
  <si>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</si>
  <si>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</si>
  <si>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</si>
  <si>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</si>
  <si>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</si>
  <si>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</si>
  <si>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</si>
  <si>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</si>
  <si>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</si>
  <si>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</si>
  <si>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</si>
  <si>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</si>
  <si>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</si>
  <si>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</si>
  <si>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</si>
  <si>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</si>
  <si>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</si>
  <si>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</si>
  <si>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</si>
  <si>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</si>
  <si>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</si>
  <si>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</si>
  <si>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</si>
  <si>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</si>
  <si>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</si>
  <si>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</si>
  <si>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</si>
  <si>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</si>
  <si>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</si>
  <si>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</si>
  <si>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</si>
  <si>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</si>
  <si>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</si>
  <si>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</si>
  <si>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</si>
  <si>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</si>
  <si>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</si>
  <si>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</si>
  <si>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</si>
  <si>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</si>
  <si>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</si>
  <si>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</si>
  <si>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</si>
  <si>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</si>
  <si>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</si>
  <si>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</si>
  <si>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</si>
  <si>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</si>
  <si>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</si>
  <si>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</si>
  <si>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</si>
  <si>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</si>
  <si>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</si>
  <si>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</si>
  <si>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</si>
  <si>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</si>
  <si>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</si>
  <si>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</si>
  <si>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</si>
  <si>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</si>
  <si>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</si>
  <si>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</si>
  <si>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</si>
  <si>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</si>
  <si>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</si>
  <si>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</si>
  <si>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</si>
  <si>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</si>
  <si>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</si>
  <si>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</si>
  <si>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</si>
  <si>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</si>
  <si>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</si>
  <si>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</si>
  <si>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</si>
  <si>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</si>
  <si>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</si>
  <si>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</si>
  <si>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</si>
  <si>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</si>
  <si>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</si>
  <si>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</si>
  <si>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</si>
  <si>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</si>
  <si>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</si>
  <si>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</si>
  <si>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</si>
  <si>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</si>
  <si>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</si>
  <si>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</si>
  <si>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</si>
  <si>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</si>
  <si>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</si>
  <si>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</si>
  <si>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</si>
  <si>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</si>
  <si>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</si>
  <si>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</si>
  <si>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</si>
  <si>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</si>
  <si>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</si>
  <si>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</si>
  <si>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</si>
  <si>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</si>
  <si>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</si>
  <si>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</si>
  <si>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</si>
  <si>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</si>
  <si>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</si>
  <si>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</si>
  <si>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</si>
  <si>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</si>
  <si>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</si>
  <si>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</si>
  <si>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</si>
  <si>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</si>
  <si>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</si>
  <si>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</si>
  <si>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</si>
  <si>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</si>
  <si>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</si>
  <si>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</si>
  <si>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</si>
  <si>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</si>
  <si>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</si>
  <si>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</si>
  <si>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</si>
  <si>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</si>
  <si>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</si>
  <si>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</si>
  <si>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</si>
  <si>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</si>
  <si>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</si>
  <si>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</si>
  <si>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</si>
  <si>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</si>
  <si>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</si>
  <si>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</si>
  <si>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</si>
  <si>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</si>
  <si>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</si>
  <si>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</si>
  <si>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</si>
  <si>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</si>
  <si>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</si>
  <si>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</si>
  <si>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</si>
  <si>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</si>
  <si>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</si>
  <si>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</si>
  <si>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</si>
  <si>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</si>
  <si>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</si>
  <si>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</si>
  <si>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</si>
  <si>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</si>
  <si>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</si>
  <si>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</si>
  <si>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</si>
  <si>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</si>
  <si>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</si>
  <si>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</si>
  <si>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</si>
  <si>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</si>
  <si>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</si>
  <si>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</si>
  <si>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</si>
  <si>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</si>
  <si>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</si>
  <si>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</si>
  <si>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</si>
  <si>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</si>
  <si>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</si>
  <si>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</si>
  <si>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</si>
  <si>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</si>
  <si>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</si>
  <si>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</si>
  <si>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</si>
  <si>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</si>
  <si>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</si>
  <si>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</si>
  <si>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</si>
  <si>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</si>
  <si>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</si>
  <si>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</si>
  <si>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</si>
  <si>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</si>
  <si>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</si>
  <si>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</si>
  <si>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</si>
  <si>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</si>
  <si>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</si>
  <si>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</si>
  <si>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</si>
  <si>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</si>
  <si>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</si>
  <si>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</si>
  <si>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</si>
  <si>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</si>
  <si>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</si>
  <si>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</si>
  <si>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</si>
  <si>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</si>
  <si>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</si>
  <si>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</si>
  <si>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</si>
  <si>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</si>
  <si>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</si>
  <si>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</si>
  <si>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</si>
  <si>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</si>
  <si>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</si>
  <si>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</si>
  <si>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</si>
  <si>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</si>
  <si>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</si>
  <si>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</si>
  <si>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</si>
  <si>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</si>
  <si>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</si>
  <si>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</si>
  <si>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</si>
  <si>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</si>
  <si>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</si>
  <si>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</si>
  <si>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</si>
  <si>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</si>
  <si>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</si>
  <si>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</si>
  <si>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</si>
  <si>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</si>
  <si>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</si>
  <si>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</si>
  <si>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</si>
  <si>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</si>
  <si>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</si>
  <si>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</si>
  <si>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</si>
  <si>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</si>
  <si>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</si>
  <si>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</si>
  <si>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</si>
  <si>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</si>
  <si>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</si>
  <si>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</si>
  <si>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</si>
  <si>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</si>
  <si>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</si>
  <si>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</si>
  <si>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</si>
  <si>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</si>
  <si>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</si>
  <si>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</si>
  <si>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</si>
  <si>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</si>
  <si>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</si>
  <si>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</si>
  <si>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</si>
  <si>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</si>
  <si>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</si>
  <si>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</si>
  <si>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</si>
  <si>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</si>
  <si>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</si>
  <si>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</si>
  <si>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</si>
  <si>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</si>
  <si>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</si>
  <si>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</si>
  <si>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</si>
  <si>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</si>
  <si>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</si>
  <si>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</si>
  <si>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</si>
  <si>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</si>
  <si>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</si>
  <si>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</si>
  <si>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</si>
  <si>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</si>
  <si>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</si>
  <si>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</si>
  <si>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</si>
  <si>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</si>
  <si>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</si>
  <si>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</si>
  <si>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</si>
  <si>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</si>
  <si>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</si>
  <si>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</si>
  <si>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</si>
  <si>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</si>
  <si>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</si>
  <si>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</si>
  <si>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</si>
  <si>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</si>
  <si>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</si>
  <si>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</si>
  <si>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</si>
  <si>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</si>
  <si>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</si>
  <si>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</si>
  <si>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</si>
  <si>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</si>
  <si>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</si>
  <si>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</si>
  <si>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</si>
  <si>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</si>
  <si>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</si>
  <si>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</si>
  <si>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</si>
  <si>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</si>
  <si>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</si>
  <si>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</si>
  <si>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</si>
  <si>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</si>
  <si>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</si>
  <si>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</si>
  <si>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</si>
  <si>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</si>
  <si>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</si>
  <si>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</si>
  <si>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</si>
  <si>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</si>
  <si>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</si>
  <si>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</si>
  <si>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</si>
  <si>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</si>
  <si>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</si>
  <si>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</si>
  <si>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</si>
  <si>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</si>
  <si>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</si>
  <si>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</si>
  <si>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</si>
  <si>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</si>
  <si>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</si>
  <si>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</si>
  <si>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</si>
  <si>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</si>
  <si>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</si>
  <si>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</si>
  <si>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</si>
  <si>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</si>
  <si>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</si>
  <si>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</si>
  <si>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</si>
  <si>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</si>
  <si>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</si>
  <si>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</si>
  <si>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</si>
  <si>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</si>
  <si>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</si>
  <si>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</si>
  <si>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</si>
  <si>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</si>
  <si>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</si>
  <si>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</si>
  <si>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</si>
  <si>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</si>
  <si>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</si>
  <si>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</si>
  <si>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</si>
  <si>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</si>
  <si>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</si>
  <si>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</si>
  <si>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</si>
  <si>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</si>
  <si>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</si>
  <si>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</si>
  <si>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</si>
  <si>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</si>
  <si>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</si>
  <si>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</si>
  <si>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</si>
  <si>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</si>
  <si>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</si>
  <si>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</si>
  <si>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</si>
  <si>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</si>
  <si>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</si>
  <si>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</si>
  <si>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</si>
  <si>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</si>
  <si>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</si>
  <si>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</si>
  <si>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</si>
  <si>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</si>
  <si>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</si>
  <si>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</si>
  <si>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</si>
  <si>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</si>
  <si>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</si>
  <si>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</si>
  <si>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</si>
  <si>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</si>
  <si>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</si>
  <si>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</si>
  <si>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</si>
  <si>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</si>
  <si>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</si>
  <si>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</si>
  <si>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</si>
  <si>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</si>
  <si>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</si>
  <si>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</si>
  <si>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</si>
  <si>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</si>
  <si>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</si>
  <si>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</si>
  <si>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</si>
  <si>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</si>
  <si>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</si>
  <si>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</si>
  <si>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</si>
  <si>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</si>
  <si>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</si>
  <si>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</si>
  <si>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</si>
  <si>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</si>
  <si>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</si>
  <si>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</si>
  <si>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</si>
  <si>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</si>
  <si>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</si>
  <si>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</si>
  <si>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</si>
  <si>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</si>
  <si>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</si>
  <si>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</si>
  <si>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</si>
  <si>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</si>
  <si>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</si>
  <si>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</si>
  <si>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</si>
  <si>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</si>
  <si>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</si>
  <si>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</si>
  <si>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</si>
  <si>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</si>
  <si>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</si>
  <si>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</si>
  <si>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</si>
  <si>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</si>
  <si>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</si>
  <si>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</si>
  <si>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</si>
  <si>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</si>
  <si>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</si>
  <si>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</si>
  <si>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</si>
  <si>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</si>
  <si>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</si>
  <si>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</si>
  <si>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</si>
  <si>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</si>
  <si>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</si>
  <si>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</si>
  <si>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</si>
  <si>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</si>
  <si>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</si>
  <si>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</si>
  <si>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</si>
  <si>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</si>
  <si>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</si>
  <si>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</si>
  <si>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</si>
  <si>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</si>
  <si>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</si>
  <si>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</si>
  <si>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</si>
  <si>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</si>
  <si>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</si>
  <si>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</si>
  <si>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</si>
  <si>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</si>
  <si>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</si>
  <si>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</si>
  <si>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</si>
  <si>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</si>
  <si>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</si>
  <si>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</si>
  <si>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</si>
  <si>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</si>
  <si>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</si>
  <si>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</si>
  <si>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</si>
  <si>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</si>
  <si>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</si>
  <si>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</si>
  <si>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</si>
  <si>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</si>
  <si>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</si>
  <si>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</si>
  <si>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</si>
  <si>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</si>
  <si>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</si>
  <si>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</si>
  <si>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</si>
  <si>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</si>
  <si>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</si>
  <si>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</si>
  <si>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</si>
  <si>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</si>
  <si>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</si>
  <si>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</si>
  <si>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</si>
  <si>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</si>
  <si>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</si>
  <si>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</si>
  <si>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</si>
  <si>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</si>
  <si>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</si>
  <si>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</si>
  <si>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</si>
  <si>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</si>
  <si>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</si>
  <si>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</si>
  <si>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</si>
  <si>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</si>
  <si>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</si>
  <si>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</si>
  <si>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</si>
  <si>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</si>
  <si>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</si>
  <si>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</si>
  <si>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</si>
  <si>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</si>
  <si>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</si>
  <si>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</si>
  <si>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</si>
  <si>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</si>
  <si>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</si>
  <si>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</si>
  <si>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</si>
  <si>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</si>
  <si>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</si>
  <si>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</si>
  <si>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</si>
  <si>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</si>
  <si>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</si>
  <si>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</si>
  <si>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</si>
  <si>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</si>
  <si>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</si>
  <si>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</si>
  <si>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</si>
  <si>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</si>
  <si>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</si>
  <si>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</si>
  <si>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</si>
  <si>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</si>
  <si>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</si>
  <si>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</si>
  <si>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</si>
  <si>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</si>
  <si>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</si>
  <si>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</si>
  <si>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</si>
  <si>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</si>
  <si>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</si>
  <si>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</si>
  <si>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</si>
  <si>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</si>
  <si>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</si>
  <si>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</si>
  <si>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</si>
  <si>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</si>
  <si>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</si>
  <si>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</si>
  <si>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</si>
  <si>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</si>
  <si>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</si>
  <si>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</si>
  <si>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</si>
  <si>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</si>
  <si>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</si>
  <si>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</si>
  <si>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</si>
  <si>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</si>
  <si>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</si>
  <si>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</si>
  <si>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</si>
  <si>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</si>
  <si>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</si>
  <si>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</si>
  <si>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</si>
  <si>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</si>
  <si>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</si>
  <si>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</si>
  <si>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</si>
  <si>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</si>
  <si>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</si>
  <si>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</si>
  <si>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</si>
  <si>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</si>
  <si>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</si>
  <si>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</si>
  <si>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</si>
  <si>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</si>
  <si>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</si>
  <si>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</si>
  <si>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</si>
  <si>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</si>
  <si>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</si>
  <si>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</si>
  <si>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</si>
  <si>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</si>
  <si>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</si>
  <si>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</si>
  <si>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</si>
  <si>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</si>
  <si>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</si>
  <si>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</si>
  <si>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</si>
  <si>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</si>
  <si>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</si>
  <si>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</si>
  <si>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</si>
  <si>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</si>
  <si>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</si>
  <si>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</si>
  <si>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</si>
  <si>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</si>
  <si>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</si>
  <si>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</si>
  <si>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</si>
  <si>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</si>
  <si>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</si>
  <si>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</si>
  <si>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</si>
  <si>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</si>
  <si>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</si>
  <si>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</si>
  <si>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</si>
  <si>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</si>
  <si>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</si>
  <si>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</si>
  <si>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</si>
  <si>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</si>
  <si>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</si>
  <si>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</si>
  <si>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</si>
  <si>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</si>
  <si>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</si>
  <si>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</si>
  <si>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</si>
  <si>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</si>
  <si>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</si>
  <si>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</si>
  <si>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</si>
  <si>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</si>
  <si>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</si>
  <si>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</si>
  <si>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</si>
  <si>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</si>
  <si>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</si>
  <si>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</si>
  <si>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</si>
  <si>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</si>
  <si>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</si>
  <si>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</si>
  <si>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</si>
  <si>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</si>
  <si>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</si>
  <si>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</si>
  <si>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</si>
  <si>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</si>
  <si>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</si>
  <si>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</si>
  <si>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</si>
  <si>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</si>
  <si>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</si>
  <si>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</si>
  <si>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</si>
  <si>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</si>
  <si>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</si>
  <si>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</si>
  <si>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</si>
  <si>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</si>
  <si>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</si>
  <si>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</si>
  <si>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</si>
  <si>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</si>
  <si>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</si>
  <si>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</si>
  <si>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</si>
  <si>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</si>
  <si>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</si>
  <si>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</si>
  <si>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</si>
  <si>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</si>
  <si>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</si>
  <si>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</si>
  <si>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</si>
  <si>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</si>
  <si>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</si>
  <si>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</si>
  <si>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</si>
  <si>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</si>
  <si>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</si>
  <si>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</si>
  <si>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</si>
  <si>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</si>
  <si>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</si>
  <si>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</si>
  <si>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</si>
  <si>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</si>
  <si>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</si>
  <si>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</si>
  <si>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</si>
  <si>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</si>
  <si>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</si>
  <si>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</si>
  <si>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</si>
  <si>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</si>
  <si>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</si>
  <si>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</si>
  <si>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</si>
  <si>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</si>
  <si>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</si>
  <si>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</si>
  <si>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</si>
  <si>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</si>
  <si>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</si>
  <si>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</si>
  <si>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</si>
  <si>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</si>
  <si>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</si>
  <si>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</si>
  <si>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</si>
  <si>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</si>
  <si>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</si>
  <si>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</si>
  <si>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</si>
  <si>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</si>
  <si>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</si>
  <si>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</si>
  <si>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</si>
  <si>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</si>
  <si>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</si>
  <si>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</si>
  <si>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</si>
  <si>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</si>
  <si>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</si>
  <si>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</si>
  <si>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</si>
  <si>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</si>
  <si>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</si>
  <si>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</si>
  <si>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</si>
  <si>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</si>
  <si>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</si>
  <si>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</si>
  <si>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</si>
  <si>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</si>
  <si>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</si>
  <si>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</si>
  <si>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</si>
  <si>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</si>
  <si>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</si>
  <si>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</si>
  <si>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</si>
  <si>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</si>
  <si>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</si>
  <si>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</si>
  <si>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</si>
  <si>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</si>
  <si>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</si>
  <si>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</si>
  <si>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</si>
  <si>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</si>
  <si>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</si>
  <si>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</si>
  <si>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</si>
  <si>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</si>
  <si>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</si>
  <si>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</si>
  <si>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</si>
  <si>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</si>
  <si>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</si>
  <si>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</si>
  <si>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</si>
  <si>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</si>
  <si>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</si>
  <si>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</si>
  <si>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</si>
  <si>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</si>
  <si>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</si>
  <si>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</si>
  <si>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</si>
  <si>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</si>
  <si>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</si>
  <si>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</si>
  <si>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</si>
  <si>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</si>
  <si>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</si>
  <si>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</si>
  <si>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</si>
  <si>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</si>
  <si>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</si>
  <si>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</si>
  <si>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</si>
  <si>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</si>
  <si>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</si>
  <si>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</si>
  <si>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</si>
  <si>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</si>
  <si>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</si>
  <si>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</si>
  <si>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</si>
  <si>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</si>
  <si>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</si>
  <si>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</si>
  <si>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</si>
  <si>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</si>
  <si>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</si>
  <si>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</si>
  <si>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</si>
  <si>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</si>
  <si>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</si>
  <si>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</si>
  <si>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</si>
  <si>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</si>
  <si>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</si>
  <si>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</si>
  <si>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</si>
  <si>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</si>
  <si>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</si>
  <si>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</si>
  <si>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</si>
  <si>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</si>
  <si>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</si>
  <si>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</si>
  <si>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</si>
  <si>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</si>
  <si>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</si>
  <si>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</si>
  <si>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</si>
  <si>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</si>
  <si>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</si>
  <si>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</si>
  <si>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</si>
  <si>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</si>
  <si>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</si>
  <si>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</si>
  <si>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</si>
  <si>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</si>
  <si>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</si>
  <si>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</si>
  <si>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</si>
  <si>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</si>
  <si>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</si>
  <si>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</si>
  <si>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</si>
  <si>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</si>
  <si>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</si>
  <si>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</si>
  <si>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</si>
  <si>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</si>
  <si>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</si>
  <si>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</si>
  <si>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</si>
  <si>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</si>
  <si>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</si>
  <si>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</si>
  <si>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</si>
  <si>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</si>
  <si>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</si>
  <si>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</si>
  <si>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</si>
  <si>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</si>
  <si>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</si>
  <si>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</si>
  <si>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</si>
  <si>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</si>
  <si>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</si>
  <si>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</si>
  <si>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</si>
  <si>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</si>
  <si>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</si>
  <si>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</si>
  <si>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</si>
  <si>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</si>
  <si>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</si>
  <si>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</si>
  <si>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</si>
  <si>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</si>
  <si>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</si>
  <si>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</si>
  <si>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</si>
  <si>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</si>
  <si>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</si>
  <si>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</si>
  <si>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</si>
  <si>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</si>
  <si>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</si>
  <si>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</si>
  <si>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</si>
  <si>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</si>
  <si>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</si>
  <si>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</si>
  <si>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</si>
  <si>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</si>
  <si>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</si>
  <si>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</si>
  <si>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</si>
  <si>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</si>
  <si>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</si>
  <si>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</si>
  <si>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</si>
  <si>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</si>
  <si>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</si>
  <si>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</si>
  <si>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</si>
  <si>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</si>
  <si>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</si>
  <si>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</si>
  <si>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</si>
  <si>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</si>
  <si>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</si>
  <si>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</si>
  <si>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</si>
  <si>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</si>
  <si>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</si>
  <si>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</si>
  <si>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</si>
  <si>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</si>
  <si>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</si>
  <si>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</si>
  <si>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</si>
  <si>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</si>
  <si>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</si>
  <si>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</si>
  <si>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</si>
  <si>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</si>
  <si>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</si>
  <si>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</si>
  <si>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</si>
  <si>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</si>
  <si>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</si>
  <si>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</si>
  <si>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</si>
  <si>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</si>
  <si>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</si>
  <si>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</si>
  <si>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</si>
  <si>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</si>
  <si>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</si>
  <si>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</si>
  <si>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</si>
  <si>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</si>
  <si>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</si>
  <si>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</si>
  <si>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</si>
  <si>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</si>
  <si>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</si>
  <si>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</si>
  <si>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</si>
  <si>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</si>
  <si>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</si>
  <si>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</si>
  <si>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</si>
  <si>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</si>
  <si>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</si>
  <si>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</si>
  <si>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</si>
  <si>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</si>
  <si>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</si>
  <si>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</si>
  <si>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</si>
  <si>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</si>
  <si>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</si>
  <si>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</si>
  <si>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</si>
  <si>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</si>
  <si>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</si>
  <si>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</si>
  <si>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</si>
  <si>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</si>
  <si>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</si>
  <si>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</si>
  <si>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</si>
  <si>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</si>
  <si>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</si>
  <si>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</si>
  <si>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</si>
  <si>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</si>
  <si>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</si>
  <si>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</si>
  <si>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</si>
  <si>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</si>
  <si>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</si>
  <si>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</si>
  <si>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</si>
  <si>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</si>
  <si>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</si>
  <si>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</si>
  <si>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</si>
  <si>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</si>
  <si>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</si>
  <si>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</si>
  <si>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</si>
  <si>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</si>
  <si>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</si>
  <si>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</si>
  <si>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</si>
  <si>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</si>
  <si>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</si>
  <si>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</si>
  <si>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</si>
  <si>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</si>
  <si>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</si>
  <si>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</si>
  <si>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</si>
  <si>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</si>
  <si>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</si>
  <si>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</si>
  <si>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</si>
  <si>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</si>
  <si>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</si>
  <si>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</si>
  <si>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</si>
  <si>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</si>
  <si>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</si>
  <si>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</si>
  <si>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</si>
  <si>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</si>
  <si>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</si>
  <si>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</si>
  <si>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</si>
  <si>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</si>
  <si>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</si>
  <si>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</si>
  <si>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</si>
  <si>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</si>
  <si>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</si>
  <si>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</si>
  <si>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</si>
  <si>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</si>
  <si>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</si>
  <si>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</si>
  <si>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</si>
  <si>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</si>
  <si>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</si>
  <si>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</si>
  <si>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</si>
  <si>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</si>
  <si>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</si>
  <si>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</si>
  <si>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</si>
  <si>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</si>
  <si>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</si>
  <si>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</si>
  <si>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</si>
  <si>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</si>
  <si>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</si>
  <si>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</si>
  <si>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</si>
  <si>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</si>
  <si>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</si>
  <si>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</si>
  <si>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</si>
  <si>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</si>
  <si>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</si>
  <si>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</si>
  <si>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</si>
  <si>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</si>
  <si>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</si>
  <si>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</si>
  <si>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</si>
  <si>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</si>
  <si>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</si>
  <si>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</si>
  <si>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</si>
  <si>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</si>
  <si>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</si>
  <si>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</si>
  <si>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</si>
  <si>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</si>
  <si>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</si>
  <si>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</si>
  <si>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</si>
  <si>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</si>
  <si>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</si>
  <si>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</si>
  <si>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</si>
  <si>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</si>
  <si>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</si>
  <si>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</si>
  <si>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</si>
  <si>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</si>
  <si>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</si>
  <si>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</si>
  <si>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</si>
  <si>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</si>
  <si>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</si>
  <si>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</si>
  <si>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</si>
  <si>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</si>
  <si>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</si>
  <si>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</si>
  <si>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</si>
  <si>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</si>
  <si>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</si>
  <si>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</si>
  <si>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</si>
  <si>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</si>
  <si>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</si>
  <si>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</si>
  <si>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</si>
  <si>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</si>
  <si>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</si>
  <si>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</si>
  <si>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</si>
  <si>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</si>
  <si>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</si>
  <si>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</si>
  <si>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</si>
  <si>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</si>
  <si>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</si>
  <si>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</si>
  <si>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</si>
  <si>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</si>
  <si>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</si>
  <si>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</si>
  <si>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</si>
  <si>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</si>
  <si>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</si>
  <si>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</si>
  <si>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</si>
  <si>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</si>
  <si>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</si>
  <si>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</si>
  <si>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</si>
  <si>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</si>
  <si>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</si>
  <si>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</si>
  <si>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</si>
  <si>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</si>
  <si>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</si>
  <si>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</si>
  <si>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</si>
  <si>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</si>
  <si>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</si>
  <si>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</si>
  <si>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</si>
  <si>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</si>
  <si>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</si>
  <si>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</si>
  <si>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</si>
  <si>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</si>
  <si>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</si>
  <si>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</si>
  <si>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</si>
  <si>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</si>
  <si>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</si>
  <si>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</si>
  <si>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</si>
  <si>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</si>
  <si>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[0.414670]</t>
  </si>
  <si>
    <t>0 [0.797207]</t>
  </si>
  <si>
    <t>0 [1.201602]</t>
  </si>
  <si>
    <t>0 [1.610930]</t>
  </si>
  <si>
    <t>0 [2.018720]</t>
  </si>
  <si>
    <t>0 [2.425312]</t>
  </si>
  <si>
    <t>0 [2.838310]</t>
  </si>
  <si>
    <t>0 [3.237136]</t>
  </si>
  <si>
    <t>0 [3.650726]</t>
  </si>
  <si>
    <t>0 [4.050012]</t>
  </si>
  <si>
    <t>0 [4.457268]</t>
  </si>
  <si>
    <t>0 [4.878054]</t>
  </si>
  <si>
    <t>0 [5.265513]</t>
  </si>
  <si>
    <t>0 [5.687591]</t>
  </si>
  <si>
    <t>0 [6.081274]</t>
  </si>
  <si>
    <t>0 [6.485513]</t>
  </si>
  <si>
    <t>0 [6.890333]</t>
  </si>
  <si>
    <t>0 [7.311231]</t>
  </si>
  <si>
    <t>0 [7.702485]</t>
  </si>
  <si>
    <t>0 [8.118923]</t>
  </si>
  <si>
    <t>0 [8.544559]</t>
  </si>
  <si>
    <t>0 [8.931040]</t>
  </si>
  <si>
    <t>0 [9.352931]</t>
  </si>
  <si>
    <t>0 [9.753749]</t>
  </si>
  <si>
    <t>0 [10.145007]</t>
  </si>
  <si>
    <t>0 [10.550259]</t>
  </si>
  <si>
    <t>0 [10.963921]</t>
  </si>
  <si>
    <t>0 [11.389826]</t>
  </si>
  <si>
    <t>0 [11.774903]</t>
  </si>
  <si>
    <t>0 [12.181066]</t>
  </si>
  <si>
    <t>0 [12.580438]</t>
  </si>
  <si>
    <t>0 [13.010377]</t>
  </si>
  <si>
    <t>0 [13.402310]</t>
  </si>
  <si>
    <t>0 [13.800237]</t>
  </si>
  <si>
    <t>0 [14.200162]</t>
  </si>
  <si>
    <t>0 [14.611312]</t>
  </si>
  <si>
    <t>0 [15.033981]</t>
  </si>
  <si>
    <t>0 [15.433277]</t>
  </si>
  <si>
    <t>0 [15.840436]</t>
  </si>
  <si>
    <t>0 [16.260066]</t>
  </si>
  <si>
    <t>0 [16.656268]</t>
  </si>
  <si>
    <t>0 [17.048626]</t>
  </si>
  <si>
    <t>0 [17.454971]</t>
  </si>
  <si>
    <t>0 [17.861386]</t>
  </si>
  <si>
    <t>0 [18.276638]</t>
  </si>
  <si>
    <t>0 [18.674102]</t>
  </si>
  <si>
    <t>0 [19.091811]</t>
  </si>
  <si>
    <t>0 [19.489288]</t>
  </si>
  <si>
    <t>0 [19.890972]</t>
  </si>
  <si>
    <t>0 [20.323718]</t>
  </si>
  <si>
    <t>0 [20.710218]</t>
  </si>
  <si>
    <t>0 [21.105220]</t>
  </si>
  <si>
    <t>0 [21.537298]</t>
  </si>
  <si>
    <t>0 [21.918654]</t>
  </si>
  <si>
    <t>0 [22.342330]</t>
  </si>
  <si>
    <t>0 [22.739673]</t>
  </si>
  <si>
    <t>0 [23.155606]</t>
  </si>
  <si>
    <t>0 [23.555874]</t>
  </si>
  <si>
    <t>0 [23.966662]</t>
  </si>
  <si>
    <t>0 [24.366587]</t>
  </si>
  <si>
    <t>0 [24.767502]</t>
  </si>
  <si>
    <t>0 [25.175056]</t>
  </si>
  <si>
    <t>0 [25.578932]</t>
  </si>
  <si>
    <t>0 [25.995128]</t>
  </si>
  <si>
    <t>0 [26.401477]</t>
  </si>
  <si>
    <t>0 [26.812358]</t>
  </si>
  <si>
    <t>0 [27.199324]</t>
  </si>
  <si>
    <t>0 [27.629803]</t>
  </si>
  <si>
    <t>0 [28.016314]</t>
  </si>
  <si>
    <t>0 [28.417992]</t>
  </si>
  <si>
    <t>0 [28.848380]</t>
  </si>
  <si>
    <t>0 [29.238886]</t>
  </si>
  <si>
    <t>0 [29.639453]</t>
  </si>
  <si>
    <t>0 [30.065624]</t>
  </si>
  <si>
    <t>0 [30.456156]</t>
  </si>
  <si>
    <t>0 [30.860758]</t>
  </si>
  <si>
    <t>0 [31.264421]</t>
  </si>
  <si>
    <t>0 [31.680750]</t>
  </si>
  <si>
    <t>0 [32.082592]</t>
  </si>
  <si>
    <t>0 [32.502123]</t>
  </si>
  <si>
    <t>0 [32.890805]</t>
  </si>
  <si>
    <t>0 [33.301103]</t>
  </si>
  <si>
    <t>0 [33.712647]</t>
  </si>
  <si>
    <t>0 [34.123779]</t>
  </si>
  <si>
    <t>0 [34.525113]</t>
  </si>
  <si>
    <t>0 [34.923178]</t>
  </si>
  <si>
    <t>0 [35.328488]</t>
  </si>
  <si>
    <t>0 [35.750427]</t>
  </si>
  <si>
    <t>0 [36.175711]</t>
  </si>
  <si>
    <t>0 [36.551015]</t>
  </si>
  <si>
    <t>0 [36.957665]</t>
  </si>
  <si>
    <t>0 [37.362213]</t>
  </si>
  <si>
    <t>0 [37.772458]</t>
  </si>
  <si>
    <t>0 [38.170470]</t>
  </si>
  <si>
    <t>0 [38.586675]</t>
  </si>
  <si>
    <t>0 [38.990495]</t>
  </si>
  <si>
    <t>0 [39.406529]</t>
  </si>
  <si>
    <t>0 [39.798018]</t>
  </si>
  <si>
    <t>vision^zcz7^1^1^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</si>
</sst>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55.65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55.651539999999997</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99"/>
                <c:pt idx="0">
                  <c:v>2.5600399999999999</c:v>
                </c:pt>
                <c:pt idx="1">
                  <c:v>2.5489600000000001</c:v>
                </c:pt>
                <c:pt idx="2">
                  <c:v>2.5406400000000002</c:v>
                </c:pt>
                <c:pt idx="3">
                  <c:v>2.5351800000000004</c:v>
                </c:pt>
                <c:pt idx="4">
                  <c:v>2.53193</c:v>
                </c:pt>
                <c:pt idx="5">
                  <c:v>2.5286999999999997</c:v>
                </c:pt>
                <c:pt idx="6">
                  <c:v>2.5252599999999998</c:v>
                </c:pt>
                <c:pt idx="7">
                  <c:v>2.52156</c:v>
                </c:pt>
                <c:pt idx="8">
                  <c:v>2.5175999999999998</c:v>
                </c:pt>
                <c:pt idx="9">
                  <c:v>2.5121199999999999</c:v>
                </c:pt>
                <c:pt idx="10">
                  <c:v>2.5028600000000001</c:v>
                </c:pt>
                <c:pt idx="11">
                  <c:v>2.49125</c:v>
                </c:pt>
                <c:pt idx="12">
                  <c:v>2.4798899999999997</c:v>
                </c:pt>
                <c:pt idx="13">
                  <c:v>2.4689199999999998</c:v>
                </c:pt>
                <c:pt idx="14">
                  <c:v>2.45932</c:v>
                </c:pt>
                <c:pt idx="15">
                  <c:v>2.4466399999999999</c:v>
                </c:pt>
                <c:pt idx="16">
                  <c:v>2.4329200000000002</c:v>
                </c:pt>
                <c:pt idx="17">
                  <c:v>2.4179500000000003</c:v>
                </c:pt>
                <c:pt idx="18">
                  <c:v>2.4021699999999999</c:v>
                </c:pt>
                <c:pt idx="19">
                  <c:v>2.3853299999999997</c:v>
                </c:pt>
                <c:pt idx="20">
                  <c:v>2.3685999999999998</c:v>
                </c:pt>
                <c:pt idx="21">
                  <c:v>2.3512399999999998</c:v>
                </c:pt>
                <c:pt idx="22">
                  <c:v>2.3313299999999999</c:v>
                </c:pt>
                <c:pt idx="23">
                  <c:v>2.3102300000000002</c:v>
                </c:pt>
                <c:pt idx="24">
                  <c:v>2.2881499999999999</c:v>
                </c:pt>
                <c:pt idx="25">
                  <c:v>2.2649400000000002</c:v>
                </c:pt>
                <c:pt idx="26">
                  <c:v>2.2392799999999999</c:v>
                </c:pt>
                <c:pt idx="27">
                  <c:v>2.2104499999999998</c:v>
                </c:pt>
                <c:pt idx="28">
                  <c:v>2.1774299999999998</c:v>
                </c:pt>
                <c:pt idx="29">
                  <c:v>2.1398000000000001</c:v>
                </c:pt>
                <c:pt idx="30">
                  <c:v>2.0978599999999998</c:v>
                </c:pt>
                <c:pt idx="31">
                  <c:v>2.0508000000000002</c:v>
                </c:pt>
                <c:pt idx="32">
                  <c:v>1.9977200000000002</c:v>
                </c:pt>
                <c:pt idx="33">
                  <c:v>1.9386999999999999</c:v>
                </c:pt>
                <c:pt idx="34">
                  <c:v>1.8747400000000001</c:v>
                </c:pt>
                <c:pt idx="35">
                  <c:v>1.8189500000000001</c:v>
                </c:pt>
                <c:pt idx="36">
                  <c:v>1.78088</c:v>
                </c:pt>
                <c:pt idx="37">
                  <c:v>1.7589399999999999</c:v>
                </c:pt>
                <c:pt idx="38">
                  <c:v>1.7475799999999999</c:v>
                </c:pt>
                <c:pt idx="39">
                  <c:v>1.7401900000000001</c:v>
                </c:pt>
                <c:pt idx="40">
                  <c:v>1.7343600000000001</c:v>
                </c:pt>
                <c:pt idx="41">
                  <c:v>1.7314699999999998</c:v>
                </c:pt>
                <c:pt idx="42">
                  <c:v>1.73281</c:v>
                </c:pt>
                <c:pt idx="43">
                  <c:v>1.73891</c:v>
                </c:pt>
                <c:pt idx="44">
                  <c:v>1.7462</c:v>
                </c:pt>
                <c:pt idx="45">
                  <c:v>1.7543900000000001</c:v>
                </c:pt>
                <c:pt idx="46">
                  <c:v>1.7625599999999999</c:v>
                </c:pt>
                <c:pt idx="47">
                  <c:v>1.7731300000000001</c:v>
                </c:pt>
                <c:pt idx="48">
                  <c:v>1.78234</c:v>
                </c:pt>
                <c:pt idx="49">
                  <c:v>1.7923</c:v>
                </c:pt>
                <c:pt idx="50">
                  <c:v>1.8016699999999999</c:v>
                </c:pt>
                <c:pt idx="51">
                  <c:v>1.8092299999999999</c:v>
                </c:pt>
                <c:pt idx="52">
                  <c:v>1.81748</c:v>
                </c:pt>
                <c:pt idx="53">
                  <c:v>1.8259800000000002</c:v>
                </c:pt>
                <c:pt idx="54">
                  <c:v>1.8332499999999998</c:v>
                </c:pt>
                <c:pt idx="55">
                  <c:v>1.8349899999999999</c:v>
                </c:pt>
                <c:pt idx="56">
                  <c:v>1.8358300000000001</c:v>
                </c:pt>
                <c:pt idx="57">
                  <c:v>1.8356700000000001</c:v>
                </c:pt>
                <c:pt idx="58">
                  <c:v>1.8340999999999998</c:v>
                </c:pt>
                <c:pt idx="59">
                  <c:v>1.8338199999999998</c:v>
                </c:pt>
                <c:pt idx="60">
                  <c:v>1.83249</c:v>
                </c:pt>
                <c:pt idx="61">
                  <c:v>1.8306900000000002</c:v>
                </c:pt>
                <c:pt idx="62">
                  <c:v>1.82901</c:v>
                </c:pt>
                <c:pt idx="63">
                  <c:v>1.82717</c:v>
                </c:pt>
                <c:pt idx="64">
                  <c:v>1.8238099999999999</c:v>
                </c:pt>
                <c:pt idx="65">
                  <c:v>1.8182200000000002</c:v>
                </c:pt>
                <c:pt idx="66">
                  <c:v>1.8139099999999999</c:v>
                </c:pt>
                <c:pt idx="67">
                  <c:v>1.8092299999999999</c:v>
                </c:pt>
                <c:pt idx="68">
                  <c:v>1.8032500000000002</c:v>
                </c:pt>
                <c:pt idx="69">
                  <c:v>1.79752</c:v>
                </c:pt>
                <c:pt idx="70">
                  <c:v>1.7911600000000001</c:v>
                </c:pt>
                <c:pt idx="71">
                  <c:v>1.78392</c:v>
                </c:pt>
                <c:pt idx="72">
                  <c:v>1.7767299999999999</c:v>
                </c:pt>
                <c:pt idx="73">
                  <c:v>1.7686099999999998</c:v>
                </c:pt>
                <c:pt idx="74">
                  <c:v>1.75987</c:v>
                </c:pt>
                <c:pt idx="75">
                  <c:v>1.7519100000000001</c:v>
                </c:pt>
                <c:pt idx="76">
                  <c:v>1.74474</c:v>
                </c:pt>
                <c:pt idx="77">
                  <c:v>1.7357400000000001</c:v>
                </c:pt>
                <c:pt idx="78">
                  <c:v>1.72482</c:v>
                </c:pt>
                <c:pt idx="79">
                  <c:v>1.71387</c:v>
                </c:pt>
                <c:pt idx="80">
                  <c:v>1.7116899999999999</c:v>
                </c:pt>
                <c:pt idx="81">
                  <c:v>1.7100499999999998</c:v>
                </c:pt>
                <c:pt idx="82">
                  <c:v>1.70964</c:v>
                </c:pt>
                <c:pt idx="83">
                  <c:v>1.7098100000000001</c:v>
                </c:pt>
                <c:pt idx="84">
                  <c:v>1.70913</c:v>
                </c:pt>
                <c:pt idx="85">
                  <c:v>1.70905</c:v>
                </c:pt>
                <c:pt idx="86">
                  <c:v>1.7103299999999999</c:v>
                </c:pt>
                <c:pt idx="87">
                  <c:v>1.71149</c:v>
                </c:pt>
                <c:pt idx="88">
                  <c:v>1.7126700000000001</c:v>
                </c:pt>
                <c:pt idx="89">
                  <c:v>1.7158799999999998</c:v>
                </c:pt>
                <c:pt idx="90">
                  <c:v>1.7207300000000001</c:v>
                </c:pt>
                <c:pt idx="91">
                  <c:v>1.7220299999999999</c:v>
                </c:pt>
                <c:pt idx="92">
                  <c:v>1.7212700000000001</c:v>
                </c:pt>
                <c:pt idx="93">
                  <c:v>1.71956</c:v>
                </c:pt>
                <c:pt idx="94">
                  <c:v>1.7141700000000002</c:v>
                </c:pt>
                <c:pt idx="95">
                  <c:v>1.7100199999999999</c:v>
                </c:pt>
                <c:pt idx="96">
                  <c:v>1.7104600000000001</c:v>
                </c:pt>
                <c:pt idx="97">
                  <c:v>1.7065700000000001</c:v>
                </c:pt>
                <c:pt idx="98">
                  <c:v>1.6955999999999998</c:v>
                </c:pt>
              </c:numCache>
            </c:numRef>
          </c:xVal>
          <c:yVal>
            <c:numRef>
              <c:f>[0]!FT_PH</c:f>
              <c:numCache>
                <c:formatCode>0.00</c:formatCode>
                <c:ptCount val="99"/>
                <c:pt idx="0">
                  <c:v>69.731200000000001</c:v>
                </c:pt>
                <c:pt idx="1">
                  <c:v>69.67</c:v>
                </c:pt>
                <c:pt idx="2">
                  <c:v>69.454400000000007</c:v>
                </c:pt>
                <c:pt idx="3">
                  <c:v>69.144300000000001</c:v>
                </c:pt>
                <c:pt idx="4">
                  <c:v>68.778399999999991</c:v>
                </c:pt>
                <c:pt idx="5">
                  <c:v>68.36569999999999</c:v>
                </c:pt>
                <c:pt idx="6">
                  <c:v>67.924499999999995</c:v>
                </c:pt>
                <c:pt idx="7">
                  <c:v>67.441199999999995</c:v>
                </c:pt>
                <c:pt idx="8">
                  <c:v>66.912899999999993</c:v>
                </c:pt>
                <c:pt idx="9">
                  <c:v>66.360900000000001</c:v>
                </c:pt>
                <c:pt idx="10">
                  <c:v>65.812200000000004</c:v>
                </c:pt>
                <c:pt idx="11">
                  <c:v>65.241</c:v>
                </c:pt>
                <c:pt idx="12">
                  <c:v>64.645099999999999</c:v>
                </c:pt>
                <c:pt idx="13">
                  <c:v>64.008299999999991</c:v>
                </c:pt>
                <c:pt idx="14">
                  <c:v>63.476100000000002</c:v>
                </c:pt>
                <c:pt idx="15">
                  <c:v>62.903200000000005</c:v>
                </c:pt>
                <c:pt idx="16">
                  <c:v>62.314</c:v>
                </c:pt>
                <c:pt idx="17">
                  <c:v>61.698099999999997</c:v>
                </c:pt>
                <c:pt idx="18">
                  <c:v>61.043499999999995</c:v>
                </c:pt>
                <c:pt idx="19">
                  <c:v>60.388399999999997</c:v>
                </c:pt>
                <c:pt idx="20">
                  <c:v>59.738500000000002</c:v>
                </c:pt>
                <c:pt idx="21">
                  <c:v>59.088499999999996</c:v>
                </c:pt>
                <c:pt idx="22">
                  <c:v>58.386099999999999</c:v>
                </c:pt>
                <c:pt idx="23">
                  <c:v>57.710099999999997</c:v>
                </c:pt>
                <c:pt idx="24">
                  <c:v>57.032299999999999</c:v>
                </c:pt>
                <c:pt idx="25">
                  <c:v>56.364499999999992</c:v>
                </c:pt>
                <c:pt idx="26">
                  <c:v>55.7134</c:v>
                </c:pt>
                <c:pt idx="27">
                  <c:v>55.082299999999996</c:v>
                </c:pt>
                <c:pt idx="28">
                  <c:v>54.505800000000008</c:v>
                </c:pt>
                <c:pt idx="29">
                  <c:v>53.978000000000002</c:v>
                </c:pt>
                <c:pt idx="30">
                  <c:v>53.543099999999995</c:v>
                </c:pt>
                <c:pt idx="31">
                  <c:v>53.219899999999996</c:v>
                </c:pt>
                <c:pt idx="32">
                  <c:v>53.061999999999998</c:v>
                </c:pt>
                <c:pt idx="33">
                  <c:v>53.136300000000006</c:v>
                </c:pt>
                <c:pt idx="34">
                  <c:v>53.4285</c:v>
                </c:pt>
                <c:pt idx="35">
                  <c:v>53.689200000000007</c:v>
                </c:pt>
                <c:pt idx="36">
                  <c:v>53.729700000000001</c:v>
                </c:pt>
                <c:pt idx="37">
                  <c:v>53.611899999999999</c:v>
                </c:pt>
                <c:pt idx="38">
                  <c:v>53.564799999999998</c:v>
                </c:pt>
                <c:pt idx="39">
                  <c:v>53.435500000000005</c:v>
                </c:pt>
                <c:pt idx="40">
                  <c:v>53.121799999999993</c:v>
                </c:pt>
                <c:pt idx="41">
                  <c:v>52.786000000000001</c:v>
                </c:pt>
                <c:pt idx="42">
                  <c:v>52.433300000000003</c:v>
                </c:pt>
                <c:pt idx="43">
                  <c:v>52.035299999999992</c:v>
                </c:pt>
                <c:pt idx="44">
                  <c:v>51.642999999999994</c:v>
                </c:pt>
                <c:pt idx="45">
                  <c:v>51.305199999999992</c:v>
                </c:pt>
                <c:pt idx="46">
                  <c:v>51.012199999999993</c:v>
                </c:pt>
                <c:pt idx="47">
                  <c:v>50.729100000000003</c:v>
                </c:pt>
                <c:pt idx="48">
                  <c:v>50.448300000000003</c:v>
                </c:pt>
                <c:pt idx="49">
                  <c:v>50.232500000000002</c:v>
                </c:pt>
                <c:pt idx="50">
                  <c:v>50.086600000000004</c:v>
                </c:pt>
                <c:pt idx="51">
                  <c:v>49.9587</c:v>
                </c:pt>
                <c:pt idx="52">
                  <c:v>49.831800000000001</c:v>
                </c:pt>
                <c:pt idx="53">
                  <c:v>49.657400000000003</c:v>
                </c:pt>
                <c:pt idx="54">
                  <c:v>49.523400000000002</c:v>
                </c:pt>
                <c:pt idx="55">
                  <c:v>49.350200000000001</c:v>
                </c:pt>
                <c:pt idx="56">
                  <c:v>49.229199999999999</c:v>
                </c:pt>
                <c:pt idx="57">
                  <c:v>49.162800000000004</c:v>
                </c:pt>
                <c:pt idx="58">
                  <c:v>49.134499999999996</c:v>
                </c:pt>
                <c:pt idx="59">
                  <c:v>49.09</c:v>
                </c:pt>
                <c:pt idx="60">
                  <c:v>49.046599999999998</c:v>
                </c:pt>
                <c:pt idx="61">
                  <c:v>49.039500000000004</c:v>
                </c:pt>
                <c:pt idx="62">
                  <c:v>49.030499999999996</c:v>
                </c:pt>
                <c:pt idx="63">
                  <c:v>49.005800000000001</c:v>
                </c:pt>
                <c:pt idx="64">
                  <c:v>48.994199999999999</c:v>
                </c:pt>
                <c:pt idx="65">
                  <c:v>48.9756</c:v>
                </c:pt>
                <c:pt idx="66">
                  <c:v>48.982500000000002</c:v>
                </c:pt>
                <c:pt idx="67">
                  <c:v>49.031599999999997</c:v>
                </c:pt>
                <c:pt idx="68">
                  <c:v>49.138500000000001</c:v>
                </c:pt>
                <c:pt idx="69">
                  <c:v>49.272199999999998</c:v>
                </c:pt>
                <c:pt idx="70">
                  <c:v>49.413499999999999</c:v>
                </c:pt>
                <c:pt idx="71">
                  <c:v>49.57</c:v>
                </c:pt>
                <c:pt idx="72">
                  <c:v>49.728999999999999</c:v>
                </c:pt>
                <c:pt idx="73">
                  <c:v>49.897300000000001</c:v>
                </c:pt>
                <c:pt idx="74">
                  <c:v>50.034599999999998</c:v>
                </c:pt>
                <c:pt idx="75">
                  <c:v>50.087000000000003</c:v>
                </c:pt>
                <c:pt idx="76">
                  <c:v>50.154699999999998</c:v>
                </c:pt>
                <c:pt idx="77">
                  <c:v>50.252699999999997</c:v>
                </c:pt>
                <c:pt idx="78">
                  <c:v>50.377799999999993</c:v>
                </c:pt>
                <c:pt idx="79">
                  <c:v>50.5244</c:v>
                </c:pt>
                <c:pt idx="80">
                  <c:v>50.7455</c:v>
                </c:pt>
                <c:pt idx="81">
                  <c:v>50.946499999999993</c:v>
                </c:pt>
                <c:pt idx="82">
                  <c:v>51.1</c:v>
                </c:pt>
                <c:pt idx="83">
                  <c:v>51.242900000000006</c:v>
                </c:pt>
                <c:pt idx="84">
                  <c:v>51.426499999999997</c:v>
                </c:pt>
                <c:pt idx="85">
                  <c:v>51.605800000000002</c:v>
                </c:pt>
                <c:pt idx="86">
                  <c:v>51.762</c:v>
                </c:pt>
                <c:pt idx="87">
                  <c:v>51.958800000000004</c:v>
                </c:pt>
                <c:pt idx="88">
                  <c:v>52.195400000000006</c:v>
                </c:pt>
                <c:pt idx="89">
                  <c:v>52.437400000000004</c:v>
                </c:pt>
                <c:pt idx="90">
                  <c:v>52.705500000000008</c:v>
                </c:pt>
                <c:pt idx="91">
                  <c:v>52.959100000000007</c:v>
                </c:pt>
                <c:pt idx="92">
                  <c:v>53.150299999999994</c:v>
                </c:pt>
                <c:pt idx="93">
                  <c:v>53.314999999999998</c:v>
                </c:pt>
                <c:pt idx="94">
                  <c:v>53.5276</c:v>
                </c:pt>
                <c:pt idx="95">
                  <c:v>53.663600000000002</c:v>
                </c:pt>
                <c:pt idx="96">
                  <c:v>53.6021</c:v>
                </c:pt>
                <c:pt idx="97">
                  <c:v>53.670700000000004</c:v>
                </c:pt>
                <c:pt idx="98">
                  <c:v>54.019300000000001</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2.5175999999999998</c:v>
                </c:pt>
                <c:pt idx="1">
                  <c:v>1.7126700000000001</c:v>
                </c:pt>
              </c:numCache>
            </c:numRef>
          </c:xVal>
          <c:yVal>
            <c:numRef>
              <c:f>info!$W$2:$W$3</c:f>
              <c:numCache>
                <c:formatCode>0.00</c:formatCode>
                <c:ptCount val="2"/>
                <c:pt idx="0">
                  <c:v>66.912899999999993</c:v>
                </c:pt>
                <c:pt idx="1">
                  <c:v>52.195400000000006</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1.8182200000000002</c:v>
                </c:pt>
                <c:pt idx="1">
                  <c:v>2.5600399999999999</c:v>
                </c:pt>
              </c:numCache>
            </c:numRef>
          </c:xVal>
          <c:yVal>
            <c:numRef>
              <c:f>info!$W$15:$W$16</c:f>
              <c:numCache>
                <c:formatCode>0.00_ </c:formatCode>
                <c:ptCount val="2"/>
                <c:pt idx="0">
                  <c:v>48.9756</c:v>
                </c:pt>
                <c:pt idx="1">
                  <c:v>69.731200000000001</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1.9734783838383836</c:v>
                </c:pt>
              </c:numCache>
            </c:numRef>
          </c:xVal>
          <c:yVal>
            <c:numRef>
              <c:f>info!$N$9</c:f>
              <c:numCache>
                <c:formatCode>0.0</c:formatCode>
                <c:ptCount val="1"/>
                <c:pt idx="0">
                  <c:v>54.693910101010111</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24.363700000000001</c:v>
                </c:pt>
                <c:pt idx="1">
                  <c:v>30.6387</c:v>
                </c:pt>
                <c:pt idx="2">
                  <c:v>36.938099999999999</c:v>
                </c:pt>
                <c:pt idx="3">
                  <c:v>28.286799999999999</c:v>
                </c:pt>
                <c:pt idx="4">
                  <c:v>71.840400000000002</c:v>
                </c:pt>
                <c:pt idx="5">
                  <c:v>69.118899999999996</c:v>
                </c:pt>
                <c:pt idx="6">
                  <c:v>8.7564200000000003</c:v>
                </c:pt>
                <c:pt idx="7">
                  <c:v>64.744399999999999</c:v>
                </c:pt>
                <c:pt idx="8">
                  <c:v>15.895200000000001</c:v>
                </c:pt>
                <c:pt idx="9">
                  <c:v>11.2523</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55.65</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55.651539999999997</c:v>
                </c:pt>
                <c:pt idx="1">
                  <c:v>55.651539999999997</c:v>
                </c:pt>
                <c:pt idx="2">
                  <c:v>0</c:v>
                </c:pt>
              </c:numCache>
            </c:numRef>
          </c:xVal>
          <c:yVal>
            <c:numRef>
              <c:f>'R2'!$I$5:$I$7</c:f>
              <c:numCache>
                <c:formatCode>0.0_ </c:formatCode>
                <c:ptCount val="3"/>
                <c:pt idx="0">
                  <c:v>0</c:v>
                </c:pt>
                <c:pt idx="1">
                  <c:v>60.047387995161806</c:v>
                </c:pt>
                <c:pt idx="2">
                  <c:v>60.047387995161806</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29.799</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29.799266666666668</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0.89</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0.89397800000000005</c:v>
                </c:pt>
                <c:pt idx="1">
                  <c:v>0.89397800000000005</c:v>
                </c:pt>
                <c:pt idx="2">
                  <c:v>0</c:v>
                </c:pt>
              </c:numCache>
            </c:numRef>
          </c:xVal>
          <c:yVal>
            <c:numRef>
              <c:f>'R3'!$I$6:$I$8</c:f>
              <c:numCache>
                <c:formatCode>0.0_ </c:formatCode>
                <c:ptCount val="3"/>
                <c:pt idx="0">
                  <c:v>0</c:v>
                </c:pt>
                <c:pt idx="1">
                  <c:v>7.9100323359193352</c:v>
                </c:pt>
                <c:pt idx="2">
                  <c:v>7.9100323359193352</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-0.90731561683834572</c:v>
                </c:pt>
                <c:pt idx="1">
                  <c:v>-0.90731561683834572</c:v>
                </c:pt>
                <c:pt idx="2">
                  <c:v>-7</c:v>
                </c:pt>
              </c:numCache>
            </c:numRef>
          </c:xVal>
          <c:yVal>
            <c:numRef>
              <c:f>'R'!$I$5:$I$7</c:f>
              <c:numCache>
                <c:formatCode>0.0_ </c:formatCode>
                <c:ptCount val="3"/>
                <c:pt idx="0">
                  <c:v>0</c:v>
                </c:pt>
                <c:pt idx="1">
                  <c:v>43.308156263184628</c:v>
                </c:pt>
                <c:pt idx="2">
                  <c:v>43.308156263184628</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-0.90731561683834572</c:v>
                </c:pt>
              </c:numCache>
            </c:numRef>
          </c:xVal>
          <c:yVal>
            <c:numRef>
              <c:f>'R'!$I$4</c:f>
              <c:numCache>
                <c:formatCode>0.00_ </c:formatCode>
                <c:ptCount val="1"/>
                <c:pt idx="0">
                  <c:v>43.308156263184628</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55.65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55.651539999999997</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99"/>
                <c:pt idx="0">
                  <c:v>2.5600399999999999</c:v>
                </c:pt>
                <c:pt idx="1">
                  <c:v>2.5489600000000001</c:v>
                </c:pt>
                <c:pt idx="2">
                  <c:v>2.5406400000000002</c:v>
                </c:pt>
                <c:pt idx="3">
                  <c:v>2.5351800000000004</c:v>
                </c:pt>
                <c:pt idx="4">
                  <c:v>2.53193</c:v>
                </c:pt>
                <c:pt idx="5">
                  <c:v>2.5286999999999997</c:v>
                </c:pt>
                <c:pt idx="6">
                  <c:v>2.5252599999999998</c:v>
                </c:pt>
                <c:pt idx="7">
                  <c:v>2.52156</c:v>
                </c:pt>
                <c:pt idx="8">
                  <c:v>2.5175999999999998</c:v>
                </c:pt>
                <c:pt idx="9">
                  <c:v>2.5121199999999999</c:v>
                </c:pt>
                <c:pt idx="10">
                  <c:v>2.5028600000000001</c:v>
                </c:pt>
                <c:pt idx="11">
                  <c:v>2.49125</c:v>
                </c:pt>
                <c:pt idx="12">
                  <c:v>2.4798899999999997</c:v>
                </c:pt>
                <c:pt idx="13">
                  <c:v>2.4689199999999998</c:v>
                </c:pt>
                <c:pt idx="14">
                  <c:v>2.45932</c:v>
                </c:pt>
                <c:pt idx="15">
                  <c:v>2.4466399999999999</c:v>
                </c:pt>
                <c:pt idx="16">
                  <c:v>2.4329200000000002</c:v>
                </c:pt>
                <c:pt idx="17">
                  <c:v>2.4179500000000003</c:v>
                </c:pt>
                <c:pt idx="18">
                  <c:v>2.4021699999999999</c:v>
                </c:pt>
                <c:pt idx="19">
                  <c:v>2.3853299999999997</c:v>
                </c:pt>
                <c:pt idx="20">
                  <c:v>2.3685999999999998</c:v>
                </c:pt>
                <c:pt idx="21">
                  <c:v>2.3512399999999998</c:v>
                </c:pt>
                <c:pt idx="22">
                  <c:v>2.3313299999999999</c:v>
                </c:pt>
                <c:pt idx="23">
                  <c:v>2.3102300000000002</c:v>
                </c:pt>
                <c:pt idx="24">
                  <c:v>2.2881499999999999</c:v>
                </c:pt>
                <c:pt idx="25">
                  <c:v>2.2649400000000002</c:v>
                </c:pt>
                <c:pt idx="26">
                  <c:v>2.2392799999999999</c:v>
                </c:pt>
                <c:pt idx="27">
                  <c:v>2.2104499999999998</c:v>
                </c:pt>
                <c:pt idx="28">
                  <c:v>2.1774299999999998</c:v>
                </c:pt>
                <c:pt idx="29">
                  <c:v>2.1398000000000001</c:v>
                </c:pt>
                <c:pt idx="30">
                  <c:v>2.0978599999999998</c:v>
                </c:pt>
                <c:pt idx="31">
                  <c:v>2.0508000000000002</c:v>
                </c:pt>
                <c:pt idx="32">
                  <c:v>1.9977200000000002</c:v>
                </c:pt>
                <c:pt idx="33">
                  <c:v>1.9386999999999999</c:v>
                </c:pt>
                <c:pt idx="34">
                  <c:v>1.8747400000000001</c:v>
                </c:pt>
                <c:pt idx="35">
                  <c:v>1.8189500000000001</c:v>
                </c:pt>
                <c:pt idx="36">
                  <c:v>1.78088</c:v>
                </c:pt>
                <c:pt idx="37">
                  <c:v>1.7589399999999999</c:v>
                </c:pt>
                <c:pt idx="38">
                  <c:v>1.7475799999999999</c:v>
                </c:pt>
                <c:pt idx="39">
                  <c:v>1.7401900000000001</c:v>
                </c:pt>
                <c:pt idx="40">
                  <c:v>1.7343600000000001</c:v>
                </c:pt>
                <c:pt idx="41">
                  <c:v>1.7314699999999998</c:v>
                </c:pt>
                <c:pt idx="42">
                  <c:v>1.73281</c:v>
                </c:pt>
                <c:pt idx="43">
                  <c:v>1.73891</c:v>
                </c:pt>
                <c:pt idx="44">
                  <c:v>1.7462</c:v>
                </c:pt>
                <c:pt idx="45">
                  <c:v>1.7543900000000001</c:v>
                </c:pt>
                <c:pt idx="46">
                  <c:v>1.7625599999999999</c:v>
                </c:pt>
                <c:pt idx="47">
                  <c:v>1.7731300000000001</c:v>
                </c:pt>
                <c:pt idx="48">
                  <c:v>1.78234</c:v>
                </c:pt>
                <c:pt idx="49">
                  <c:v>1.7923</c:v>
                </c:pt>
                <c:pt idx="50">
                  <c:v>1.8016699999999999</c:v>
                </c:pt>
                <c:pt idx="51">
                  <c:v>1.8092299999999999</c:v>
                </c:pt>
                <c:pt idx="52">
                  <c:v>1.81748</c:v>
                </c:pt>
                <c:pt idx="53">
                  <c:v>1.8259800000000002</c:v>
                </c:pt>
                <c:pt idx="54">
                  <c:v>1.8332499999999998</c:v>
                </c:pt>
                <c:pt idx="55">
                  <c:v>1.8349899999999999</c:v>
                </c:pt>
                <c:pt idx="56">
                  <c:v>1.8358300000000001</c:v>
                </c:pt>
                <c:pt idx="57">
                  <c:v>1.8356700000000001</c:v>
                </c:pt>
                <c:pt idx="58">
                  <c:v>1.8340999999999998</c:v>
                </c:pt>
                <c:pt idx="59">
                  <c:v>1.8338199999999998</c:v>
                </c:pt>
                <c:pt idx="60">
                  <c:v>1.83249</c:v>
                </c:pt>
                <c:pt idx="61">
                  <c:v>1.8306900000000002</c:v>
                </c:pt>
                <c:pt idx="62">
                  <c:v>1.82901</c:v>
                </c:pt>
                <c:pt idx="63">
                  <c:v>1.82717</c:v>
                </c:pt>
                <c:pt idx="64">
                  <c:v>1.8238099999999999</c:v>
                </c:pt>
                <c:pt idx="65">
                  <c:v>1.8182200000000002</c:v>
                </c:pt>
                <c:pt idx="66">
                  <c:v>1.8139099999999999</c:v>
                </c:pt>
                <c:pt idx="67">
                  <c:v>1.8092299999999999</c:v>
                </c:pt>
                <c:pt idx="68">
                  <c:v>1.8032500000000002</c:v>
                </c:pt>
                <c:pt idx="69">
                  <c:v>1.79752</c:v>
                </c:pt>
                <c:pt idx="70">
                  <c:v>1.7911600000000001</c:v>
                </c:pt>
                <c:pt idx="71">
                  <c:v>1.78392</c:v>
                </c:pt>
                <c:pt idx="72">
                  <c:v>1.7767299999999999</c:v>
                </c:pt>
                <c:pt idx="73">
                  <c:v>1.7686099999999998</c:v>
                </c:pt>
                <c:pt idx="74">
                  <c:v>1.75987</c:v>
                </c:pt>
                <c:pt idx="75">
                  <c:v>1.7519100000000001</c:v>
                </c:pt>
                <c:pt idx="76">
                  <c:v>1.74474</c:v>
                </c:pt>
                <c:pt idx="77">
                  <c:v>1.7357400000000001</c:v>
                </c:pt>
                <c:pt idx="78">
                  <c:v>1.72482</c:v>
                </c:pt>
                <c:pt idx="79">
                  <c:v>1.71387</c:v>
                </c:pt>
                <c:pt idx="80">
                  <c:v>1.7116899999999999</c:v>
                </c:pt>
                <c:pt idx="81">
                  <c:v>1.7100499999999998</c:v>
                </c:pt>
                <c:pt idx="82">
                  <c:v>1.70964</c:v>
                </c:pt>
                <c:pt idx="83">
                  <c:v>1.7098100000000001</c:v>
                </c:pt>
                <c:pt idx="84">
                  <c:v>1.70913</c:v>
                </c:pt>
                <c:pt idx="85">
                  <c:v>1.70905</c:v>
                </c:pt>
                <c:pt idx="86">
                  <c:v>1.7103299999999999</c:v>
                </c:pt>
                <c:pt idx="87">
                  <c:v>1.71149</c:v>
                </c:pt>
                <c:pt idx="88">
                  <c:v>1.7126700000000001</c:v>
                </c:pt>
                <c:pt idx="89">
                  <c:v>1.7158799999999998</c:v>
                </c:pt>
                <c:pt idx="90">
                  <c:v>1.7207300000000001</c:v>
                </c:pt>
                <c:pt idx="91">
                  <c:v>1.7220299999999999</c:v>
                </c:pt>
                <c:pt idx="92">
                  <c:v>1.7212700000000001</c:v>
                </c:pt>
                <c:pt idx="93">
                  <c:v>1.71956</c:v>
                </c:pt>
                <c:pt idx="94">
                  <c:v>1.7141700000000002</c:v>
                </c:pt>
                <c:pt idx="95">
                  <c:v>1.7100199999999999</c:v>
                </c:pt>
                <c:pt idx="96">
                  <c:v>1.7104600000000001</c:v>
                </c:pt>
                <c:pt idx="97">
                  <c:v>1.7065700000000001</c:v>
                </c:pt>
                <c:pt idx="98">
                  <c:v>1.6955999999999998</c:v>
                </c:pt>
              </c:numCache>
            </c:numRef>
          </c:xVal>
          <c:yVal>
            <c:numRef>
              <c:f>[0]!FT_PH</c:f>
              <c:numCache>
                <c:formatCode>0.00</c:formatCode>
                <c:ptCount val="99"/>
                <c:pt idx="0">
                  <c:v>69.731200000000001</c:v>
                </c:pt>
                <c:pt idx="1">
                  <c:v>69.67</c:v>
                </c:pt>
                <c:pt idx="2">
                  <c:v>69.454400000000007</c:v>
                </c:pt>
                <c:pt idx="3">
                  <c:v>69.144300000000001</c:v>
                </c:pt>
                <c:pt idx="4">
                  <c:v>68.778399999999991</c:v>
                </c:pt>
                <c:pt idx="5">
                  <c:v>68.36569999999999</c:v>
                </c:pt>
                <c:pt idx="6">
                  <c:v>67.924499999999995</c:v>
                </c:pt>
                <c:pt idx="7">
                  <c:v>67.441199999999995</c:v>
                </c:pt>
                <c:pt idx="8">
                  <c:v>66.912899999999993</c:v>
                </c:pt>
                <c:pt idx="9">
                  <c:v>66.360900000000001</c:v>
                </c:pt>
                <c:pt idx="10">
                  <c:v>65.812200000000004</c:v>
                </c:pt>
                <c:pt idx="11">
                  <c:v>65.241</c:v>
                </c:pt>
                <c:pt idx="12">
                  <c:v>64.645099999999999</c:v>
                </c:pt>
                <c:pt idx="13">
                  <c:v>64.008299999999991</c:v>
                </c:pt>
                <c:pt idx="14">
                  <c:v>63.476100000000002</c:v>
                </c:pt>
                <c:pt idx="15">
                  <c:v>62.903200000000005</c:v>
                </c:pt>
                <c:pt idx="16">
                  <c:v>62.314</c:v>
                </c:pt>
                <c:pt idx="17">
                  <c:v>61.698099999999997</c:v>
                </c:pt>
                <c:pt idx="18">
                  <c:v>61.043499999999995</c:v>
                </c:pt>
                <c:pt idx="19">
                  <c:v>60.388399999999997</c:v>
                </c:pt>
                <c:pt idx="20">
                  <c:v>59.738500000000002</c:v>
                </c:pt>
                <c:pt idx="21">
                  <c:v>59.088499999999996</c:v>
                </c:pt>
                <c:pt idx="22">
                  <c:v>58.386099999999999</c:v>
                </c:pt>
                <c:pt idx="23">
                  <c:v>57.710099999999997</c:v>
                </c:pt>
                <c:pt idx="24">
                  <c:v>57.032299999999999</c:v>
                </c:pt>
                <c:pt idx="25">
                  <c:v>56.364499999999992</c:v>
                </c:pt>
                <c:pt idx="26">
                  <c:v>55.7134</c:v>
                </c:pt>
                <c:pt idx="27">
                  <c:v>55.082299999999996</c:v>
                </c:pt>
                <c:pt idx="28">
                  <c:v>54.505800000000008</c:v>
                </c:pt>
                <c:pt idx="29">
                  <c:v>53.978000000000002</c:v>
                </c:pt>
                <c:pt idx="30">
                  <c:v>53.543099999999995</c:v>
                </c:pt>
                <c:pt idx="31">
                  <c:v>53.219899999999996</c:v>
                </c:pt>
                <c:pt idx="32">
                  <c:v>53.061999999999998</c:v>
                </c:pt>
                <c:pt idx="33">
                  <c:v>53.136300000000006</c:v>
                </c:pt>
                <c:pt idx="34">
                  <c:v>53.4285</c:v>
                </c:pt>
                <c:pt idx="35">
                  <c:v>53.689200000000007</c:v>
                </c:pt>
                <c:pt idx="36">
                  <c:v>53.729700000000001</c:v>
                </c:pt>
                <c:pt idx="37">
                  <c:v>53.611899999999999</c:v>
                </c:pt>
                <c:pt idx="38">
                  <c:v>53.564799999999998</c:v>
                </c:pt>
                <c:pt idx="39">
                  <c:v>53.435500000000005</c:v>
                </c:pt>
                <c:pt idx="40">
                  <c:v>53.121799999999993</c:v>
                </c:pt>
                <c:pt idx="41">
                  <c:v>52.786000000000001</c:v>
                </c:pt>
                <c:pt idx="42">
                  <c:v>52.433300000000003</c:v>
                </c:pt>
                <c:pt idx="43">
                  <c:v>52.035299999999992</c:v>
                </c:pt>
                <c:pt idx="44">
                  <c:v>51.642999999999994</c:v>
                </c:pt>
                <c:pt idx="45">
                  <c:v>51.305199999999992</c:v>
                </c:pt>
                <c:pt idx="46">
                  <c:v>51.012199999999993</c:v>
                </c:pt>
                <c:pt idx="47">
                  <c:v>50.729100000000003</c:v>
                </c:pt>
                <c:pt idx="48">
                  <c:v>50.448300000000003</c:v>
                </c:pt>
                <c:pt idx="49">
                  <c:v>50.232500000000002</c:v>
                </c:pt>
                <c:pt idx="50">
                  <c:v>50.086600000000004</c:v>
                </c:pt>
                <c:pt idx="51">
                  <c:v>49.9587</c:v>
                </c:pt>
                <c:pt idx="52">
                  <c:v>49.831800000000001</c:v>
                </c:pt>
                <c:pt idx="53">
                  <c:v>49.657400000000003</c:v>
                </c:pt>
                <c:pt idx="54">
                  <c:v>49.523400000000002</c:v>
                </c:pt>
                <c:pt idx="55">
                  <c:v>49.350200000000001</c:v>
                </c:pt>
                <c:pt idx="56">
                  <c:v>49.229199999999999</c:v>
                </c:pt>
                <c:pt idx="57">
                  <c:v>49.162800000000004</c:v>
                </c:pt>
                <c:pt idx="58">
                  <c:v>49.134499999999996</c:v>
                </c:pt>
                <c:pt idx="59">
                  <c:v>49.09</c:v>
                </c:pt>
                <c:pt idx="60">
                  <c:v>49.046599999999998</c:v>
                </c:pt>
                <c:pt idx="61">
                  <c:v>49.039500000000004</c:v>
                </c:pt>
                <c:pt idx="62">
                  <c:v>49.030499999999996</c:v>
                </c:pt>
                <c:pt idx="63">
                  <c:v>49.005800000000001</c:v>
                </c:pt>
                <c:pt idx="64">
                  <c:v>48.994199999999999</c:v>
                </c:pt>
                <c:pt idx="65">
                  <c:v>48.9756</c:v>
                </c:pt>
                <c:pt idx="66">
                  <c:v>48.982500000000002</c:v>
                </c:pt>
                <c:pt idx="67">
                  <c:v>49.031599999999997</c:v>
                </c:pt>
                <c:pt idx="68">
                  <c:v>49.138500000000001</c:v>
                </c:pt>
                <c:pt idx="69">
                  <c:v>49.272199999999998</c:v>
                </c:pt>
                <c:pt idx="70">
                  <c:v>49.413499999999999</c:v>
                </c:pt>
                <c:pt idx="71">
                  <c:v>49.57</c:v>
                </c:pt>
                <c:pt idx="72">
                  <c:v>49.728999999999999</c:v>
                </c:pt>
                <c:pt idx="73">
                  <c:v>49.897300000000001</c:v>
                </c:pt>
                <c:pt idx="74">
                  <c:v>50.034599999999998</c:v>
                </c:pt>
                <c:pt idx="75">
                  <c:v>50.087000000000003</c:v>
                </c:pt>
                <c:pt idx="76">
                  <c:v>50.154699999999998</c:v>
                </c:pt>
                <c:pt idx="77">
                  <c:v>50.252699999999997</c:v>
                </c:pt>
                <c:pt idx="78">
                  <c:v>50.377799999999993</c:v>
                </c:pt>
                <c:pt idx="79">
                  <c:v>50.5244</c:v>
                </c:pt>
                <c:pt idx="80">
                  <c:v>50.7455</c:v>
                </c:pt>
                <c:pt idx="81">
                  <c:v>50.946499999999993</c:v>
                </c:pt>
                <c:pt idx="82">
                  <c:v>51.1</c:v>
                </c:pt>
                <c:pt idx="83">
                  <c:v>51.242900000000006</c:v>
                </c:pt>
                <c:pt idx="84">
                  <c:v>51.426499999999997</c:v>
                </c:pt>
                <c:pt idx="85">
                  <c:v>51.605800000000002</c:v>
                </c:pt>
                <c:pt idx="86">
                  <c:v>51.762</c:v>
                </c:pt>
                <c:pt idx="87">
                  <c:v>51.958800000000004</c:v>
                </c:pt>
                <c:pt idx="88">
                  <c:v>52.195400000000006</c:v>
                </c:pt>
                <c:pt idx="89">
                  <c:v>52.437400000000004</c:v>
                </c:pt>
                <c:pt idx="90">
                  <c:v>52.705500000000008</c:v>
                </c:pt>
                <c:pt idx="91">
                  <c:v>52.959100000000007</c:v>
                </c:pt>
                <c:pt idx="92">
                  <c:v>53.150299999999994</c:v>
                </c:pt>
                <c:pt idx="93">
                  <c:v>53.314999999999998</c:v>
                </c:pt>
                <c:pt idx="94">
                  <c:v>53.5276</c:v>
                </c:pt>
                <c:pt idx="95">
                  <c:v>53.663600000000002</c:v>
                </c:pt>
                <c:pt idx="96">
                  <c:v>53.6021</c:v>
                </c:pt>
                <c:pt idx="97">
                  <c:v>53.670700000000004</c:v>
                </c:pt>
                <c:pt idx="98">
                  <c:v>54.019300000000001</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2.5175999999999998</c:v>
                </c:pt>
                <c:pt idx="1">
                  <c:v>1.7126700000000001</c:v>
                </c:pt>
              </c:numCache>
            </c:numRef>
          </c:xVal>
          <c:yVal>
            <c:numRef>
              <c:f>info!$W$2:$W$3</c:f>
              <c:numCache>
                <c:formatCode>0.00</c:formatCode>
                <c:ptCount val="2"/>
                <c:pt idx="0">
                  <c:v>66.912899999999993</c:v>
                </c:pt>
                <c:pt idx="1">
                  <c:v>52.195400000000006</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1.8182200000000002</c:v>
                </c:pt>
                <c:pt idx="1">
                  <c:v>2.5600399999999999</c:v>
                </c:pt>
              </c:numCache>
            </c:numRef>
          </c:xVal>
          <c:yVal>
            <c:numRef>
              <c:f>info!$W$15:$W$16</c:f>
              <c:numCache>
                <c:formatCode>0.00_ </c:formatCode>
                <c:ptCount val="2"/>
                <c:pt idx="0">
                  <c:v>48.9756</c:v>
                </c:pt>
                <c:pt idx="1">
                  <c:v>69.731200000000001</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1.9734783838383836</c:v>
                </c:pt>
              </c:numCache>
            </c:numRef>
          </c:xVal>
          <c:yVal>
            <c:numRef>
              <c:f>info!$N$9</c:f>
              <c:numCache>
                <c:formatCode>0.0</c:formatCode>
                <c:ptCount val="1"/>
                <c:pt idx="0">
                  <c:v>54.693910101010111</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24.363700000000001</c:v>
                </c:pt>
                <c:pt idx="1">
                  <c:v>30.6387</c:v>
                </c:pt>
                <c:pt idx="2">
                  <c:v>36.938099999999999</c:v>
                </c:pt>
                <c:pt idx="3">
                  <c:v>28.286799999999999</c:v>
                </c:pt>
                <c:pt idx="4">
                  <c:v>71.840400000000002</c:v>
                </c:pt>
                <c:pt idx="5">
                  <c:v>69.118899999999996</c:v>
                </c:pt>
                <c:pt idx="6">
                  <c:v>8.7564200000000003</c:v>
                </c:pt>
                <c:pt idx="7">
                  <c:v>64.744399999999999</c:v>
                </c:pt>
                <c:pt idx="8">
                  <c:v>15.895200000000001</c:v>
                </c:pt>
                <c:pt idx="9">
                  <c:v>11.2523</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55.65</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55.651539999999997</c:v>
                </c:pt>
                <c:pt idx="1">
                  <c:v>55.651539999999997</c:v>
                </c:pt>
                <c:pt idx="2">
                  <c:v>0</c:v>
                </c:pt>
              </c:numCache>
            </c:numRef>
          </c:xVal>
          <c:yVal>
            <c:numRef>
              <c:f>'R2'!$I$5:$I$7</c:f>
              <c:numCache>
                <c:formatCode>0.0_ </c:formatCode>
                <c:ptCount val="3"/>
                <c:pt idx="0">
                  <c:v>0</c:v>
                </c:pt>
                <c:pt idx="1">
                  <c:v>60.047387995161806</c:v>
                </c:pt>
                <c:pt idx="2">
                  <c:v>60.047387995161806</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29.799</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29.799266666666668</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0.89</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0.89397800000000005</c:v>
                </c:pt>
                <c:pt idx="1">
                  <c:v>0.89397800000000005</c:v>
                </c:pt>
                <c:pt idx="2">
                  <c:v>0</c:v>
                </c:pt>
              </c:numCache>
            </c:numRef>
          </c:xVal>
          <c:yVal>
            <c:numRef>
              <c:f>'R3'!$I$6:$I$8</c:f>
              <c:numCache>
                <c:formatCode>0.0_ </c:formatCode>
                <c:ptCount val="3"/>
                <c:pt idx="0">
                  <c:v>0</c:v>
                </c:pt>
                <c:pt idx="1">
                  <c:v>7.9100323359193352</c:v>
                </c:pt>
                <c:pt idx="2">
                  <c:v>7.9100323359193352</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-0.90731561683834572</c:v>
                </c:pt>
                <c:pt idx="1">
                  <c:v>-0.90731561683834572</c:v>
                </c:pt>
                <c:pt idx="2">
                  <c:v>-7</c:v>
                </c:pt>
              </c:numCache>
            </c:numRef>
          </c:xVal>
          <c:yVal>
            <c:numRef>
              <c:f>'R'!$I$5:$I$7</c:f>
              <c:numCache>
                <c:formatCode>0.0_ </c:formatCode>
                <c:ptCount val="3"/>
                <c:pt idx="0">
                  <c:v>0</c:v>
                </c:pt>
                <c:pt idx="1">
                  <c:v>43.308156263184628</c:v>
                </c:pt>
                <c:pt idx="2">
                  <c:v>43.308156263184628</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-0.90731561683834572</c:v>
                </c:pt>
              </c:numCache>
            </c:numRef>
          </c:xVal>
          <c:yVal>
            <c:numRef>
              <c:f>'R'!$I$4</c:f>
              <c:numCache>
                <c:formatCode>0.00_ </c:formatCode>
                <c:ptCount val="1"/>
                <c:pt idx="0">
                  <c:v>43.308156263184628</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0.41466999999999998</c:v>
                </c:pt>
                <c:pt idx="2">
                  <c:v>0.797207</c:v>
                </c:pt>
                <c:pt idx="3">
                  <c:v>1.2016</c:v>
                </c:pt>
                <c:pt idx="4">
                  <c:v>1.61093</c:v>
                </c:pt>
                <c:pt idx="5">
                  <c:v>2.0187200000000001</c:v>
                </c:pt>
                <c:pt idx="6">
                  <c:v>2.4253100000000001</c:v>
                </c:pt>
                <c:pt idx="7">
                  <c:v>2.8383099999999999</c:v>
                </c:pt>
                <c:pt idx="8">
                  <c:v>3.2371400000000001</c:v>
                </c:pt>
                <c:pt idx="9">
                  <c:v>3.6507299999999998</c:v>
                </c:pt>
                <c:pt idx="10">
                  <c:v>4.0500100000000003</c:v>
                </c:pt>
                <c:pt idx="11">
                  <c:v>4.4572700000000003</c:v>
                </c:pt>
                <c:pt idx="12">
                  <c:v>4.87805</c:v>
                </c:pt>
                <c:pt idx="13">
                  <c:v>5.2655099999999999</c:v>
                </c:pt>
                <c:pt idx="14">
                  <c:v>5.6875900000000001</c:v>
                </c:pt>
                <c:pt idx="15">
                  <c:v>6.08127</c:v>
                </c:pt>
                <c:pt idx="16">
                  <c:v>6.4855099999999997</c:v>
                </c:pt>
                <c:pt idx="17">
                  <c:v>6.8903299999999996</c:v>
                </c:pt>
                <c:pt idx="18">
                  <c:v>7.3112300000000001</c:v>
                </c:pt>
                <c:pt idx="19">
                  <c:v>7.7024800000000004</c:v>
                </c:pt>
                <c:pt idx="20">
                  <c:v>8.1189199999999992</c:v>
                </c:pt>
                <c:pt idx="21">
                  <c:v>8.5445600000000006</c:v>
                </c:pt>
                <c:pt idx="22">
                  <c:v>8.9310399999999994</c:v>
                </c:pt>
                <c:pt idx="23">
                  <c:v>9.3529300000000006</c:v>
                </c:pt>
                <c:pt idx="24">
                  <c:v>9.7537500000000001</c:v>
                </c:pt>
                <c:pt idx="25">
                  <c:v>10.145</c:v>
                </c:pt>
                <c:pt idx="26">
                  <c:v>10.5503</c:v>
                </c:pt>
                <c:pt idx="27">
                  <c:v>10.963900000000001</c:v>
                </c:pt>
                <c:pt idx="28">
                  <c:v>11.389799999999999</c:v>
                </c:pt>
                <c:pt idx="29">
                  <c:v>11.774900000000001</c:v>
                </c:pt>
                <c:pt idx="30">
                  <c:v>12.181100000000001</c:v>
                </c:pt>
                <c:pt idx="31">
                  <c:v>12.580399999999999</c:v>
                </c:pt>
                <c:pt idx="32">
                  <c:v>13.010400000000001</c:v>
                </c:pt>
                <c:pt idx="33">
                  <c:v>13.4023</c:v>
                </c:pt>
                <c:pt idx="34">
                  <c:v>13.8002</c:v>
                </c:pt>
                <c:pt idx="35">
                  <c:v>14.200200000000001</c:v>
                </c:pt>
                <c:pt idx="36">
                  <c:v>14.6113</c:v>
                </c:pt>
                <c:pt idx="37">
                  <c:v>15.034000000000001</c:v>
                </c:pt>
                <c:pt idx="38">
                  <c:v>15.433299999999999</c:v>
                </c:pt>
                <c:pt idx="39">
                  <c:v>15.840400000000001</c:v>
                </c:pt>
                <c:pt idx="40">
                  <c:v>16.260100000000001</c:v>
                </c:pt>
                <c:pt idx="41">
                  <c:v>16.656300000000002</c:v>
                </c:pt>
                <c:pt idx="42">
                  <c:v>17.0486</c:v>
                </c:pt>
                <c:pt idx="43">
                  <c:v>17.454999999999998</c:v>
                </c:pt>
                <c:pt idx="44">
                  <c:v>17.8614</c:v>
                </c:pt>
                <c:pt idx="45">
                  <c:v>18.276599999999998</c:v>
                </c:pt>
                <c:pt idx="46">
                  <c:v>18.674099999999999</c:v>
                </c:pt>
                <c:pt idx="47">
                  <c:v>19.091799999999999</c:v>
                </c:pt>
                <c:pt idx="48">
                  <c:v>19.4893</c:v>
                </c:pt>
                <c:pt idx="49">
                  <c:v>19.890999999999998</c:v>
                </c:pt>
                <c:pt idx="50">
                  <c:v>20.323699999999999</c:v>
                </c:pt>
                <c:pt idx="51">
                  <c:v>20.7102</c:v>
                </c:pt>
                <c:pt idx="52">
                  <c:v>21.1052</c:v>
                </c:pt>
                <c:pt idx="53">
                  <c:v>21.537299999999998</c:v>
                </c:pt>
                <c:pt idx="54">
                  <c:v>21.918700000000001</c:v>
                </c:pt>
                <c:pt idx="55">
                  <c:v>22.342300000000002</c:v>
                </c:pt>
                <c:pt idx="56">
                  <c:v>22.739699999999999</c:v>
                </c:pt>
                <c:pt idx="57">
                  <c:v>23.1556</c:v>
                </c:pt>
                <c:pt idx="58">
                  <c:v>23.555900000000001</c:v>
                </c:pt>
                <c:pt idx="59">
                  <c:v>23.966699999999999</c:v>
                </c:pt>
                <c:pt idx="60">
                  <c:v>24.366599999999998</c:v>
                </c:pt>
                <c:pt idx="61">
                  <c:v>24.767499999999998</c:v>
                </c:pt>
                <c:pt idx="62">
                  <c:v>25.1751</c:v>
                </c:pt>
                <c:pt idx="63">
                  <c:v>25.578900000000001</c:v>
                </c:pt>
                <c:pt idx="64">
                  <c:v>25.995100000000001</c:v>
                </c:pt>
                <c:pt idx="65">
                  <c:v>26.401499999999999</c:v>
                </c:pt>
                <c:pt idx="66">
                  <c:v>26.8124</c:v>
                </c:pt>
                <c:pt idx="67">
                  <c:v>27.199300000000001</c:v>
                </c:pt>
                <c:pt idx="68">
                  <c:v>27.629799999999999</c:v>
                </c:pt>
                <c:pt idx="69">
                  <c:v>28.016300000000001</c:v>
                </c:pt>
                <c:pt idx="70">
                  <c:v>28.417999999999999</c:v>
                </c:pt>
                <c:pt idx="71">
                  <c:v>28.848400000000002</c:v>
                </c:pt>
                <c:pt idx="72">
                  <c:v>29.238900000000001</c:v>
                </c:pt>
                <c:pt idx="73">
                  <c:v>29.639500000000002</c:v>
                </c:pt>
                <c:pt idx="74">
                  <c:v>30.0656</c:v>
                </c:pt>
                <c:pt idx="75">
                  <c:v>30.456199999999999</c:v>
                </c:pt>
                <c:pt idx="76">
                  <c:v>30.860800000000001</c:v>
                </c:pt>
                <c:pt idx="77">
                  <c:v>31.264399999999998</c:v>
                </c:pt>
                <c:pt idx="78">
                  <c:v>31.680700000000002</c:v>
                </c:pt>
                <c:pt idx="79">
                  <c:v>32.082599999999999</c:v>
                </c:pt>
                <c:pt idx="80">
                  <c:v>32.502099999999999</c:v>
                </c:pt>
                <c:pt idx="81">
                  <c:v>32.890799999999999</c:v>
                </c:pt>
                <c:pt idx="82">
                  <c:v>33.301099999999998</c:v>
                </c:pt>
                <c:pt idx="83">
                  <c:v>33.712600000000002</c:v>
                </c:pt>
                <c:pt idx="84">
                  <c:v>34.123800000000003</c:v>
                </c:pt>
                <c:pt idx="85">
                  <c:v>34.525100000000002</c:v>
                </c:pt>
                <c:pt idx="86">
                  <c:v>34.923200000000001</c:v>
                </c:pt>
                <c:pt idx="87">
                  <c:v>35.328499999999998</c:v>
                </c:pt>
                <c:pt idx="88">
                  <c:v>35.750399999999999</c:v>
                </c:pt>
                <c:pt idx="89">
                  <c:v>36.175699999999999</c:v>
                </c:pt>
                <c:pt idx="90">
                  <c:v>36.551000000000002</c:v>
                </c:pt>
                <c:pt idx="91">
                  <c:v>36.957700000000003</c:v>
                </c:pt>
                <c:pt idx="92">
                  <c:v>37.362200000000001</c:v>
                </c:pt>
                <c:pt idx="93">
                  <c:v>37.772500000000001</c:v>
                </c:pt>
                <c:pt idx="94">
                  <c:v>38.170499999999997</c:v>
                </c:pt>
                <c:pt idx="95">
                  <c:v>38.5867</c:v>
                </c:pt>
                <c:pt idx="96">
                  <c:v>38.990499999999997</c:v>
                </c:pt>
                <c:pt idx="97">
                  <c:v>39.406500000000001</c:v>
                </c:pt>
                <c:pt idx="98">
                  <c:v>39.798000000000002</c:v>
                </c:pt>
              </c:numCache>
            </c:numRef>
          </c:xVal>
          <c:yVal>
            <c:numRef>
              <c:f>FT!$J$2:$J$2000</c:f>
              <c:numCache>
                <c:formatCode>General</c:formatCode>
                <c:ptCount val="1999"/>
                <c:pt idx="0">
                  <c:v>2.5600399999999999</c:v>
                </c:pt>
                <c:pt idx="1">
                  <c:v>2.5489600000000001</c:v>
                </c:pt>
                <c:pt idx="2">
                  <c:v>2.5406400000000002</c:v>
                </c:pt>
                <c:pt idx="3">
                  <c:v>2.5351800000000004</c:v>
                </c:pt>
                <c:pt idx="4">
                  <c:v>2.53193</c:v>
                </c:pt>
                <c:pt idx="5">
                  <c:v>2.5286999999999997</c:v>
                </c:pt>
                <c:pt idx="6">
                  <c:v>2.5252599999999998</c:v>
                </c:pt>
                <c:pt idx="7">
                  <c:v>2.52156</c:v>
                </c:pt>
                <c:pt idx="8">
                  <c:v>2.5175999999999998</c:v>
                </c:pt>
                <c:pt idx="9">
                  <c:v>2.5121199999999999</c:v>
                </c:pt>
                <c:pt idx="10">
                  <c:v>2.5028600000000001</c:v>
                </c:pt>
                <c:pt idx="11">
                  <c:v>2.49125</c:v>
                </c:pt>
                <c:pt idx="12">
                  <c:v>2.4798899999999997</c:v>
                </c:pt>
                <c:pt idx="13">
                  <c:v>2.4689199999999998</c:v>
                </c:pt>
                <c:pt idx="14">
                  <c:v>2.45932</c:v>
                </c:pt>
                <c:pt idx="15">
                  <c:v>2.4466399999999999</c:v>
                </c:pt>
                <c:pt idx="16">
                  <c:v>2.4329200000000002</c:v>
                </c:pt>
                <c:pt idx="17">
                  <c:v>2.4179500000000003</c:v>
                </c:pt>
                <c:pt idx="18">
                  <c:v>2.4021699999999999</c:v>
                </c:pt>
                <c:pt idx="19">
                  <c:v>2.3853299999999997</c:v>
                </c:pt>
                <c:pt idx="20">
                  <c:v>2.3685999999999998</c:v>
                </c:pt>
                <c:pt idx="21">
                  <c:v>2.3512399999999998</c:v>
                </c:pt>
                <c:pt idx="22">
                  <c:v>2.3313299999999999</c:v>
                </c:pt>
                <c:pt idx="23">
                  <c:v>2.3102300000000002</c:v>
                </c:pt>
                <c:pt idx="24">
                  <c:v>2.2881499999999999</c:v>
                </c:pt>
                <c:pt idx="25">
                  <c:v>2.2649400000000002</c:v>
                </c:pt>
                <c:pt idx="26">
                  <c:v>2.2392799999999999</c:v>
                </c:pt>
                <c:pt idx="27">
                  <c:v>2.2104499999999998</c:v>
                </c:pt>
                <c:pt idx="28">
                  <c:v>2.1774299999999998</c:v>
                </c:pt>
                <c:pt idx="29">
                  <c:v>2.1398000000000001</c:v>
                </c:pt>
                <c:pt idx="30">
                  <c:v>2.0978599999999998</c:v>
                </c:pt>
                <c:pt idx="31">
                  <c:v>2.0508000000000002</c:v>
                </c:pt>
                <c:pt idx="32">
                  <c:v>1.9977200000000002</c:v>
                </c:pt>
                <c:pt idx="33">
                  <c:v>1.9386999999999999</c:v>
                </c:pt>
                <c:pt idx="34">
                  <c:v>1.8747400000000001</c:v>
                </c:pt>
                <c:pt idx="35">
                  <c:v>1.8189500000000001</c:v>
                </c:pt>
                <c:pt idx="36">
                  <c:v>1.78088</c:v>
                </c:pt>
                <c:pt idx="37">
                  <c:v>1.7589399999999999</c:v>
                </c:pt>
                <c:pt idx="38">
                  <c:v>1.7475799999999999</c:v>
                </c:pt>
                <c:pt idx="39">
                  <c:v>1.7401900000000001</c:v>
                </c:pt>
                <c:pt idx="40">
                  <c:v>1.7343600000000001</c:v>
                </c:pt>
                <c:pt idx="41">
                  <c:v>1.7314699999999998</c:v>
                </c:pt>
                <c:pt idx="42">
                  <c:v>1.73281</c:v>
                </c:pt>
                <c:pt idx="43">
                  <c:v>1.73891</c:v>
                </c:pt>
                <c:pt idx="44">
                  <c:v>1.7462</c:v>
                </c:pt>
                <c:pt idx="45">
                  <c:v>1.7543900000000001</c:v>
                </c:pt>
                <c:pt idx="46">
                  <c:v>1.7625599999999999</c:v>
                </c:pt>
                <c:pt idx="47">
                  <c:v>1.7731300000000001</c:v>
                </c:pt>
                <c:pt idx="48">
                  <c:v>1.78234</c:v>
                </c:pt>
                <c:pt idx="49">
                  <c:v>1.7923</c:v>
                </c:pt>
                <c:pt idx="50">
                  <c:v>1.8016699999999999</c:v>
                </c:pt>
                <c:pt idx="51">
                  <c:v>1.8092299999999999</c:v>
                </c:pt>
                <c:pt idx="52">
                  <c:v>1.81748</c:v>
                </c:pt>
                <c:pt idx="53">
                  <c:v>1.8259800000000002</c:v>
                </c:pt>
                <c:pt idx="54">
                  <c:v>1.8332499999999998</c:v>
                </c:pt>
                <c:pt idx="55">
                  <c:v>1.8349899999999999</c:v>
                </c:pt>
                <c:pt idx="56">
                  <c:v>1.8358300000000001</c:v>
                </c:pt>
                <c:pt idx="57">
                  <c:v>1.8356700000000001</c:v>
                </c:pt>
                <c:pt idx="58">
                  <c:v>1.8340999999999998</c:v>
                </c:pt>
                <c:pt idx="59">
                  <c:v>1.8338199999999998</c:v>
                </c:pt>
                <c:pt idx="60">
                  <c:v>1.83249</c:v>
                </c:pt>
                <c:pt idx="61">
                  <c:v>1.8306900000000002</c:v>
                </c:pt>
                <c:pt idx="62">
                  <c:v>1.82901</c:v>
                </c:pt>
                <c:pt idx="63">
                  <c:v>1.82717</c:v>
                </c:pt>
                <c:pt idx="64">
                  <c:v>1.8238099999999999</c:v>
                </c:pt>
                <c:pt idx="65">
                  <c:v>1.8182200000000002</c:v>
                </c:pt>
                <c:pt idx="66">
                  <c:v>1.8139099999999999</c:v>
                </c:pt>
                <c:pt idx="67">
                  <c:v>1.8092299999999999</c:v>
                </c:pt>
                <c:pt idx="68">
                  <c:v>1.8032500000000002</c:v>
                </c:pt>
                <c:pt idx="69">
                  <c:v>1.79752</c:v>
                </c:pt>
                <c:pt idx="70">
                  <c:v>1.7911600000000001</c:v>
                </c:pt>
                <c:pt idx="71">
                  <c:v>1.78392</c:v>
                </c:pt>
                <c:pt idx="72">
                  <c:v>1.7767299999999999</c:v>
                </c:pt>
                <c:pt idx="73">
                  <c:v>1.7686099999999998</c:v>
                </c:pt>
                <c:pt idx="74">
                  <c:v>1.75987</c:v>
                </c:pt>
                <c:pt idx="75">
                  <c:v>1.7519100000000001</c:v>
                </c:pt>
                <c:pt idx="76">
                  <c:v>1.74474</c:v>
                </c:pt>
                <c:pt idx="77">
                  <c:v>1.7357400000000001</c:v>
                </c:pt>
                <c:pt idx="78">
                  <c:v>1.72482</c:v>
                </c:pt>
                <c:pt idx="79">
                  <c:v>1.71387</c:v>
                </c:pt>
                <c:pt idx="80">
                  <c:v>1.7116899999999999</c:v>
                </c:pt>
                <c:pt idx="81">
                  <c:v>1.7100499999999998</c:v>
                </c:pt>
                <c:pt idx="82">
                  <c:v>1.70964</c:v>
                </c:pt>
                <c:pt idx="83">
                  <c:v>1.7098100000000001</c:v>
                </c:pt>
                <c:pt idx="84">
                  <c:v>1.70913</c:v>
                </c:pt>
                <c:pt idx="85">
                  <c:v>1.70905</c:v>
                </c:pt>
                <c:pt idx="86">
                  <c:v>1.7103299999999999</c:v>
                </c:pt>
                <c:pt idx="87">
                  <c:v>1.71149</c:v>
                </c:pt>
                <c:pt idx="88">
                  <c:v>1.7126700000000001</c:v>
                </c:pt>
                <c:pt idx="89">
                  <c:v>1.7158799999999998</c:v>
                </c:pt>
                <c:pt idx="90">
                  <c:v>1.7207300000000001</c:v>
                </c:pt>
                <c:pt idx="91">
                  <c:v>1.7220299999999999</c:v>
                </c:pt>
                <c:pt idx="92">
                  <c:v>1.7212700000000001</c:v>
                </c:pt>
                <c:pt idx="93">
                  <c:v>1.71956</c:v>
                </c:pt>
                <c:pt idx="94">
                  <c:v>1.7141700000000002</c:v>
                </c:pt>
                <c:pt idx="95">
                  <c:v>1.7100199999999999</c:v>
                </c:pt>
                <c:pt idx="96">
                  <c:v>1.7104600000000001</c:v>
                </c:pt>
                <c:pt idx="97">
                  <c:v>1.7065700000000001</c:v>
                </c:pt>
                <c:pt idx="98">
                  <c:v>1.6955999999999998</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2.5600399999999999</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2.5600399999999999</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2.5600399999999999</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2.5600399999999999</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2.5600399999999999</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2.5600399999999999</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2.5600399999999999</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2.5600399999999999</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2.5600399999999999</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2.5600399999999999</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2.5600399999999999</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2.5600399999999999</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2.5600399999999999</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2.5600399999999999</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2.5600399999999999</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2.5600399999999999</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2.5600399999999999</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2.5600399999999999</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2.5600399999999999</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2.5600399999999999</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2.5600399999999999</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2.5600399999999999</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2.5600399999999999</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2.5600399999999999</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0.41466999999999998</c:v>
                </c:pt>
                <c:pt idx="2">
                  <c:v>0.797207</c:v>
                </c:pt>
                <c:pt idx="3">
                  <c:v>1.2016</c:v>
                </c:pt>
                <c:pt idx="4">
                  <c:v>1.61093</c:v>
                </c:pt>
                <c:pt idx="5">
                  <c:v>2.0187200000000001</c:v>
                </c:pt>
                <c:pt idx="6">
                  <c:v>2.4253100000000001</c:v>
                </c:pt>
                <c:pt idx="7">
                  <c:v>2.8383099999999999</c:v>
                </c:pt>
                <c:pt idx="8">
                  <c:v>3.2371400000000001</c:v>
                </c:pt>
                <c:pt idx="9">
                  <c:v>3.6507299999999998</c:v>
                </c:pt>
                <c:pt idx="10">
                  <c:v>4.0500100000000003</c:v>
                </c:pt>
                <c:pt idx="11">
                  <c:v>4.4572700000000003</c:v>
                </c:pt>
                <c:pt idx="12">
                  <c:v>4.87805</c:v>
                </c:pt>
                <c:pt idx="13">
                  <c:v>5.2655099999999999</c:v>
                </c:pt>
                <c:pt idx="14">
                  <c:v>5.6875900000000001</c:v>
                </c:pt>
                <c:pt idx="15">
                  <c:v>6.08127</c:v>
                </c:pt>
                <c:pt idx="16">
                  <c:v>6.4855099999999997</c:v>
                </c:pt>
                <c:pt idx="17">
                  <c:v>6.8903299999999996</c:v>
                </c:pt>
                <c:pt idx="18">
                  <c:v>7.3112300000000001</c:v>
                </c:pt>
                <c:pt idx="19">
                  <c:v>7.7024800000000004</c:v>
                </c:pt>
                <c:pt idx="20">
                  <c:v>8.1189199999999992</c:v>
                </c:pt>
                <c:pt idx="21">
                  <c:v>8.5445600000000006</c:v>
                </c:pt>
                <c:pt idx="22">
                  <c:v>8.9310399999999994</c:v>
                </c:pt>
                <c:pt idx="23">
                  <c:v>9.3529300000000006</c:v>
                </c:pt>
                <c:pt idx="24">
                  <c:v>9.7537500000000001</c:v>
                </c:pt>
                <c:pt idx="25">
                  <c:v>10.145</c:v>
                </c:pt>
                <c:pt idx="26">
                  <c:v>10.5503</c:v>
                </c:pt>
                <c:pt idx="27">
                  <c:v>10.963900000000001</c:v>
                </c:pt>
                <c:pt idx="28">
                  <c:v>11.389799999999999</c:v>
                </c:pt>
                <c:pt idx="29">
                  <c:v>11.774900000000001</c:v>
                </c:pt>
                <c:pt idx="30">
                  <c:v>12.181100000000001</c:v>
                </c:pt>
                <c:pt idx="31">
                  <c:v>12.580399999999999</c:v>
                </c:pt>
                <c:pt idx="32">
                  <c:v>13.010400000000001</c:v>
                </c:pt>
                <c:pt idx="33">
                  <c:v>13.4023</c:v>
                </c:pt>
                <c:pt idx="34">
                  <c:v>13.8002</c:v>
                </c:pt>
                <c:pt idx="35">
                  <c:v>14.200200000000001</c:v>
                </c:pt>
                <c:pt idx="36">
                  <c:v>14.6113</c:v>
                </c:pt>
                <c:pt idx="37">
                  <c:v>15.034000000000001</c:v>
                </c:pt>
                <c:pt idx="38">
                  <c:v>15.433299999999999</c:v>
                </c:pt>
                <c:pt idx="39">
                  <c:v>15.840400000000001</c:v>
                </c:pt>
                <c:pt idx="40">
                  <c:v>16.260100000000001</c:v>
                </c:pt>
                <c:pt idx="41">
                  <c:v>16.656300000000002</c:v>
                </c:pt>
                <c:pt idx="42">
                  <c:v>17.0486</c:v>
                </c:pt>
                <c:pt idx="43">
                  <c:v>17.454999999999998</c:v>
                </c:pt>
                <c:pt idx="44">
                  <c:v>17.8614</c:v>
                </c:pt>
                <c:pt idx="45">
                  <c:v>18.276599999999998</c:v>
                </c:pt>
                <c:pt idx="46">
                  <c:v>18.674099999999999</c:v>
                </c:pt>
                <c:pt idx="47">
                  <c:v>19.091799999999999</c:v>
                </c:pt>
                <c:pt idx="48">
                  <c:v>19.4893</c:v>
                </c:pt>
                <c:pt idx="49">
                  <c:v>19.890999999999998</c:v>
                </c:pt>
                <c:pt idx="50">
                  <c:v>20.323699999999999</c:v>
                </c:pt>
                <c:pt idx="51">
                  <c:v>20.7102</c:v>
                </c:pt>
                <c:pt idx="52">
                  <c:v>21.1052</c:v>
                </c:pt>
                <c:pt idx="53">
                  <c:v>21.537299999999998</c:v>
                </c:pt>
                <c:pt idx="54">
                  <c:v>21.918700000000001</c:v>
                </c:pt>
                <c:pt idx="55">
                  <c:v>22.342300000000002</c:v>
                </c:pt>
                <c:pt idx="56">
                  <c:v>22.739699999999999</c:v>
                </c:pt>
                <c:pt idx="57">
                  <c:v>23.1556</c:v>
                </c:pt>
                <c:pt idx="58">
                  <c:v>23.555900000000001</c:v>
                </c:pt>
                <c:pt idx="59">
                  <c:v>23.966699999999999</c:v>
                </c:pt>
                <c:pt idx="60">
                  <c:v>24.366599999999998</c:v>
                </c:pt>
                <c:pt idx="61">
                  <c:v>24.767499999999998</c:v>
                </c:pt>
                <c:pt idx="62">
                  <c:v>25.1751</c:v>
                </c:pt>
                <c:pt idx="63">
                  <c:v>25.578900000000001</c:v>
                </c:pt>
                <c:pt idx="64">
                  <c:v>25.995100000000001</c:v>
                </c:pt>
                <c:pt idx="65">
                  <c:v>26.401499999999999</c:v>
                </c:pt>
                <c:pt idx="66">
                  <c:v>26.8124</c:v>
                </c:pt>
                <c:pt idx="67">
                  <c:v>27.199300000000001</c:v>
                </c:pt>
                <c:pt idx="68">
                  <c:v>27.629799999999999</c:v>
                </c:pt>
                <c:pt idx="69">
                  <c:v>28.016300000000001</c:v>
                </c:pt>
                <c:pt idx="70">
                  <c:v>28.417999999999999</c:v>
                </c:pt>
                <c:pt idx="71">
                  <c:v>28.848400000000002</c:v>
                </c:pt>
                <c:pt idx="72">
                  <c:v>29.238900000000001</c:v>
                </c:pt>
                <c:pt idx="73">
                  <c:v>29.639500000000002</c:v>
                </c:pt>
                <c:pt idx="74">
                  <c:v>30.0656</c:v>
                </c:pt>
                <c:pt idx="75">
                  <c:v>30.456199999999999</c:v>
                </c:pt>
                <c:pt idx="76">
                  <c:v>30.860800000000001</c:v>
                </c:pt>
                <c:pt idx="77">
                  <c:v>31.264399999999998</c:v>
                </c:pt>
                <c:pt idx="78">
                  <c:v>31.680700000000002</c:v>
                </c:pt>
                <c:pt idx="79">
                  <c:v>32.082599999999999</c:v>
                </c:pt>
                <c:pt idx="80">
                  <c:v>32.502099999999999</c:v>
                </c:pt>
                <c:pt idx="81">
                  <c:v>32.890799999999999</c:v>
                </c:pt>
                <c:pt idx="82">
                  <c:v>33.301099999999998</c:v>
                </c:pt>
                <c:pt idx="83">
                  <c:v>33.712600000000002</c:v>
                </c:pt>
                <c:pt idx="84">
                  <c:v>34.123800000000003</c:v>
                </c:pt>
                <c:pt idx="85">
                  <c:v>34.525100000000002</c:v>
                </c:pt>
                <c:pt idx="86">
                  <c:v>34.923200000000001</c:v>
                </c:pt>
                <c:pt idx="87">
                  <c:v>35.328499999999998</c:v>
                </c:pt>
                <c:pt idx="88">
                  <c:v>35.750399999999999</c:v>
                </c:pt>
                <c:pt idx="89">
                  <c:v>36.175699999999999</c:v>
                </c:pt>
                <c:pt idx="90">
                  <c:v>36.551000000000002</c:v>
                </c:pt>
                <c:pt idx="91">
                  <c:v>36.957700000000003</c:v>
                </c:pt>
                <c:pt idx="92">
                  <c:v>37.362200000000001</c:v>
                </c:pt>
                <c:pt idx="93">
                  <c:v>37.772500000000001</c:v>
                </c:pt>
                <c:pt idx="94">
                  <c:v>38.170499999999997</c:v>
                </c:pt>
                <c:pt idx="95">
                  <c:v>38.5867</c:v>
                </c:pt>
                <c:pt idx="96">
                  <c:v>38.990499999999997</c:v>
                </c:pt>
                <c:pt idx="97">
                  <c:v>39.406500000000001</c:v>
                </c:pt>
                <c:pt idx="98">
                  <c:v>39.798000000000002</c:v>
                </c:pt>
              </c:numCache>
            </c:numRef>
          </c:xVal>
          <c:yVal>
            <c:numRef>
              <c:f>FT!$K$2:$K$2000</c:f>
              <c:numCache>
                <c:formatCode>General</c:formatCode>
                <c:ptCount val="1999"/>
                <c:pt idx="0">
                  <c:v>69.731200000000001</c:v>
                </c:pt>
                <c:pt idx="1">
                  <c:v>69.67</c:v>
                </c:pt>
                <c:pt idx="2">
                  <c:v>69.454400000000007</c:v>
                </c:pt>
                <c:pt idx="3">
                  <c:v>69.144300000000001</c:v>
                </c:pt>
                <c:pt idx="4">
                  <c:v>68.778399999999991</c:v>
                </c:pt>
                <c:pt idx="5">
                  <c:v>68.36569999999999</c:v>
                </c:pt>
                <c:pt idx="6">
                  <c:v>67.924499999999995</c:v>
                </c:pt>
                <c:pt idx="7">
                  <c:v>67.441199999999995</c:v>
                </c:pt>
                <c:pt idx="8">
                  <c:v>66.912899999999993</c:v>
                </c:pt>
                <c:pt idx="9">
                  <c:v>66.360900000000001</c:v>
                </c:pt>
                <c:pt idx="10">
                  <c:v>65.812200000000004</c:v>
                </c:pt>
                <c:pt idx="11">
                  <c:v>65.241</c:v>
                </c:pt>
                <c:pt idx="12">
                  <c:v>64.645099999999999</c:v>
                </c:pt>
                <c:pt idx="13">
                  <c:v>64.008299999999991</c:v>
                </c:pt>
                <c:pt idx="14">
                  <c:v>63.476100000000002</c:v>
                </c:pt>
                <c:pt idx="15">
                  <c:v>62.903200000000005</c:v>
                </c:pt>
                <c:pt idx="16">
                  <c:v>62.314</c:v>
                </c:pt>
                <c:pt idx="17">
                  <c:v>61.698099999999997</c:v>
                </c:pt>
                <c:pt idx="18">
                  <c:v>61.043499999999995</c:v>
                </c:pt>
                <c:pt idx="19">
                  <c:v>60.388399999999997</c:v>
                </c:pt>
                <c:pt idx="20">
                  <c:v>59.738500000000002</c:v>
                </c:pt>
                <c:pt idx="21">
                  <c:v>59.088499999999996</c:v>
                </c:pt>
                <c:pt idx="22">
                  <c:v>58.386099999999999</c:v>
                </c:pt>
                <c:pt idx="23">
                  <c:v>57.710099999999997</c:v>
                </c:pt>
                <c:pt idx="24">
                  <c:v>57.032299999999999</c:v>
                </c:pt>
                <c:pt idx="25">
                  <c:v>56.364499999999992</c:v>
                </c:pt>
                <c:pt idx="26">
                  <c:v>55.7134</c:v>
                </c:pt>
                <c:pt idx="27">
                  <c:v>55.082299999999996</c:v>
                </c:pt>
                <c:pt idx="28">
                  <c:v>54.505800000000008</c:v>
                </c:pt>
                <c:pt idx="29">
                  <c:v>53.978000000000002</c:v>
                </c:pt>
                <c:pt idx="30">
                  <c:v>53.543099999999995</c:v>
                </c:pt>
                <c:pt idx="31">
                  <c:v>53.219899999999996</c:v>
                </c:pt>
                <c:pt idx="32">
                  <c:v>53.061999999999998</c:v>
                </c:pt>
                <c:pt idx="33">
                  <c:v>53.136300000000006</c:v>
                </c:pt>
                <c:pt idx="34">
                  <c:v>53.4285</c:v>
                </c:pt>
                <c:pt idx="35">
                  <c:v>53.689200000000007</c:v>
                </c:pt>
                <c:pt idx="36">
                  <c:v>53.729700000000001</c:v>
                </c:pt>
                <c:pt idx="37">
                  <c:v>53.611899999999999</c:v>
                </c:pt>
                <c:pt idx="38">
                  <c:v>53.564799999999998</c:v>
                </c:pt>
                <c:pt idx="39">
                  <c:v>53.435500000000005</c:v>
                </c:pt>
                <c:pt idx="40">
                  <c:v>53.121799999999993</c:v>
                </c:pt>
                <c:pt idx="41">
                  <c:v>52.786000000000001</c:v>
                </c:pt>
                <c:pt idx="42">
                  <c:v>52.433300000000003</c:v>
                </c:pt>
                <c:pt idx="43">
                  <c:v>52.035299999999992</c:v>
                </c:pt>
                <c:pt idx="44">
                  <c:v>51.642999999999994</c:v>
                </c:pt>
                <c:pt idx="45">
                  <c:v>51.305199999999992</c:v>
                </c:pt>
                <c:pt idx="46">
                  <c:v>51.012199999999993</c:v>
                </c:pt>
                <c:pt idx="47">
                  <c:v>50.729100000000003</c:v>
                </c:pt>
                <c:pt idx="48">
                  <c:v>50.448300000000003</c:v>
                </c:pt>
                <c:pt idx="49">
                  <c:v>50.232500000000002</c:v>
                </c:pt>
                <c:pt idx="50">
                  <c:v>50.086600000000004</c:v>
                </c:pt>
                <c:pt idx="51">
                  <c:v>49.9587</c:v>
                </c:pt>
                <c:pt idx="52">
                  <c:v>49.831800000000001</c:v>
                </c:pt>
                <c:pt idx="53">
                  <c:v>49.657400000000003</c:v>
                </c:pt>
                <c:pt idx="54">
                  <c:v>49.523400000000002</c:v>
                </c:pt>
                <c:pt idx="55">
                  <c:v>49.350200000000001</c:v>
                </c:pt>
                <c:pt idx="56">
                  <c:v>49.229199999999999</c:v>
                </c:pt>
                <c:pt idx="57">
                  <c:v>49.162800000000004</c:v>
                </c:pt>
                <c:pt idx="58">
                  <c:v>49.134499999999996</c:v>
                </c:pt>
                <c:pt idx="59">
                  <c:v>49.09</c:v>
                </c:pt>
                <c:pt idx="60">
                  <c:v>49.046599999999998</c:v>
                </c:pt>
                <c:pt idx="61">
                  <c:v>49.039500000000004</c:v>
                </c:pt>
                <c:pt idx="62">
                  <c:v>49.030499999999996</c:v>
                </c:pt>
                <c:pt idx="63">
                  <c:v>49.005800000000001</c:v>
                </c:pt>
                <c:pt idx="64">
                  <c:v>48.994199999999999</c:v>
                </c:pt>
                <c:pt idx="65">
                  <c:v>48.9756</c:v>
                </c:pt>
                <c:pt idx="66">
                  <c:v>48.982500000000002</c:v>
                </c:pt>
                <c:pt idx="67">
                  <c:v>49.031599999999997</c:v>
                </c:pt>
                <c:pt idx="68">
                  <c:v>49.138500000000001</c:v>
                </c:pt>
                <c:pt idx="69">
                  <c:v>49.272199999999998</c:v>
                </c:pt>
                <c:pt idx="70">
                  <c:v>49.413499999999999</c:v>
                </c:pt>
                <c:pt idx="71">
                  <c:v>49.57</c:v>
                </c:pt>
                <c:pt idx="72">
                  <c:v>49.728999999999999</c:v>
                </c:pt>
                <c:pt idx="73">
                  <c:v>49.897300000000001</c:v>
                </c:pt>
                <c:pt idx="74">
                  <c:v>50.034599999999998</c:v>
                </c:pt>
                <c:pt idx="75">
                  <c:v>50.087000000000003</c:v>
                </c:pt>
                <c:pt idx="76">
                  <c:v>50.154699999999998</c:v>
                </c:pt>
                <c:pt idx="77">
                  <c:v>50.252699999999997</c:v>
                </c:pt>
                <c:pt idx="78">
                  <c:v>50.377799999999993</c:v>
                </c:pt>
                <c:pt idx="79">
                  <c:v>50.5244</c:v>
                </c:pt>
                <c:pt idx="80">
                  <c:v>50.7455</c:v>
                </c:pt>
                <c:pt idx="81">
                  <c:v>50.946499999999993</c:v>
                </c:pt>
                <c:pt idx="82">
                  <c:v>51.1</c:v>
                </c:pt>
                <c:pt idx="83">
                  <c:v>51.242900000000006</c:v>
                </c:pt>
                <c:pt idx="84">
                  <c:v>51.426499999999997</c:v>
                </c:pt>
                <c:pt idx="85">
                  <c:v>51.605800000000002</c:v>
                </c:pt>
                <c:pt idx="86">
                  <c:v>51.762</c:v>
                </c:pt>
                <c:pt idx="87">
                  <c:v>51.958800000000004</c:v>
                </c:pt>
                <c:pt idx="88">
                  <c:v>52.195400000000006</c:v>
                </c:pt>
                <c:pt idx="89">
                  <c:v>52.437400000000004</c:v>
                </c:pt>
                <c:pt idx="90">
                  <c:v>52.705500000000008</c:v>
                </c:pt>
                <c:pt idx="91">
                  <c:v>52.959100000000007</c:v>
                </c:pt>
                <c:pt idx="92">
                  <c:v>53.150299999999994</c:v>
                </c:pt>
                <c:pt idx="93">
                  <c:v>53.314999999999998</c:v>
                </c:pt>
                <c:pt idx="94">
                  <c:v>53.5276</c:v>
                </c:pt>
                <c:pt idx="95">
                  <c:v>53.663600000000002</c:v>
                </c:pt>
                <c:pt idx="96">
                  <c:v>53.6021</c:v>
                </c:pt>
                <c:pt idx="97">
                  <c:v>53.670700000000004</c:v>
                </c:pt>
                <c:pt idx="98">
                  <c:v>54.019300000000001</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69.731200000000001</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69.731200000000001</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69.731200000000001</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69.731200000000001</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69.731200000000001</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69.731200000000001</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69.731200000000001</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69.731200000000001</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69.731200000000001</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69.731200000000001</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69.731200000000001</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69.731200000000001</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69.731200000000001</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69.731200000000001</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69.731200000000001</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69.731200000000001</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69.731200000000001</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69.731200000000001</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69.731200000000001</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69.731200000000001</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69.731200000000001</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69.731200000000001</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69.731200000000001</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69.731200000000001</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0.41466999999999998</c:v>
                </c:pt>
                <c:pt idx="2">
                  <c:v>0.797207</c:v>
                </c:pt>
                <c:pt idx="3">
                  <c:v>1.2016</c:v>
                </c:pt>
                <c:pt idx="4">
                  <c:v>1.61093</c:v>
                </c:pt>
                <c:pt idx="5">
                  <c:v>2.0187200000000001</c:v>
                </c:pt>
                <c:pt idx="6">
                  <c:v>2.4253100000000001</c:v>
                </c:pt>
                <c:pt idx="7">
                  <c:v>2.8383099999999999</c:v>
                </c:pt>
                <c:pt idx="8">
                  <c:v>3.2371400000000001</c:v>
                </c:pt>
                <c:pt idx="9">
                  <c:v>3.6507299999999998</c:v>
                </c:pt>
                <c:pt idx="10">
                  <c:v>4.0500100000000003</c:v>
                </c:pt>
                <c:pt idx="11">
                  <c:v>4.4572700000000003</c:v>
                </c:pt>
                <c:pt idx="12">
                  <c:v>4.87805</c:v>
                </c:pt>
                <c:pt idx="13">
                  <c:v>5.2655099999999999</c:v>
                </c:pt>
                <c:pt idx="14">
                  <c:v>5.6875900000000001</c:v>
                </c:pt>
                <c:pt idx="15">
                  <c:v>6.08127</c:v>
                </c:pt>
                <c:pt idx="16">
                  <c:v>6.4855099999999997</c:v>
                </c:pt>
                <c:pt idx="17">
                  <c:v>6.8903299999999996</c:v>
                </c:pt>
                <c:pt idx="18">
                  <c:v>7.3112300000000001</c:v>
                </c:pt>
                <c:pt idx="19">
                  <c:v>7.7024800000000004</c:v>
                </c:pt>
                <c:pt idx="20">
                  <c:v>8.1189199999999992</c:v>
                </c:pt>
                <c:pt idx="21">
                  <c:v>8.5445600000000006</c:v>
                </c:pt>
                <c:pt idx="22">
                  <c:v>8.9310399999999994</c:v>
                </c:pt>
                <c:pt idx="23">
                  <c:v>9.3529300000000006</c:v>
                </c:pt>
                <c:pt idx="24">
                  <c:v>9.7537500000000001</c:v>
                </c:pt>
                <c:pt idx="25">
                  <c:v>10.145</c:v>
                </c:pt>
                <c:pt idx="26">
                  <c:v>10.5503</c:v>
                </c:pt>
                <c:pt idx="27">
                  <c:v>10.963900000000001</c:v>
                </c:pt>
                <c:pt idx="28">
                  <c:v>11.389799999999999</c:v>
                </c:pt>
                <c:pt idx="29">
                  <c:v>11.774900000000001</c:v>
                </c:pt>
                <c:pt idx="30">
                  <c:v>12.181100000000001</c:v>
                </c:pt>
                <c:pt idx="31">
                  <c:v>12.580399999999999</c:v>
                </c:pt>
                <c:pt idx="32">
                  <c:v>13.010400000000001</c:v>
                </c:pt>
                <c:pt idx="33">
                  <c:v>13.4023</c:v>
                </c:pt>
                <c:pt idx="34">
                  <c:v>13.8002</c:v>
                </c:pt>
                <c:pt idx="35">
                  <c:v>14.200200000000001</c:v>
                </c:pt>
                <c:pt idx="36">
                  <c:v>14.6113</c:v>
                </c:pt>
                <c:pt idx="37">
                  <c:v>15.034000000000001</c:v>
                </c:pt>
                <c:pt idx="38">
                  <c:v>15.433299999999999</c:v>
                </c:pt>
                <c:pt idx="39">
                  <c:v>15.840400000000001</c:v>
                </c:pt>
                <c:pt idx="40">
                  <c:v>16.260100000000001</c:v>
                </c:pt>
                <c:pt idx="41">
                  <c:v>16.656300000000002</c:v>
                </c:pt>
                <c:pt idx="42">
                  <c:v>17.0486</c:v>
                </c:pt>
                <c:pt idx="43">
                  <c:v>17.454999999999998</c:v>
                </c:pt>
                <c:pt idx="44">
                  <c:v>17.8614</c:v>
                </c:pt>
                <c:pt idx="45">
                  <c:v>18.276599999999998</c:v>
                </c:pt>
                <c:pt idx="46">
                  <c:v>18.674099999999999</c:v>
                </c:pt>
                <c:pt idx="47">
                  <c:v>19.091799999999999</c:v>
                </c:pt>
                <c:pt idx="48">
                  <c:v>19.4893</c:v>
                </c:pt>
                <c:pt idx="49">
                  <c:v>19.890999999999998</c:v>
                </c:pt>
                <c:pt idx="50">
                  <c:v>20.323699999999999</c:v>
                </c:pt>
                <c:pt idx="51">
                  <c:v>20.7102</c:v>
                </c:pt>
                <c:pt idx="52">
                  <c:v>21.1052</c:v>
                </c:pt>
                <c:pt idx="53">
                  <c:v>21.537299999999998</c:v>
                </c:pt>
                <c:pt idx="54">
                  <c:v>21.918700000000001</c:v>
                </c:pt>
                <c:pt idx="55">
                  <c:v>22.342300000000002</c:v>
                </c:pt>
                <c:pt idx="56">
                  <c:v>22.739699999999999</c:v>
                </c:pt>
                <c:pt idx="57">
                  <c:v>23.1556</c:v>
                </c:pt>
                <c:pt idx="58">
                  <c:v>23.555900000000001</c:v>
                </c:pt>
                <c:pt idx="59">
                  <c:v>23.966699999999999</c:v>
                </c:pt>
                <c:pt idx="60">
                  <c:v>24.366599999999998</c:v>
                </c:pt>
                <c:pt idx="61">
                  <c:v>24.767499999999998</c:v>
                </c:pt>
                <c:pt idx="62">
                  <c:v>25.1751</c:v>
                </c:pt>
                <c:pt idx="63">
                  <c:v>25.578900000000001</c:v>
                </c:pt>
                <c:pt idx="64">
                  <c:v>25.995100000000001</c:v>
                </c:pt>
                <c:pt idx="65">
                  <c:v>26.401499999999999</c:v>
                </c:pt>
                <c:pt idx="66">
                  <c:v>26.8124</c:v>
                </c:pt>
                <c:pt idx="67">
                  <c:v>27.199300000000001</c:v>
                </c:pt>
                <c:pt idx="68">
                  <c:v>27.629799999999999</c:v>
                </c:pt>
                <c:pt idx="69">
                  <c:v>28.016300000000001</c:v>
                </c:pt>
                <c:pt idx="70">
                  <c:v>28.417999999999999</c:v>
                </c:pt>
                <c:pt idx="71">
                  <c:v>28.848400000000002</c:v>
                </c:pt>
                <c:pt idx="72">
                  <c:v>29.238900000000001</c:v>
                </c:pt>
                <c:pt idx="73">
                  <c:v>29.639500000000002</c:v>
                </c:pt>
                <c:pt idx="74">
                  <c:v>30.0656</c:v>
                </c:pt>
                <c:pt idx="75">
                  <c:v>30.456199999999999</c:v>
                </c:pt>
                <c:pt idx="76">
                  <c:v>30.860800000000001</c:v>
                </c:pt>
                <c:pt idx="77">
                  <c:v>31.264399999999998</c:v>
                </c:pt>
                <c:pt idx="78">
                  <c:v>31.680700000000002</c:v>
                </c:pt>
                <c:pt idx="79">
                  <c:v>32.082599999999999</c:v>
                </c:pt>
                <c:pt idx="80">
                  <c:v>32.502099999999999</c:v>
                </c:pt>
                <c:pt idx="81">
                  <c:v>32.890799999999999</c:v>
                </c:pt>
                <c:pt idx="82">
                  <c:v>33.301099999999998</c:v>
                </c:pt>
                <c:pt idx="83">
                  <c:v>33.712600000000002</c:v>
                </c:pt>
                <c:pt idx="84">
                  <c:v>34.123800000000003</c:v>
                </c:pt>
                <c:pt idx="85">
                  <c:v>34.525100000000002</c:v>
                </c:pt>
                <c:pt idx="86">
                  <c:v>34.923200000000001</c:v>
                </c:pt>
                <c:pt idx="87">
                  <c:v>35.328499999999998</c:v>
                </c:pt>
                <c:pt idx="88">
                  <c:v>35.750399999999999</c:v>
                </c:pt>
                <c:pt idx="89">
                  <c:v>36.175699999999999</c:v>
                </c:pt>
                <c:pt idx="90">
                  <c:v>36.551000000000002</c:v>
                </c:pt>
                <c:pt idx="91">
                  <c:v>36.957700000000003</c:v>
                </c:pt>
                <c:pt idx="92">
                  <c:v>37.362200000000001</c:v>
                </c:pt>
                <c:pt idx="93">
                  <c:v>37.772500000000001</c:v>
                </c:pt>
                <c:pt idx="94">
                  <c:v>38.170499999999997</c:v>
                </c:pt>
                <c:pt idx="95">
                  <c:v>38.5867</c:v>
                </c:pt>
                <c:pt idx="96">
                  <c:v>38.990499999999997</c:v>
                </c:pt>
                <c:pt idx="97">
                  <c:v>39.406500000000001</c:v>
                </c:pt>
                <c:pt idx="98">
                  <c:v>39.798000000000002</c:v>
                </c:pt>
              </c:numCache>
            </c:numRef>
          </c:xVal>
          <c:yVal>
            <c:numRef>
              <c:f>FT!$L$2:$L$2000</c:f>
              <c:numCache>
                <c:formatCode>General</c:formatCode>
                <c:ptCount val="1999"/>
                <c:pt idx="0">
                  <c:v>27.238324401181234</c:v>
                </c:pt>
                <c:pt idx="1">
                  <c:v>27.332716088130059</c:v>
                </c:pt>
                <c:pt idx="2">
                  <c:v>27.337363813842181</c:v>
                </c:pt>
                <c:pt idx="3">
                  <c:v>27.273921378363664</c:v>
                </c:pt>
                <c:pt idx="4">
                  <c:v>27.164416077853648</c:v>
                </c:pt>
                <c:pt idx="5">
                  <c:v>27.035907778700516</c:v>
                </c:pt>
                <c:pt idx="6">
                  <c:v>26.89802238185375</c:v>
                </c:pt>
                <c:pt idx="7">
                  <c:v>26.7458240137058</c:v>
                </c:pt>
                <c:pt idx="8">
                  <c:v>26.578050524308864</c:v>
                </c:pt>
                <c:pt idx="9">
                  <c:v>26.416293807620658</c:v>
                </c:pt>
                <c:pt idx="10">
                  <c:v>26.294798750229738</c:v>
                </c:pt>
                <c:pt idx="11">
                  <c:v>26.188058203712995</c:v>
                </c:pt>
                <c:pt idx="12">
                  <c:v>26.067728810552083</c:v>
                </c:pt>
                <c:pt idx="13">
                  <c:v>25.925627399834745</c:v>
                </c:pt>
                <c:pt idx="14">
                  <c:v>25.810427272579414</c:v>
                </c:pt>
                <c:pt idx="15">
                  <c:v>25.710034986757353</c:v>
                </c:pt>
                <c:pt idx="16">
                  <c:v>25.612843825526525</c:v>
                </c:pt>
                <c:pt idx="17">
                  <c:v>25.516698029322356</c:v>
                </c:pt>
                <c:pt idx="18">
                  <c:v>25.411815150468119</c:v>
                </c:pt>
                <c:pt idx="19">
                  <c:v>25.316580934294208</c:v>
                </c:pt>
                <c:pt idx="20">
                  <c:v>25.221016634298746</c:v>
                </c:pt>
                <c:pt idx="21">
                  <c:v>25.130782055426074</c:v>
                </c:pt>
                <c:pt idx="22">
                  <c:v>25.044116448550827</c:v>
                </c:pt>
                <c:pt idx="23">
                  <c:v>24.980240062677737</c:v>
                </c:pt>
                <c:pt idx="24">
                  <c:v>24.925070471778511</c:v>
                </c:pt>
                <c:pt idx="25">
                  <c:v>24.885648184940877</c:v>
                </c:pt>
                <c:pt idx="26">
                  <c:v>24.880050730591975</c:v>
                </c:pt>
                <c:pt idx="27">
                  <c:v>24.919043633649256</c:v>
                </c:pt>
                <c:pt idx="28">
                  <c:v>25.032170953830899</c:v>
                </c:pt>
                <c:pt idx="29">
                  <c:v>25.225722030096268</c:v>
                </c:pt>
                <c:pt idx="30">
                  <c:v>25.522723155977996</c:v>
                </c:pt>
                <c:pt idx="31">
                  <c:v>25.950799687926658</c:v>
                </c:pt>
                <c:pt idx="32">
                  <c:v>26.561279859039303</c:v>
                </c:pt>
                <c:pt idx="33">
                  <c:v>27.408211688244705</c:v>
                </c:pt>
                <c:pt idx="34">
                  <c:v>28.499151882394358</c:v>
                </c:pt>
                <c:pt idx="35">
                  <c:v>29.516589241045661</c:v>
                </c:pt>
                <c:pt idx="36">
                  <c:v>30.1703090606891</c:v>
                </c:pt>
                <c:pt idx="37">
                  <c:v>30.479663888478289</c:v>
                </c:pt>
                <c:pt idx="38">
                  <c:v>30.650842879868161</c:v>
                </c:pt>
                <c:pt idx="39">
                  <c:v>30.706704440319736</c:v>
                </c:pt>
                <c:pt idx="40">
                  <c:v>30.62905048548167</c:v>
                </c:pt>
                <c:pt idx="41">
                  <c:v>30.486234240269834</c:v>
                </c:pt>
                <c:pt idx="42">
                  <c:v>30.259116694848256</c:v>
                </c:pt>
                <c:pt idx="43">
                  <c:v>29.924090378455464</c:v>
                </c:pt>
                <c:pt idx="44">
                  <c:v>29.574504638643909</c:v>
                </c:pt>
                <c:pt idx="45">
                  <c:v>29.243896739037496</c:v>
                </c:pt>
                <c:pt idx="46">
                  <c:v>28.942106935366738</c:v>
                </c:pt>
                <c:pt idx="47">
                  <c:v>28.609915798616008</c:v>
                </c:pt>
                <c:pt idx="48">
                  <c:v>28.304532244128506</c:v>
                </c:pt>
                <c:pt idx="49">
                  <c:v>28.026837025051609</c:v>
                </c:pt>
                <c:pt idx="50">
                  <c:v>27.800096577064615</c:v>
                </c:pt>
                <c:pt idx="51">
                  <c:v>27.613238781138939</c:v>
                </c:pt>
                <c:pt idx="52">
                  <c:v>27.41807337632326</c:v>
                </c:pt>
                <c:pt idx="53">
                  <c:v>27.194930941193221</c:v>
                </c:pt>
                <c:pt idx="54">
                  <c:v>27.013991545070233</c:v>
                </c:pt>
                <c:pt idx="55">
                  <c:v>26.893988523098219</c:v>
                </c:pt>
                <c:pt idx="56">
                  <c:v>26.815772702265459</c:v>
                </c:pt>
                <c:pt idx="57">
                  <c:v>26.781937930020103</c:v>
                </c:pt>
                <c:pt idx="58">
                  <c:v>26.789433509623247</c:v>
                </c:pt>
                <c:pt idx="59">
                  <c:v>26.769257615251231</c:v>
                </c:pt>
                <c:pt idx="60">
                  <c:v>26.765002810383685</c:v>
                </c:pt>
                <c:pt idx="61">
                  <c:v>26.787440801009456</c:v>
                </c:pt>
                <c:pt idx="62">
                  <c:v>26.807125166073448</c:v>
                </c:pt>
                <c:pt idx="63">
                  <c:v>26.820602352271546</c:v>
                </c:pt>
                <c:pt idx="64">
                  <c:v>26.863653560403773</c:v>
                </c:pt>
                <c:pt idx="65">
                  <c:v>26.93601434369878</c:v>
                </c:pt>
                <c:pt idx="66">
                  <c:v>27.003820476208855</c:v>
                </c:pt>
                <c:pt idx="67">
                  <c:v>27.100810842181481</c:v>
                </c:pt>
                <c:pt idx="68">
                  <c:v>27.249965340357683</c:v>
                </c:pt>
                <c:pt idx="69">
                  <c:v>27.411211001824736</c:v>
                </c:pt>
                <c:pt idx="70">
                  <c:v>27.58742937537685</c:v>
                </c:pt>
                <c:pt idx="71">
                  <c:v>27.787120498677073</c:v>
                </c:pt>
                <c:pt idx="72">
                  <c:v>27.989058551383721</c:v>
                </c:pt>
                <c:pt idx="73">
                  <c:v>28.212720724184532</c:v>
                </c:pt>
                <c:pt idx="74">
                  <c:v>28.430850005966349</c:v>
                </c:pt>
                <c:pt idx="75">
                  <c:v>28.589938980883723</c:v>
                </c:pt>
                <c:pt idx="76">
                  <c:v>28.746231530199342</c:v>
                </c:pt>
                <c:pt idx="77">
                  <c:v>28.951743924781358</c:v>
                </c:pt>
                <c:pt idx="78">
                  <c:v>29.207569485511527</c:v>
                </c:pt>
                <c:pt idx="79">
                  <c:v>29.479715497674853</c:v>
                </c:pt>
                <c:pt idx="80">
                  <c:v>29.64643130473392</c:v>
                </c:pt>
                <c:pt idx="81">
                  <c:v>29.792403730885059</c:v>
                </c:pt>
                <c:pt idx="82">
                  <c:v>29.889333426920288</c:v>
                </c:pt>
                <c:pt idx="83">
                  <c:v>29.969938180265647</c:v>
                </c:pt>
                <c:pt idx="84">
                  <c:v>30.089285191881249</c:v>
                </c:pt>
                <c:pt idx="85">
                  <c:v>30.195605745882219</c:v>
                </c:pt>
                <c:pt idx="86">
                  <c:v>30.264334952903827</c:v>
                </c:pt>
                <c:pt idx="87">
                  <c:v>30.358810159568566</c:v>
                </c:pt>
                <c:pt idx="88">
                  <c:v>30.476040334682107</c:v>
                </c:pt>
                <c:pt idx="89">
                  <c:v>30.560062475231373</c:v>
                </c:pt>
                <c:pt idx="90">
                  <c:v>30.629732729713556</c:v>
                </c:pt>
                <c:pt idx="91">
                  <c:v>30.753877690864854</c:v>
                </c:pt>
                <c:pt idx="92">
                  <c:v>30.878537359043026</c:v>
                </c:pt>
                <c:pt idx="93">
                  <c:v>31.005024541161692</c:v>
                </c:pt>
                <c:pt idx="94">
                  <c:v>31.226541124859256</c:v>
                </c:pt>
                <c:pt idx="95">
                  <c:v>31.381855182980321</c:v>
                </c:pt>
                <c:pt idx="96">
                  <c:v>31.337827251148813</c:v>
                </c:pt>
                <c:pt idx="97">
                  <c:v>31.44945709815595</c:v>
                </c:pt>
                <c:pt idx="98">
                  <c:v>31.858516159471577</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0.55395487384471198</c:v>
                </c:pt>
                <c:pt idx="7">
                  <c:v>0</c:v>
                </c:pt>
                <c:pt idx="8">
                  <c:v>0.62370963963145531</c:v>
                </c:pt>
                <c:pt idx="9">
                  <c:v>0</c:v>
                </c:pt>
                <c:pt idx="10">
                  <c:v>0</c:v>
                </c:pt>
                <c:pt idx="11">
                  <c:v>0.74569082989476299</c:v>
                </c:pt>
                <c:pt idx="12">
                  <c:v>0</c:v>
                </c:pt>
                <c:pt idx="13">
                  <c:v>0.96742960692718516</c:v>
                </c:pt>
                <c:pt idx="14">
                  <c:v>0</c:v>
                </c:pt>
                <c:pt idx="15">
                  <c:v>0</c:v>
                </c:pt>
                <c:pt idx="16">
                  <c:v>0.95917703815976307</c:v>
                </c:pt>
                <c:pt idx="17">
                  <c:v>0</c:v>
                </c:pt>
                <c:pt idx="18">
                  <c:v>0</c:v>
                </c:pt>
                <c:pt idx="19">
                  <c:v>0.89694807958039069</c:v>
                </c:pt>
                <c:pt idx="20">
                  <c:v>0</c:v>
                </c:pt>
                <c:pt idx="21">
                  <c:v>0.77020468856832747</c:v>
                </c:pt>
                <c:pt idx="22">
                  <c:v>0</c:v>
                </c:pt>
                <c:pt idx="23">
                  <c:v>0</c:v>
                </c:pt>
                <c:pt idx="24">
                  <c:v>0.72923828694650172</c:v>
                </c:pt>
                <c:pt idx="25">
                  <c:v>0</c:v>
                </c:pt>
                <c:pt idx="26">
                  <c:v>0.80525180853657952</c:v>
                </c:pt>
                <c:pt idx="27">
                  <c:v>0</c:v>
                </c:pt>
                <c:pt idx="28">
                  <c:v>0</c:v>
                </c:pt>
                <c:pt idx="29">
                  <c:v>0.82539553519773168</c:v>
                </c:pt>
                <c:pt idx="30">
                  <c:v>0</c:v>
                </c:pt>
                <c:pt idx="31">
                  <c:v>0.72418920663456798</c:v>
                </c:pt>
                <c:pt idx="32">
                  <c:v>0</c:v>
                </c:pt>
                <c:pt idx="33">
                  <c:v>0</c:v>
                </c:pt>
                <c:pt idx="34">
                  <c:v>0.82132184540060338</c:v>
                </c:pt>
                <c:pt idx="35">
                  <c:v>0</c:v>
                </c:pt>
                <c:pt idx="36">
                  <c:v>0</c:v>
                </c:pt>
                <c:pt idx="37">
                  <c:v>0.87816224951828126</c:v>
                </c:pt>
                <c:pt idx="38">
                  <c:v>0</c:v>
                </c:pt>
                <c:pt idx="39">
                  <c:v>0.91354884363629407</c:v>
                </c:pt>
                <c:pt idx="40">
                  <c:v>0</c:v>
                </c:pt>
                <c:pt idx="41">
                  <c:v>0</c:v>
                </c:pt>
                <c:pt idx="42">
                  <c:v>0.93422807881537862</c:v>
                </c:pt>
                <c:pt idx="43">
                  <c:v>0</c:v>
                </c:pt>
                <c:pt idx="44">
                  <c:v>0.81612454398102763</c:v>
                </c:pt>
                <c:pt idx="45">
                  <c:v>0</c:v>
                </c:pt>
                <c:pt idx="46">
                  <c:v>0</c:v>
                </c:pt>
                <c:pt idx="47">
                  <c:v>0.79578956427775671</c:v>
                </c:pt>
                <c:pt idx="48">
                  <c:v>0</c:v>
                </c:pt>
                <c:pt idx="49">
                  <c:v>0.860978163683916</c:v>
                </c:pt>
                <c:pt idx="50">
                  <c:v>0</c:v>
                </c:pt>
                <c:pt idx="51">
                  <c:v>0</c:v>
                </c:pt>
                <c:pt idx="52">
                  <c:v>1</c:v>
                </c:pt>
                <c:pt idx="53">
                  <c:v>0</c:v>
                </c:pt>
                <c:pt idx="54">
                  <c:v>0</c:v>
                </c:pt>
                <c:pt idx="55">
                  <c:v>0.88937445911249025</c:v>
                </c:pt>
                <c:pt idx="56">
                  <c:v>0</c:v>
                </c:pt>
                <c:pt idx="57">
                  <c:v>0.85554179596169189</c:v>
                </c:pt>
                <c:pt idx="58">
                  <c:v>0</c:v>
                </c:pt>
                <c:pt idx="59">
                  <c:v>0</c:v>
                </c:pt>
                <c:pt idx="60">
                  <c:v>0.94393417070290264</c:v>
                </c:pt>
                <c:pt idx="61">
                  <c:v>0</c:v>
                </c:pt>
                <c:pt idx="62">
                  <c:v>0.95714019326119903</c:v>
                </c:pt>
                <c:pt idx="63">
                  <c:v>0</c:v>
                </c:pt>
                <c:pt idx="64">
                  <c:v>0</c:v>
                </c:pt>
                <c:pt idx="65">
                  <c:v>0.8170951531697801</c:v>
                </c:pt>
                <c:pt idx="66">
                  <c:v>0</c:v>
                </c:pt>
                <c:pt idx="67">
                  <c:v>0.820786336882671</c:v>
                </c:pt>
                <c:pt idx="68">
                  <c:v>0</c:v>
                </c:pt>
                <c:pt idx="69">
                  <c:v>0</c:v>
                </c:pt>
                <c:pt idx="70">
                  <c:v>0.69496574179883042</c:v>
                </c:pt>
                <c:pt idx="71">
                  <c:v>0</c:v>
                </c:pt>
                <c:pt idx="72">
                  <c:v>0</c:v>
                </c:pt>
                <c:pt idx="73">
                  <c:v>0.67598865869460234</c:v>
                </c:pt>
                <c:pt idx="74">
                  <c:v>0</c:v>
                </c:pt>
                <c:pt idx="75">
                  <c:v>0.57603981888336897</c:v>
                </c:pt>
                <c:pt idx="76">
                  <c:v>0</c:v>
                </c:pt>
                <c:pt idx="77">
                  <c:v>0</c:v>
                </c:pt>
                <c:pt idx="78">
                  <c:v>0.54963255509282938</c:v>
                </c:pt>
                <c:pt idx="79">
                  <c:v>0</c:v>
                </c:pt>
                <c:pt idx="80">
                  <c:v>0.45672565229240675</c:v>
                </c:pt>
                <c:pt idx="81">
                  <c:v>0</c:v>
                </c:pt>
                <c:pt idx="82">
                  <c:v>0</c:v>
                </c:pt>
                <c:pt idx="83">
                  <c:v>0.3902728702778428</c:v>
                </c:pt>
                <c:pt idx="84">
                  <c:v>0</c:v>
                </c:pt>
                <c:pt idx="85">
                  <c:v>0</c:v>
                </c:pt>
                <c:pt idx="86">
                  <c:v>0.24256145199309576</c:v>
                </c:pt>
                <c:pt idx="87">
                  <c:v>0</c:v>
                </c:pt>
                <c:pt idx="88">
                  <c:v>0.26076443840934843</c:v>
                </c:pt>
                <c:pt idx="89">
                  <c:v>0</c:v>
                </c:pt>
                <c:pt idx="90">
                  <c:v>0</c:v>
                </c:pt>
                <c:pt idx="91">
                  <c:v>0.24581370997432428</c:v>
                </c:pt>
                <c:pt idx="92">
                  <c:v>0</c:v>
                </c:pt>
                <c:pt idx="93">
                  <c:v>0.15902164506304178</c:v>
                </c:pt>
                <c:pt idx="94">
                  <c:v>0</c:v>
                </c:pt>
                <c:pt idx="95">
                  <c:v>0</c:v>
                </c:pt>
                <c:pt idx="96">
                  <c:v>0.11538296031021243</c:v>
                </c:pt>
                <c:pt idx="97">
                  <c:v>0</c:v>
                </c:pt>
                <c:pt idx="98">
                  <c:v>0.13596417830521115</c:v>
                </c:pt>
                <c:pt idx="99">
                  <c:v>0</c:v>
                </c:pt>
                <c:pt idx="100">
                  <c:v>0</c:v>
                </c:pt>
                <c:pt idx="101">
                  <c:v>0.10101459738843971</c:v>
                </c:pt>
                <c:pt idx="102">
                  <c:v>0</c:v>
                </c:pt>
                <c:pt idx="103">
                  <c:v>0</c:v>
                </c:pt>
                <c:pt idx="104">
                  <c:v>8.2665780527571509E-2</c:v>
                </c:pt>
                <c:pt idx="105">
                  <c:v>0</c:v>
                </c:pt>
                <c:pt idx="106">
                  <c:v>0.10227686746642313</c:v>
                </c:pt>
                <c:pt idx="107">
                  <c:v>0</c:v>
                </c:pt>
                <c:pt idx="108">
                  <c:v>0</c:v>
                </c:pt>
                <c:pt idx="109">
                  <c:v>6.5142698676050811E-2</c:v>
                </c:pt>
                <c:pt idx="110">
                  <c:v>0</c:v>
                </c:pt>
                <c:pt idx="111">
                  <c:v>5.1744944943030495E-2</c:v>
                </c:pt>
                <c:pt idx="112">
                  <c:v>0</c:v>
                </c:pt>
                <c:pt idx="113">
                  <c:v>0</c:v>
                </c:pt>
                <c:pt idx="114">
                  <c:v>4.0192257120589818E-2</c:v>
                </c:pt>
                <c:pt idx="115">
                  <c:v>0</c:v>
                </c:pt>
                <c:pt idx="116">
                  <c:v>5.858941318785351E-2</c:v>
                </c:pt>
                <c:pt idx="117">
                  <c:v>0</c:v>
                </c:pt>
                <c:pt idx="118">
                  <c:v>0</c:v>
                </c:pt>
                <c:pt idx="119">
                  <c:v>4.3978493595413747E-2</c:v>
                </c:pt>
                <c:pt idx="120">
                  <c:v>0</c:v>
                </c:pt>
                <c:pt idx="121">
                  <c:v>0</c:v>
                </c:pt>
                <c:pt idx="122">
                  <c:v>2.8153977824209763E-2</c:v>
                </c:pt>
                <c:pt idx="123">
                  <c:v>0</c:v>
                </c:pt>
                <c:pt idx="124">
                  <c:v>3.208585349060708E-2</c:v>
                </c:pt>
                <c:pt idx="125">
                  <c:v>0</c:v>
                </c:pt>
                <c:pt idx="126">
                  <c:v>0</c:v>
                </c:pt>
                <c:pt idx="127">
                  <c:v>4.9269652445409207E-2</c:v>
                </c:pt>
                <c:pt idx="128">
                  <c:v>0</c:v>
                </c:pt>
                <c:pt idx="129">
                  <c:v>2.9027765160389581E-2</c:v>
                </c:pt>
                <c:pt idx="130">
                  <c:v>0</c:v>
                </c:pt>
                <c:pt idx="131">
                  <c:v>0</c:v>
                </c:pt>
                <c:pt idx="132">
                  <c:v>2.3057179878267435E-2</c:v>
                </c:pt>
                <c:pt idx="133">
                  <c:v>0</c:v>
                </c:pt>
                <c:pt idx="134">
                  <c:v>9.4170129143616669E-3</c:v>
                </c:pt>
                <c:pt idx="135">
                  <c:v>0</c:v>
                </c:pt>
                <c:pt idx="136">
                  <c:v>0</c:v>
                </c:pt>
                <c:pt idx="137">
                  <c:v>8.5918038508800022E-3</c:v>
                </c:pt>
                <c:pt idx="138">
                  <c:v>0</c:v>
                </c:pt>
                <c:pt idx="139">
                  <c:v>0</c:v>
                </c:pt>
                <c:pt idx="140">
                  <c:v>1.2620740436152562E-2</c:v>
                </c:pt>
                <c:pt idx="141">
                  <c:v>0</c:v>
                </c:pt>
                <c:pt idx="142">
                  <c:v>2.0387383036811427E-3</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1</c:v>
                </c:pt>
                <c:pt idx="4">
                  <c:v>0</c:v>
                </c:pt>
                <c:pt idx="5">
                  <c:v>0</c:v>
                </c:pt>
                <c:pt idx="6">
                  <c:v>0.65956982832889488</c:v>
                </c:pt>
                <c:pt idx="7">
                  <c:v>0</c:v>
                </c:pt>
                <c:pt idx="8">
                  <c:v>0.43818040466845148</c:v>
                </c:pt>
                <c:pt idx="9">
                  <c:v>0</c:v>
                </c:pt>
                <c:pt idx="10">
                  <c:v>0</c:v>
                </c:pt>
                <c:pt idx="11">
                  <c:v>0.30254702966100894</c:v>
                </c:pt>
                <c:pt idx="12">
                  <c:v>0</c:v>
                </c:pt>
                <c:pt idx="13">
                  <c:v>0.21886870840348016</c:v>
                </c:pt>
                <c:pt idx="14">
                  <c:v>0</c:v>
                </c:pt>
                <c:pt idx="15">
                  <c:v>0</c:v>
                </c:pt>
                <c:pt idx="16">
                  <c:v>0.16701331819529661</c:v>
                </c:pt>
                <c:pt idx="17">
                  <c:v>0</c:v>
                </c:pt>
                <c:pt idx="18">
                  <c:v>0</c:v>
                </c:pt>
                <c:pt idx="19">
                  <c:v>0.12993418257230685</c:v>
                </c:pt>
                <c:pt idx="20">
                  <c:v>0</c:v>
                </c:pt>
                <c:pt idx="21">
                  <c:v>0.10379717875814734</c:v>
                </c:pt>
                <c:pt idx="22">
                  <c:v>0</c:v>
                </c:pt>
                <c:pt idx="23">
                  <c:v>0</c:v>
                </c:pt>
                <c:pt idx="24">
                  <c:v>8.4039361600907164E-2</c:v>
                </c:pt>
                <c:pt idx="25">
                  <c:v>0</c:v>
                </c:pt>
                <c:pt idx="26">
                  <c:v>6.8764723853772733E-2</c:v>
                </c:pt>
                <c:pt idx="27">
                  <c:v>0</c:v>
                </c:pt>
                <c:pt idx="28">
                  <c:v>0</c:v>
                </c:pt>
                <c:pt idx="29">
                  <c:v>5.8573493996722494E-2</c:v>
                </c:pt>
                <c:pt idx="30">
                  <c:v>0</c:v>
                </c:pt>
                <c:pt idx="31">
                  <c:v>5.0032450649910798E-2</c:v>
                </c:pt>
                <c:pt idx="32">
                  <c:v>0</c:v>
                </c:pt>
                <c:pt idx="33">
                  <c:v>0</c:v>
                </c:pt>
                <c:pt idx="34">
                  <c:v>4.3332062884989433E-2</c:v>
                </c:pt>
                <c:pt idx="35">
                  <c:v>0</c:v>
                </c:pt>
                <c:pt idx="36">
                  <c:v>0</c:v>
                </c:pt>
                <c:pt idx="37">
                  <c:v>3.7635095861687423E-2</c:v>
                </c:pt>
                <c:pt idx="38">
                  <c:v>0</c:v>
                </c:pt>
                <c:pt idx="39">
                  <c:v>3.3052252909851428E-2</c:v>
                </c:pt>
                <c:pt idx="40">
                  <c:v>0</c:v>
                </c:pt>
                <c:pt idx="41">
                  <c:v>0</c:v>
                </c:pt>
                <c:pt idx="42">
                  <c:v>2.9450663852349773E-2</c:v>
                </c:pt>
                <c:pt idx="43">
                  <c:v>0</c:v>
                </c:pt>
                <c:pt idx="44">
                  <c:v>2.648477895758786E-2</c:v>
                </c:pt>
                <c:pt idx="45">
                  <c:v>0</c:v>
                </c:pt>
                <c:pt idx="46">
                  <c:v>0</c:v>
                </c:pt>
                <c:pt idx="47">
                  <c:v>2.3678360093147017E-2</c:v>
                </c:pt>
                <c:pt idx="48">
                  <c:v>0</c:v>
                </c:pt>
                <c:pt idx="49">
                  <c:v>2.0712475198385101E-2</c:v>
                </c:pt>
                <c:pt idx="50">
                  <c:v>0</c:v>
                </c:pt>
                <c:pt idx="51">
                  <c:v>0</c:v>
                </c:pt>
                <c:pt idx="52">
                  <c:v>1.850412485537823E-2</c:v>
                </c:pt>
                <c:pt idx="53">
                  <c:v>0</c:v>
                </c:pt>
                <c:pt idx="54">
                  <c:v>0</c:v>
                </c:pt>
                <c:pt idx="55">
                  <c:v>1.3502642665643674E-2</c:v>
                </c:pt>
                <c:pt idx="56">
                  <c:v>0</c:v>
                </c:pt>
                <c:pt idx="57">
                  <c:v>1.0964255020589097E-2</c:v>
                </c:pt>
                <c:pt idx="58">
                  <c:v>0</c:v>
                </c:pt>
                <c:pt idx="59">
                  <c:v>0</c:v>
                </c:pt>
                <c:pt idx="60">
                  <c:v>8.851139213408115E-3</c:v>
                </c:pt>
                <c:pt idx="61">
                  <c:v>0</c:v>
                </c:pt>
                <c:pt idx="62">
                  <c:v>6.5652703581929074E-3</c:v>
                </c:pt>
                <c:pt idx="63">
                  <c:v>0</c:v>
                </c:pt>
                <c:pt idx="64">
                  <c:v>0</c:v>
                </c:pt>
                <c:pt idx="65">
                  <c:v>5.092287719656057E-3</c:v>
                </c:pt>
                <c:pt idx="66">
                  <c:v>0</c:v>
                </c:pt>
                <c:pt idx="67">
                  <c:v>4.323691562021584E-3</c:v>
                </c:pt>
                <c:pt idx="68">
                  <c:v>0</c:v>
                </c:pt>
                <c:pt idx="69">
                  <c:v>0</c:v>
                </c:pt>
                <c:pt idx="70">
                  <c:v>3.7234194465169505E-3</c:v>
                </c:pt>
                <c:pt idx="71">
                  <c:v>0</c:v>
                </c:pt>
                <c:pt idx="72">
                  <c:v>0</c:v>
                </c:pt>
                <c:pt idx="73">
                  <c:v>2.7155915167562713E-3</c:v>
                </c:pt>
                <c:pt idx="74">
                  <c:v>0</c:v>
                </c:pt>
                <c:pt idx="75">
                  <c:v>1.9647113827393524E-3</c:v>
                </c:pt>
                <c:pt idx="76">
                  <c:v>0</c:v>
                </c:pt>
                <c:pt idx="77">
                  <c:v>0</c:v>
                </c:pt>
                <c:pt idx="78">
                  <c:v>1.7210506047087575E-3</c:v>
                </c:pt>
                <c:pt idx="79">
                  <c:v>0</c:v>
                </c:pt>
                <c:pt idx="80">
                  <c:v>1.0100315238313355E-3</c:v>
                </c:pt>
                <c:pt idx="81">
                  <c:v>0</c:v>
                </c:pt>
                <c:pt idx="82">
                  <c:v>0</c:v>
                </c:pt>
                <c:pt idx="83">
                  <c:v>8.4613648760588508E-4</c:v>
                </c:pt>
                <c:pt idx="84">
                  <c:v>0</c:v>
                </c:pt>
                <c:pt idx="85">
                  <c:v>0</c:v>
                </c:pt>
                <c:pt idx="86">
                  <c:v>7.9076300491949102E-4</c:v>
                </c:pt>
                <c:pt idx="87">
                  <c:v>0</c:v>
                </c:pt>
                <c:pt idx="88">
                  <c:v>5.5818565053140543E-4</c:v>
                </c:pt>
                <c:pt idx="89">
                  <c:v>0</c:v>
                </c:pt>
                <c:pt idx="90">
                  <c:v>0</c:v>
                </c:pt>
                <c:pt idx="91">
                  <c:v>5.0944476782005619E-4</c:v>
                </c:pt>
                <c:pt idx="92">
                  <c:v>0</c:v>
                </c:pt>
                <c:pt idx="93">
                  <c:v>2.9237984297886819E-4</c:v>
                </c:pt>
                <c:pt idx="94">
                  <c:v>0</c:v>
                </c:pt>
                <c:pt idx="95">
                  <c:v>0</c:v>
                </c:pt>
                <c:pt idx="96">
                  <c:v>2.4586437210125111E-4</c:v>
                </c:pt>
                <c:pt idx="97">
                  <c:v>0</c:v>
                </c:pt>
                <c:pt idx="98">
                  <c:v>1.5948784808413749E-4</c:v>
                </c:pt>
                <c:pt idx="99">
                  <c:v>0</c:v>
                </c:pt>
                <c:pt idx="100">
                  <c:v>0</c:v>
                </c:pt>
                <c:pt idx="101">
                  <c:v>1.3511740672846287E-4</c:v>
                </c:pt>
                <c:pt idx="102">
                  <c:v>0</c:v>
                </c:pt>
                <c:pt idx="103">
                  <c:v>0</c:v>
                </c:pt>
                <c:pt idx="104">
                  <c:v>1.4175000670350771E-4</c:v>
                </c:pt>
                <c:pt idx="105">
                  <c:v>0</c:v>
                </c:pt>
                <c:pt idx="106">
                  <c:v>1.3511740672846287E-4</c:v>
                </c:pt>
                <c:pt idx="107">
                  <c:v>0</c:v>
                </c:pt>
                <c:pt idx="108">
                  <c:v>0</c:v>
                </c:pt>
                <c:pt idx="109">
                  <c:v>1.6169144215479384E-4</c:v>
                </c:pt>
                <c:pt idx="110">
                  <c:v>0</c:v>
                </c:pt>
                <c:pt idx="111">
                  <c:v>1.1517597127717672E-4</c:v>
                </c:pt>
                <c:pt idx="112">
                  <c:v>0</c:v>
                </c:pt>
                <c:pt idx="113">
                  <c:v>0</c:v>
                </c:pt>
                <c:pt idx="114">
                  <c:v>1.5283343034601686E-4</c:v>
                </c:pt>
                <c:pt idx="115">
                  <c:v>0</c:v>
                </c:pt>
                <c:pt idx="116">
                  <c:v>1.0411436539774339E-4</c:v>
                </c:pt>
                <c:pt idx="117">
                  <c:v>0</c:v>
                </c:pt>
                <c:pt idx="118">
                  <c:v>0</c:v>
                </c:pt>
                <c:pt idx="119">
                  <c:v>8.8601935850845753E-5</c:v>
                </c:pt>
                <c:pt idx="120">
                  <c:v>0</c:v>
                </c:pt>
                <c:pt idx="121">
                  <c:v>0</c:v>
                </c:pt>
                <c:pt idx="122">
                  <c:v>6.2027900424514769E-5</c:v>
                </c:pt>
                <c:pt idx="123">
                  <c:v>0</c:v>
                </c:pt>
                <c:pt idx="124">
                  <c:v>9.3030941755234257E-5</c:v>
                </c:pt>
                <c:pt idx="125">
                  <c:v>0</c:v>
                </c:pt>
                <c:pt idx="126">
                  <c:v>0</c:v>
                </c:pt>
                <c:pt idx="127">
                  <c:v>1.1517597127717672E-4</c:v>
                </c:pt>
                <c:pt idx="128">
                  <c:v>0</c:v>
                </c:pt>
                <c:pt idx="129">
                  <c:v>1.1297237720652039E-4</c:v>
                </c:pt>
                <c:pt idx="130">
                  <c:v>0</c:v>
                </c:pt>
                <c:pt idx="131">
                  <c:v>0</c:v>
                </c:pt>
                <c:pt idx="132">
                  <c:v>5.0944476782005612E-5</c:v>
                </c:pt>
                <c:pt idx="133">
                  <c:v>0</c:v>
                </c:pt>
                <c:pt idx="134">
                  <c:v>3.1003041330719481E-5</c:v>
                </c:pt>
                <c:pt idx="135">
                  <c:v>0</c:v>
                </c:pt>
                <c:pt idx="136">
                  <c:v>0</c:v>
                </c:pt>
                <c:pt idx="137">
                  <c:v>2.4370441355674635E-5</c:v>
                </c:pt>
                <c:pt idx="138">
                  <c:v>0</c:v>
                </c:pt>
                <c:pt idx="139">
                  <c:v>0</c:v>
                </c:pt>
                <c:pt idx="140">
                  <c:v>1.1083423642509145E-5</c:v>
                </c:pt>
                <c:pt idx="141">
                  <c:v>0</c:v>
                </c:pt>
                <c:pt idx="142">
                  <c:v>2.2254118337321511E-6</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(51.7 , 7.9)
나른한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51.667101582259555</c:v>
                </c:pt>
              </c:numCache>
            </c:numRef>
          </c:xVal>
          <c:yVal>
            <c:numRef>
              <c:f>info!$W$20:$W$21</c:f>
              <c:numCache>
                <c:formatCode>General</c:formatCode>
                <c:ptCount val="2"/>
                <c:pt idx="0">
                  <c:v>50</c:v>
                </c:pt>
                <c:pt idx="1">
                  <c:v>7.9100323359193352</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(68.4 , 75.3)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68.367400000000004</c:v>
                      </c:pt>
                    </c:numCache>
                  </c:numRef>
                </c:xVal>
                <c:yVal>
                  <c:numRef>
                    <c:extLst>
                      <c:ext uri="{02D57815-91ED-43cb-92C2-25804820EDAC}">
                        <c15:formulaRef>
                          <c15:sqref>info!$W$18</c15:sqref>
                        </c15:formulaRef>
                      </c:ext>
                    </c:extLst>
                    <c:numCache>
                      <c:formatCode>General</c:formatCode>
                      <c:ptCount val="1"/>
                      <c:pt idx="0">
                        <c:v>24.668500000000009</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(51.7 , 7.9)
나른한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51.667101582259555</c:v>
                </c:pt>
              </c:numCache>
            </c:numRef>
          </c:xVal>
          <c:yVal>
            <c:numRef>
              <c:f>info!$W$20:$W$21</c:f>
              <c:numCache>
                <c:formatCode>General</c:formatCode>
                <c:ptCount val="2"/>
                <c:pt idx="0">
                  <c:v>50</c:v>
                </c:pt>
                <c:pt idx="1">
                  <c:v>7.9100323359193352</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(68.4 , 75.3)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68.367400000000004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24.668500000000009</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24.363700000000001</c:v>
                </c:pt>
                <c:pt idx="1">
                  <c:v>30.6387</c:v>
                </c:pt>
                <c:pt idx="2">
                  <c:v>36.938099999999999</c:v>
                </c:pt>
                <c:pt idx="3">
                  <c:v>28.286799999999999</c:v>
                </c:pt>
                <c:pt idx="4">
                  <c:v>71.840400000000002</c:v>
                </c:pt>
                <c:pt idx="5">
                  <c:v>69.118899999999996</c:v>
                </c:pt>
                <c:pt idx="6">
                  <c:v>8.7564200000000003</c:v>
                </c:pt>
                <c:pt idx="7">
                  <c:v>64.744399999999999</c:v>
                </c:pt>
                <c:pt idx="8">
                  <c:v>15.895200000000001</c:v>
                </c:pt>
                <c:pt idx="9">
                  <c:v>11.2523</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0.55133627889918513</c:v>
                </c:pt>
                <c:pt idx="1">
                  <c:v>0.30908157751705079</c:v>
                </c:pt>
                <c:pt idx="2">
                  <c:v>0.13958214358376403</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0.55395487384471198</c:v>
                </c:pt>
                <c:pt idx="7">
                  <c:v>0</c:v>
                </c:pt>
                <c:pt idx="8">
                  <c:v>0.62370963963145531</c:v>
                </c:pt>
                <c:pt idx="9">
                  <c:v>0</c:v>
                </c:pt>
                <c:pt idx="10">
                  <c:v>0</c:v>
                </c:pt>
                <c:pt idx="11">
                  <c:v>0.74569082989476299</c:v>
                </c:pt>
                <c:pt idx="12">
                  <c:v>0</c:v>
                </c:pt>
                <c:pt idx="13">
                  <c:v>0.96742960692718516</c:v>
                </c:pt>
                <c:pt idx="14">
                  <c:v>0</c:v>
                </c:pt>
                <c:pt idx="15">
                  <c:v>0</c:v>
                </c:pt>
                <c:pt idx="16">
                  <c:v>0.95917703815976307</c:v>
                </c:pt>
                <c:pt idx="17">
                  <c:v>0</c:v>
                </c:pt>
                <c:pt idx="18">
                  <c:v>0</c:v>
                </c:pt>
                <c:pt idx="19">
                  <c:v>0.89694807958039069</c:v>
                </c:pt>
                <c:pt idx="20">
                  <c:v>0</c:v>
                </c:pt>
                <c:pt idx="21">
                  <c:v>0.77020468856832747</c:v>
                </c:pt>
                <c:pt idx="22">
                  <c:v>0</c:v>
                </c:pt>
                <c:pt idx="23">
                  <c:v>0</c:v>
                </c:pt>
                <c:pt idx="24">
                  <c:v>0.72923828694650172</c:v>
                </c:pt>
                <c:pt idx="25">
                  <c:v>0</c:v>
                </c:pt>
                <c:pt idx="26">
                  <c:v>0.80525180853657952</c:v>
                </c:pt>
                <c:pt idx="27">
                  <c:v>0</c:v>
                </c:pt>
                <c:pt idx="28">
                  <c:v>0</c:v>
                </c:pt>
                <c:pt idx="29">
                  <c:v>0.82539553519773168</c:v>
                </c:pt>
                <c:pt idx="30">
                  <c:v>0</c:v>
                </c:pt>
                <c:pt idx="31">
                  <c:v>0.72418920663456798</c:v>
                </c:pt>
                <c:pt idx="32">
                  <c:v>0</c:v>
                </c:pt>
                <c:pt idx="33">
                  <c:v>0</c:v>
                </c:pt>
                <c:pt idx="34">
                  <c:v>0.82132184540060338</c:v>
                </c:pt>
                <c:pt idx="35">
                  <c:v>0</c:v>
                </c:pt>
                <c:pt idx="36">
                  <c:v>0</c:v>
                </c:pt>
                <c:pt idx="37">
                  <c:v>0.87816224951828126</c:v>
                </c:pt>
                <c:pt idx="38">
                  <c:v>0</c:v>
                </c:pt>
                <c:pt idx="39">
                  <c:v>0.91354884363629407</c:v>
                </c:pt>
                <c:pt idx="40">
                  <c:v>0</c:v>
                </c:pt>
                <c:pt idx="41">
                  <c:v>0</c:v>
                </c:pt>
                <c:pt idx="42">
                  <c:v>0.93422807881537862</c:v>
                </c:pt>
                <c:pt idx="43">
                  <c:v>0</c:v>
                </c:pt>
                <c:pt idx="44">
                  <c:v>0.81612454398102763</c:v>
                </c:pt>
                <c:pt idx="45">
                  <c:v>0</c:v>
                </c:pt>
                <c:pt idx="46">
                  <c:v>0</c:v>
                </c:pt>
                <c:pt idx="47">
                  <c:v>0.79578956427775671</c:v>
                </c:pt>
                <c:pt idx="48">
                  <c:v>0</c:v>
                </c:pt>
                <c:pt idx="49">
                  <c:v>0.860978163683916</c:v>
                </c:pt>
                <c:pt idx="50">
                  <c:v>0</c:v>
                </c:pt>
                <c:pt idx="51">
                  <c:v>0</c:v>
                </c:pt>
                <c:pt idx="52">
                  <c:v>1</c:v>
                </c:pt>
                <c:pt idx="53">
                  <c:v>0</c:v>
                </c:pt>
                <c:pt idx="54">
                  <c:v>0</c:v>
                </c:pt>
                <c:pt idx="55">
                  <c:v>0.88937445911249025</c:v>
                </c:pt>
                <c:pt idx="56">
                  <c:v>0</c:v>
                </c:pt>
                <c:pt idx="57">
                  <c:v>0.85554179596169189</c:v>
                </c:pt>
                <c:pt idx="58">
                  <c:v>0</c:v>
                </c:pt>
                <c:pt idx="59">
                  <c:v>0</c:v>
                </c:pt>
                <c:pt idx="60">
                  <c:v>0.94393417070290264</c:v>
                </c:pt>
                <c:pt idx="61">
                  <c:v>0</c:v>
                </c:pt>
                <c:pt idx="62">
                  <c:v>0.95714019326119903</c:v>
                </c:pt>
                <c:pt idx="63">
                  <c:v>0</c:v>
                </c:pt>
                <c:pt idx="64">
                  <c:v>0</c:v>
                </c:pt>
                <c:pt idx="65">
                  <c:v>0.8170951531697801</c:v>
                </c:pt>
                <c:pt idx="66">
                  <c:v>0</c:v>
                </c:pt>
                <c:pt idx="67">
                  <c:v>0.820786336882671</c:v>
                </c:pt>
                <c:pt idx="68">
                  <c:v>0</c:v>
                </c:pt>
                <c:pt idx="69">
                  <c:v>0</c:v>
                </c:pt>
                <c:pt idx="70">
                  <c:v>0.69496574179883042</c:v>
                </c:pt>
                <c:pt idx="71">
                  <c:v>0</c:v>
                </c:pt>
                <c:pt idx="72">
                  <c:v>0</c:v>
                </c:pt>
                <c:pt idx="73">
                  <c:v>0.67598865869460234</c:v>
                </c:pt>
                <c:pt idx="74">
                  <c:v>0</c:v>
                </c:pt>
                <c:pt idx="75">
                  <c:v>0.57603981888336897</c:v>
                </c:pt>
                <c:pt idx="76">
                  <c:v>0</c:v>
                </c:pt>
                <c:pt idx="77">
                  <c:v>0</c:v>
                </c:pt>
                <c:pt idx="78">
                  <c:v>0.54963255509282938</c:v>
                </c:pt>
                <c:pt idx="79">
                  <c:v>0</c:v>
                </c:pt>
                <c:pt idx="80">
                  <c:v>0.45672565229240675</c:v>
                </c:pt>
                <c:pt idx="81">
                  <c:v>0</c:v>
                </c:pt>
                <c:pt idx="82">
                  <c:v>0</c:v>
                </c:pt>
                <c:pt idx="83">
                  <c:v>0.3902728702778428</c:v>
                </c:pt>
                <c:pt idx="84">
                  <c:v>0</c:v>
                </c:pt>
                <c:pt idx="85">
                  <c:v>0</c:v>
                </c:pt>
                <c:pt idx="86">
                  <c:v>0.24256145199309576</c:v>
                </c:pt>
                <c:pt idx="87">
                  <c:v>0</c:v>
                </c:pt>
                <c:pt idx="88">
                  <c:v>0.26076443840934843</c:v>
                </c:pt>
                <c:pt idx="89">
                  <c:v>0</c:v>
                </c:pt>
                <c:pt idx="90">
                  <c:v>0</c:v>
                </c:pt>
                <c:pt idx="91">
                  <c:v>0.24581370997432428</c:v>
                </c:pt>
                <c:pt idx="92">
                  <c:v>0</c:v>
                </c:pt>
                <c:pt idx="93">
                  <c:v>0.15902164506304178</c:v>
                </c:pt>
                <c:pt idx="94">
                  <c:v>0</c:v>
                </c:pt>
                <c:pt idx="95">
                  <c:v>0</c:v>
                </c:pt>
                <c:pt idx="96">
                  <c:v>0.11538296031021243</c:v>
                </c:pt>
                <c:pt idx="97">
                  <c:v>0</c:v>
                </c:pt>
                <c:pt idx="98">
                  <c:v>0.13596417830521115</c:v>
                </c:pt>
                <c:pt idx="99">
                  <c:v>0</c:v>
                </c:pt>
                <c:pt idx="100">
                  <c:v>0</c:v>
                </c:pt>
                <c:pt idx="101">
                  <c:v>0.10101459738843971</c:v>
                </c:pt>
                <c:pt idx="102">
                  <c:v>0</c:v>
                </c:pt>
                <c:pt idx="103">
                  <c:v>0</c:v>
                </c:pt>
                <c:pt idx="104">
                  <c:v>8.2665780527571509E-2</c:v>
                </c:pt>
                <c:pt idx="105">
                  <c:v>0</c:v>
                </c:pt>
                <c:pt idx="106">
                  <c:v>0.10227686746642313</c:v>
                </c:pt>
                <c:pt idx="107">
                  <c:v>0</c:v>
                </c:pt>
                <c:pt idx="108">
                  <c:v>0</c:v>
                </c:pt>
                <c:pt idx="109">
                  <c:v>6.5142698676050811E-2</c:v>
                </c:pt>
                <c:pt idx="110">
                  <c:v>0</c:v>
                </c:pt>
                <c:pt idx="111">
                  <c:v>5.1744944943030495E-2</c:v>
                </c:pt>
                <c:pt idx="112">
                  <c:v>0</c:v>
                </c:pt>
                <c:pt idx="113">
                  <c:v>0</c:v>
                </c:pt>
                <c:pt idx="114">
                  <c:v>4.0192257120589818E-2</c:v>
                </c:pt>
                <c:pt idx="115">
                  <c:v>0</c:v>
                </c:pt>
                <c:pt idx="116">
                  <c:v>5.858941318785351E-2</c:v>
                </c:pt>
                <c:pt idx="117">
                  <c:v>0</c:v>
                </c:pt>
                <c:pt idx="118">
                  <c:v>0</c:v>
                </c:pt>
                <c:pt idx="119">
                  <c:v>4.3978493595413747E-2</c:v>
                </c:pt>
                <c:pt idx="120">
                  <c:v>0</c:v>
                </c:pt>
                <c:pt idx="121">
                  <c:v>0</c:v>
                </c:pt>
                <c:pt idx="122">
                  <c:v>2.8153977824209763E-2</c:v>
                </c:pt>
                <c:pt idx="123">
                  <c:v>0</c:v>
                </c:pt>
                <c:pt idx="124">
                  <c:v>3.208585349060708E-2</c:v>
                </c:pt>
                <c:pt idx="125">
                  <c:v>0</c:v>
                </c:pt>
                <c:pt idx="126">
                  <c:v>0</c:v>
                </c:pt>
                <c:pt idx="127">
                  <c:v>4.9269652445409207E-2</c:v>
                </c:pt>
                <c:pt idx="128">
                  <c:v>0</c:v>
                </c:pt>
                <c:pt idx="129">
                  <c:v>2.9027765160389581E-2</c:v>
                </c:pt>
                <c:pt idx="130">
                  <c:v>0</c:v>
                </c:pt>
                <c:pt idx="131">
                  <c:v>0</c:v>
                </c:pt>
                <c:pt idx="132">
                  <c:v>2.3057179878267435E-2</c:v>
                </c:pt>
                <c:pt idx="133">
                  <c:v>0</c:v>
                </c:pt>
                <c:pt idx="134">
                  <c:v>9.4170129143616669E-3</c:v>
                </c:pt>
                <c:pt idx="135">
                  <c:v>0</c:v>
                </c:pt>
                <c:pt idx="136">
                  <c:v>0</c:v>
                </c:pt>
                <c:pt idx="137">
                  <c:v>8.5918038508800022E-3</c:v>
                </c:pt>
                <c:pt idx="138">
                  <c:v>0</c:v>
                </c:pt>
                <c:pt idx="139">
                  <c:v>0</c:v>
                </c:pt>
                <c:pt idx="140">
                  <c:v>1.2620740436152562E-2</c:v>
                </c:pt>
                <c:pt idx="141">
                  <c:v>0</c:v>
                </c:pt>
                <c:pt idx="142">
                  <c:v>2.0387383036811427E-3</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99"/>
                <c:pt idx="0">
                  <c:v>2.5600399999999999</c:v>
                </c:pt>
                <c:pt idx="1">
                  <c:v>2.5489600000000001</c:v>
                </c:pt>
                <c:pt idx="2">
                  <c:v>2.5406400000000002</c:v>
                </c:pt>
                <c:pt idx="3">
                  <c:v>2.5351800000000004</c:v>
                </c:pt>
                <c:pt idx="4">
                  <c:v>2.53193</c:v>
                </c:pt>
                <c:pt idx="5">
                  <c:v>2.5286999999999997</c:v>
                </c:pt>
                <c:pt idx="6">
                  <c:v>2.5252599999999998</c:v>
                </c:pt>
                <c:pt idx="7">
                  <c:v>2.52156</c:v>
                </c:pt>
                <c:pt idx="8">
                  <c:v>2.5175999999999998</c:v>
                </c:pt>
                <c:pt idx="9">
                  <c:v>2.5121199999999999</c:v>
                </c:pt>
                <c:pt idx="10">
                  <c:v>2.5028600000000001</c:v>
                </c:pt>
                <c:pt idx="11">
                  <c:v>2.49125</c:v>
                </c:pt>
                <c:pt idx="12">
                  <c:v>2.4798899999999997</c:v>
                </c:pt>
                <c:pt idx="13">
                  <c:v>2.4689199999999998</c:v>
                </c:pt>
                <c:pt idx="14">
                  <c:v>2.45932</c:v>
                </c:pt>
                <c:pt idx="15">
                  <c:v>2.4466399999999999</c:v>
                </c:pt>
                <c:pt idx="16">
                  <c:v>2.4329200000000002</c:v>
                </c:pt>
                <c:pt idx="17">
                  <c:v>2.4179500000000003</c:v>
                </c:pt>
                <c:pt idx="18">
                  <c:v>2.4021699999999999</c:v>
                </c:pt>
                <c:pt idx="19">
                  <c:v>2.3853299999999997</c:v>
                </c:pt>
                <c:pt idx="20">
                  <c:v>2.3685999999999998</c:v>
                </c:pt>
                <c:pt idx="21">
                  <c:v>2.3512399999999998</c:v>
                </c:pt>
                <c:pt idx="22">
                  <c:v>2.3313299999999999</c:v>
                </c:pt>
                <c:pt idx="23">
                  <c:v>2.3102300000000002</c:v>
                </c:pt>
                <c:pt idx="24">
                  <c:v>2.2881499999999999</c:v>
                </c:pt>
                <c:pt idx="25">
                  <c:v>2.2649400000000002</c:v>
                </c:pt>
                <c:pt idx="26">
                  <c:v>2.2392799999999999</c:v>
                </c:pt>
                <c:pt idx="27">
                  <c:v>2.2104499999999998</c:v>
                </c:pt>
                <c:pt idx="28">
                  <c:v>2.1774299999999998</c:v>
                </c:pt>
                <c:pt idx="29">
                  <c:v>2.1398000000000001</c:v>
                </c:pt>
                <c:pt idx="30">
                  <c:v>2.0978599999999998</c:v>
                </c:pt>
                <c:pt idx="31">
                  <c:v>2.0508000000000002</c:v>
                </c:pt>
                <c:pt idx="32">
                  <c:v>1.9977200000000002</c:v>
                </c:pt>
                <c:pt idx="33">
                  <c:v>1.9386999999999999</c:v>
                </c:pt>
                <c:pt idx="34">
                  <c:v>1.8747400000000001</c:v>
                </c:pt>
                <c:pt idx="35">
                  <c:v>1.8189500000000001</c:v>
                </c:pt>
                <c:pt idx="36">
                  <c:v>1.78088</c:v>
                </c:pt>
                <c:pt idx="37">
                  <c:v>1.7589399999999999</c:v>
                </c:pt>
                <c:pt idx="38">
                  <c:v>1.7475799999999999</c:v>
                </c:pt>
                <c:pt idx="39">
                  <c:v>1.7401900000000001</c:v>
                </c:pt>
                <c:pt idx="40">
                  <c:v>1.7343600000000001</c:v>
                </c:pt>
                <c:pt idx="41">
                  <c:v>1.7314699999999998</c:v>
                </c:pt>
                <c:pt idx="42">
                  <c:v>1.73281</c:v>
                </c:pt>
                <c:pt idx="43">
                  <c:v>1.73891</c:v>
                </c:pt>
                <c:pt idx="44">
                  <c:v>1.7462</c:v>
                </c:pt>
                <c:pt idx="45">
                  <c:v>1.7543900000000001</c:v>
                </c:pt>
                <c:pt idx="46">
                  <c:v>1.7625599999999999</c:v>
                </c:pt>
                <c:pt idx="47">
                  <c:v>1.7731300000000001</c:v>
                </c:pt>
                <c:pt idx="48">
                  <c:v>1.78234</c:v>
                </c:pt>
                <c:pt idx="49">
                  <c:v>1.7923</c:v>
                </c:pt>
                <c:pt idx="50">
                  <c:v>1.8016699999999999</c:v>
                </c:pt>
                <c:pt idx="51">
                  <c:v>1.8092299999999999</c:v>
                </c:pt>
                <c:pt idx="52">
                  <c:v>1.81748</c:v>
                </c:pt>
                <c:pt idx="53">
                  <c:v>1.8259800000000002</c:v>
                </c:pt>
                <c:pt idx="54">
                  <c:v>1.8332499999999998</c:v>
                </c:pt>
                <c:pt idx="55">
                  <c:v>1.8349899999999999</c:v>
                </c:pt>
                <c:pt idx="56">
                  <c:v>1.8358300000000001</c:v>
                </c:pt>
                <c:pt idx="57">
                  <c:v>1.8356700000000001</c:v>
                </c:pt>
                <c:pt idx="58">
                  <c:v>1.8340999999999998</c:v>
                </c:pt>
                <c:pt idx="59">
                  <c:v>1.8338199999999998</c:v>
                </c:pt>
                <c:pt idx="60">
                  <c:v>1.83249</c:v>
                </c:pt>
                <c:pt idx="61">
                  <c:v>1.8306900000000002</c:v>
                </c:pt>
                <c:pt idx="62">
                  <c:v>1.82901</c:v>
                </c:pt>
                <c:pt idx="63">
                  <c:v>1.82717</c:v>
                </c:pt>
                <c:pt idx="64">
                  <c:v>1.8238099999999999</c:v>
                </c:pt>
                <c:pt idx="65">
                  <c:v>1.8182200000000002</c:v>
                </c:pt>
                <c:pt idx="66">
                  <c:v>1.8139099999999999</c:v>
                </c:pt>
                <c:pt idx="67">
                  <c:v>1.8092299999999999</c:v>
                </c:pt>
                <c:pt idx="68">
                  <c:v>1.8032500000000002</c:v>
                </c:pt>
                <c:pt idx="69">
                  <c:v>1.79752</c:v>
                </c:pt>
                <c:pt idx="70">
                  <c:v>1.7911600000000001</c:v>
                </c:pt>
                <c:pt idx="71">
                  <c:v>1.78392</c:v>
                </c:pt>
                <c:pt idx="72">
                  <c:v>1.7767299999999999</c:v>
                </c:pt>
                <c:pt idx="73">
                  <c:v>1.7686099999999998</c:v>
                </c:pt>
                <c:pt idx="74">
                  <c:v>1.75987</c:v>
                </c:pt>
                <c:pt idx="75">
                  <c:v>1.7519100000000001</c:v>
                </c:pt>
                <c:pt idx="76">
                  <c:v>1.74474</c:v>
                </c:pt>
                <c:pt idx="77">
                  <c:v>1.7357400000000001</c:v>
                </c:pt>
                <c:pt idx="78">
                  <c:v>1.72482</c:v>
                </c:pt>
                <c:pt idx="79">
                  <c:v>1.71387</c:v>
                </c:pt>
                <c:pt idx="80">
                  <c:v>1.7116899999999999</c:v>
                </c:pt>
                <c:pt idx="81">
                  <c:v>1.7100499999999998</c:v>
                </c:pt>
                <c:pt idx="82">
                  <c:v>1.70964</c:v>
                </c:pt>
                <c:pt idx="83">
                  <c:v>1.7098100000000001</c:v>
                </c:pt>
                <c:pt idx="84">
                  <c:v>1.70913</c:v>
                </c:pt>
                <c:pt idx="85">
                  <c:v>1.70905</c:v>
                </c:pt>
                <c:pt idx="86">
                  <c:v>1.7103299999999999</c:v>
                </c:pt>
                <c:pt idx="87">
                  <c:v>1.71149</c:v>
                </c:pt>
                <c:pt idx="88">
                  <c:v>1.7126700000000001</c:v>
                </c:pt>
                <c:pt idx="89">
                  <c:v>1.7158799999999998</c:v>
                </c:pt>
                <c:pt idx="90">
                  <c:v>1.7207300000000001</c:v>
                </c:pt>
                <c:pt idx="91">
                  <c:v>1.7220299999999999</c:v>
                </c:pt>
                <c:pt idx="92">
                  <c:v>1.7212700000000001</c:v>
                </c:pt>
                <c:pt idx="93">
                  <c:v>1.71956</c:v>
                </c:pt>
                <c:pt idx="94">
                  <c:v>1.7141700000000002</c:v>
                </c:pt>
                <c:pt idx="95">
                  <c:v>1.7100199999999999</c:v>
                </c:pt>
                <c:pt idx="96">
                  <c:v>1.7104600000000001</c:v>
                </c:pt>
                <c:pt idx="97">
                  <c:v>1.7065700000000001</c:v>
                </c:pt>
                <c:pt idx="98">
                  <c:v>1.6955999999999998</c:v>
                </c:pt>
              </c:numCache>
              <c:extLst xmlns:c15="http://schemas.microsoft.com/office/drawing/2012/chart"/>
            </c:numRef>
          </c:xVal>
          <c:yVal>
            <c:numRef>
              <c:f>[0]!FT_PH</c:f>
              <c:numCache>
                <c:formatCode>0.00</c:formatCode>
                <c:ptCount val="99"/>
                <c:pt idx="0">
                  <c:v>69.731200000000001</c:v>
                </c:pt>
                <c:pt idx="1">
                  <c:v>69.67</c:v>
                </c:pt>
                <c:pt idx="2">
                  <c:v>69.454400000000007</c:v>
                </c:pt>
                <c:pt idx="3">
                  <c:v>69.144300000000001</c:v>
                </c:pt>
                <c:pt idx="4">
                  <c:v>68.778399999999991</c:v>
                </c:pt>
                <c:pt idx="5">
                  <c:v>68.36569999999999</c:v>
                </c:pt>
                <c:pt idx="6">
                  <c:v>67.924499999999995</c:v>
                </c:pt>
                <c:pt idx="7">
                  <c:v>67.441199999999995</c:v>
                </c:pt>
                <c:pt idx="8">
                  <c:v>66.912899999999993</c:v>
                </c:pt>
                <c:pt idx="9">
                  <c:v>66.360900000000001</c:v>
                </c:pt>
                <c:pt idx="10">
                  <c:v>65.812200000000004</c:v>
                </c:pt>
                <c:pt idx="11">
                  <c:v>65.241</c:v>
                </c:pt>
                <c:pt idx="12">
                  <c:v>64.645099999999999</c:v>
                </c:pt>
                <c:pt idx="13">
                  <c:v>64.008299999999991</c:v>
                </c:pt>
                <c:pt idx="14">
                  <c:v>63.476100000000002</c:v>
                </c:pt>
                <c:pt idx="15">
                  <c:v>62.903200000000005</c:v>
                </c:pt>
                <c:pt idx="16">
                  <c:v>62.314</c:v>
                </c:pt>
                <c:pt idx="17">
                  <c:v>61.698099999999997</c:v>
                </c:pt>
                <c:pt idx="18">
                  <c:v>61.043499999999995</c:v>
                </c:pt>
                <c:pt idx="19">
                  <c:v>60.388399999999997</c:v>
                </c:pt>
                <c:pt idx="20">
                  <c:v>59.738500000000002</c:v>
                </c:pt>
                <c:pt idx="21">
                  <c:v>59.088499999999996</c:v>
                </c:pt>
                <c:pt idx="22">
                  <c:v>58.386099999999999</c:v>
                </c:pt>
                <c:pt idx="23">
                  <c:v>57.710099999999997</c:v>
                </c:pt>
                <c:pt idx="24">
                  <c:v>57.032299999999999</c:v>
                </c:pt>
                <c:pt idx="25">
                  <c:v>56.364499999999992</c:v>
                </c:pt>
                <c:pt idx="26">
                  <c:v>55.7134</c:v>
                </c:pt>
                <c:pt idx="27">
                  <c:v>55.082299999999996</c:v>
                </c:pt>
                <c:pt idx="28">
                  <c:v>54.505800000000008</c:v>
                </c:pt>
                <c:pt idx="29">
                  <c:v>53.978000000000002</c:v>
                </c:pt>
                <c:pt idx="30">
                  <c:v>53.543099999999995</c:v>
                </c:pt>
                <c:pt idx="31">
                  <c:v>53.219899999999996</c:v>
                </c:pt>
                <c:pt idx="32">
                  <c:v>53.061999999999998</c:v>
                </c:pt>
                <c:pt idx="33">
                  <c:v>53.136300000000006</c:v>
                </c:pt>
                <c:pt idx="34">
                  <c:v>53.4285</c:v>
                </c:pt>
                <c:pt idx="35">
                  <c:v>53.689200000000007</c:v>
                </c:pt>
                <c:pt idx="36">
                  <c:v>53.729700000000001</c:v>
                </c:pt>
                <c:pt idx="37">
                  <c:v>53.611899999999999</c:v>
                </c:pt>
                <c:pt idx="38">
                  <c:v>53.564799999999998</c:v>
                </c:pt>
                <c:pt idx="39">
                  <c:v>53.435500000000005</c:v>
                </c:pt>
                <c:pt idx="40">
                  <c:v>53.121799999999993</c:v>
                </c:pt>
                <c:pt idx="41">
                  <c:v>52.786000000000001</c:v>
                </c:pt>
                <c:pt idx="42">
                  <c:v>52.433300000000003</c:v>
                </c:pt>
                <c:pt idx="43">
                  <c:v>52.035299999999992</c:v>
                </c:pt>
                <c:pt idx="44">
                  <c:v>51.642999999999994</c:v>
                </c:pt>
                <c:pt idx="45">
                  <c:v>51.305199999999992</c:v>
                </c:pt>
                <c:pt idx="46">
                  <c:v>51.012199999999993</c:v>
                </c:pt>
                <c:pt idx="47">
                  <c:v>50.729100000000003</c:v>
                </c:pt>
                <c:pt idx="48">
                  <c:v>50.448300000000003</c:v>
                </c:pt>
                <c:pt idx="49">
                  <c:v>50.232500000000002</c:v>
                </c:pt>
                <c:pt idx="50">
                  <c:v>50.086600000000004</c:v>
                </c:pt>
                <c:pt idx="51">
                  <c:v>49.9587</c:v>
                </c:pt>
                <c:pt idx="52">
                  <c:v>49.831800000000001</c:v>
                </c:pt>
                <c:pt idx="53">
                  <c:v>49.657400000000003</c:v>
                </c:pt>
                <c:pt idx="54">
                  <c:v>49.523400000000002</c:v>
                </c:pt>
                <c:pt idx="55">
                  <c:v>49.350200000000001</c:v>
                </c:pt>
                <c:pt idx="56">
                  <c:v>49.229199999999999</c:v>
                </c:pt>
                <c:pt idx="57">
                  <c:v>49.162800000000004</c:v>
                </c:pt>
                <c:pt idx="58">
                  <c:v>49.134499999999996</c:v>
                </c:pt>
                <c:pt idx="59">
                  <c:v>49.09</c:v>
                </c:pt>
                <c:pt idx="60">
                  <c:v>49.046599999999998</c:v>
                </c:pt>
                <c:pt idx="61">
                  <c:v>49.039500000000004</c:v>
                </c:pt>
                <c:pt idx="62">
                  <c:v>49.030499999999996</c:v>
                </c:pt>
                <c:pt idx="63">
                  <c:v>49.005800000000001</c:v>
                </c:pt>
                <c:pt idx="64">
                  <c:v>48.994199999999999</c:v>
                </c:pt>
                <c:pt idx="65">
                  <c:v>48.9756</c:v>
                </c:pt>
                <c:pt idx="66">
                  <c:v>48.982500000000002</c:v>
                </c:pt>
                <c:pt idx="67">
                  <c:v>49.031599999999997</c:v>
                </c:pt>
                <c:pt idx="68">
                  <c:v>49.138500000000001</c:v>
                </c:pt>
                <c:pt idx="69">
                  <c:v>49.272199999999998</c:v>
                </c:pt>
                <c:pt idx="70">
                  <c:v>49.413499999999999</c:v>
                </c:pt>
                <c:pt idx="71">
                  <c:v>49.57</c:v>
                </c:pt>
                <c:pt idx="72">
                  <c:v>49.728999999999999</c:v>
                </c:pt>
                <c:pt idx="73">
                  <c:v>49.897300000000001</c:v>
                </c:pt>
                <c:pt idx="74">
                  <c:v>50.034599999999998</c:v>
                </c:pt>
                <c:pt idx="75">
                  <c:v>50.087000000000003</c:v>
                </c:pt>
                <c:pt idx="76">
                  <c:v>50.154699999999998</c:v>
                </c:pt>
                <c:pt idx="77">
                  <c:v>50.252699999999997</c:v>
                </c:pt>
                <c:pt idx="78">
                  <c:v>50.377799999999993</c:v>
                </c:pt>
                <c:pt idx="79">
                  <c:v>50.5244</c:v>
                </c:pt>
                <c:pt idx="80">
                  <c:v>50.7455</c:v>
                </c:pt>
                <c:pt idx="81">
                  <c:v>50.946499999999993</c:v>
                </c:pt>
                <c:pt idx="82">
                  <c:v>51.1</c:v>
                </c:pt>
                <c:pt idx="83">
                  <c:v>51.242900000000006</c:v>
                </c:pt>
                <c:pt idx="84">
                  <c:v>51.426499999999997</c:v>
                </c:pt>
                <c:pt idx="85">
                  <c:v>51.605800000000002</c:v>
                </c:pt>
                <c:pt idx="86">
                  <c:v>51.762</c:v>
                </c:pt>
                <c:pt idx="87">
                  <c:v>51.958800000000004</c:v>
                </c:pt>
                <c:pt idx="88">
                  <c:v>52.195400000000006</c:v>
                </c:pt>
                <c:pt idx="89">
                  <c:v>52.437400000000004</c:v>
                </c:pt>
                <c:pt idx="90">
                  <c:v>52.705500000000008</c:v>
                </c:pt>
                <c:pt idx="91">
                  <c:v>52.959100000000007</c:v>
                </c:pt>
                <c:pt idx="92">
                  <c:v>53.150299999999994</c:v>
                </c:pt>
                <c:pt idx="93">
                  <c:v>53.314999999999998</c:v>
                </c:pt>
                <c:pt idx="94">
                  <c:v>53.5276</c:v>
                </c:pt>
                <c:pt idx="95">
                  <c:v>53.663600000000002</c:v>
                </c:pt>
                <c:pt idx="96">
                  <c:v>53.6021</c:v>
                </c:pt>
                <c:pt idx="97">
                  <c:v>53.670700000000004</c:v>
                </c:pt>
                <c:pt idx="98">
                  <c:v>54.019300000000001</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2.5600399999999999</c:v>
                </c:pt>
              </c:numCache>
            </c:numRef>
          </c:xVal>
          <c:yVal>
            <c:numRef>
              <c:f>[0]!FT_PH01</c:f>
              <c:numCache>
                <c:formatCode>0.00</c:formatCode>
                <c:ptCount val="1"/>
                <c:pt idx="0">
                  <c:v>69.731200000000001</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2.5600399999999999</c:v>
                </c:pt>
              </c:numCache>
            </c:numRef>
          </c:xVal>
          <c:yVal>
            <c:numRef>
              <c:f>[0]!FT_PH02</c:f>
              <c:numCache>
                <c:formatCode>0.00</c:formatCode>
                <c:ptCount val="1"/>
                <c:pt idx="0">
                  <c:v>69.731200000000001</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2.5600399999999999</c:v>
                </c:pt>
              </c:numCache>
            </c:numRef>
          </c:xVal>
          <c:yVal>
            <c:numRef>
              <c:f>[0]!FT_PH03</c:f>
              <c:numCache>
                <c:formatCode>0.00</c:formatCode>
                <c:ptCount val="1"/>
                <c:pt idx="0">
                  <c:v>69.731200000000001</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2.5600399999999999</c:v>
                </c:pt>
              </c:numCache>
            </c:numRef>
          </c:xVal>
          <c:yVal>
            <c:numRef>
              <c:f>[0]!FT_PH04</c:f>
              <c:numCache>
                <c:formatCode>0.00</c:formatCode>
                <c:ptCount val="1"/>
                <c:pt idx="0">
                  <c:v>69.731200000000001</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2.5600399999999999</c:v>
                </c:pt>
              </c:numCache>
            </c:numRef>
          </c:xVal>
          <c:yVal>
            <c:numRef>
              <c:f>[0]!FT_PH05</c:f>
              <c:numCache>
                <c:formatCode>0.00</c:formatCode>
                <c:ptCount val="1"/>
                <c:pt idx="0">
                  <c:v>69.731200000000001</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2.5600399999999999</c:v>
                </c:pt>
              </c:numCache>
            </c:numRef>
          </c:xVal>
          <c:yVal>
            <c:numRef>
              <c:f>[0]!FT_PH06</c:f>
              <c:numCache>
                <c:formatCode>0.00</c:formatCode>
                <c:ptCount val="1"/>
                <c:pt idx="0">
                  <c:v>69.731200000000001</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2.5600399999999999</c:v>
                </c:pt>
              </c:numCache>
            </c:numRef>
          </c:xVal>
          <c:yVal>
            <c:numRef>
              <c:f>[0]!FT_PH07</c:f>
              <c:numCache>
                <c:formatCode>0.00</c:formatCode>
                <c:ptCount val="1"/>
                <c:pt idx="0">
                  <c:v>69.731200000000001</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2.5600399999999999</c:v>
                </c:pt>
              </c:numCache>
            </c:numRef>
          </c:xVal>
          <c:yVal>
            <c:numRef>
              <c:f>[0]!FT_PH08</c:f>
              <c:numCache>
                <c:formatCode>0.00</c:formatCode>
                <c:ptCount val="1"/>
                <c:pt idx="0">
                  <c:v>69.731200000000001</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2.5600399999999999</c:v>
                </c:pt>
              </c:numCache>
            </c:numRef>
          </c:xVal>
          <c:yVal>
            <c:numRef>
              <c:f>[0]!FT_PH09</c:f>
              <c:numCache>
                <c:formatCode>0.00</c:formatCode>
                <c:ptCount val="1"/>
                <c:pt idx="0">
                  <c:v>69.731200000000001</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2.5600399999999999</c:v>
                </c:pt>
              </c:numCache>
            </c:numRef>
          </c:xVal>
          <c:yVal>
            <c:numRef>
              <c:f>[0]!FT_PH10</c:f>
              <c:numCache>
                <c:formatCode>0.00</c:formatCode>
                <c:ptCount val="1"/>
                <c:pt idx="0">
                  <c:v>69.731200000000001</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2.5600399999999999</c:v>
                </c:pt>
              </c:numCache>
            </c:numRef>
          </c:xVal>
          <c:yVal>
            <c:numRef>
              <c:f>[0]!FT_PH11</c:f>
              <c:numCache>
                <c:formatCode>0.00</c:formatCode>
                <c:ptCount val="1"/>
                <c:pt idx="0">
                  <c:v>69.731200000000001</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2.5600399999999999</c:v>
                </c:pt>
              </c:numCache>
            </c:numRef>
          </c:xVal>
          <c:yVal>
            <c:numRef>
              <c:f>[0]!FT_PH12</c:f>
              <c:numCache>
                <c:formatCode>0.00</c:formatCode>
                <c:ptCount val="1"/>
                <c:pt idx="0">
                  <c:v>69.731200000000001</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2.5600399999999999</c:v>
                </c:pt>
              </c:numCache>
            </c:numRef>
          </c:xVal>
          <c:yVal>
            <c:numRef>
              <c:f>[0]!FT_PH13</c:f>
              <c:numCache>
                <c:formatCode>0.00</c:formatCode>
                <c:ptCount val="1"/>
                <c:pt idx="0">
                  <c:v>69.731200000000001</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2.5600399999999999</c:v>
                </c:pt>
              </c:numCache>
            </c:numRef>
          </c:xVal>
          <c:yVal>
            <c:numRef>
              <c:f>[0]!FT_PH14</c:f>
              <c:numCache>
                <c:formatCode>0.00</c:formatCode>
                <c:ptCount val="1"/>
                <c:pt idx="0">
                  <c:v>69.731200000000001</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2.5600399999999999</c:v>
                </c:pt>
              </c:numCache>
            </c:numRef>
          </c:xVal>
          <c:yVal>
            <c:numRef>
              <c:f>[0]!FT_PH15</c:f>
              <c:numCache>
                <c:formatCode>0.00</c:formatCode>
                <c:ptCount val="1"/>
                <c:pt idx="0">
                  <c:v>69.731200000000001</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2.5600399999999999</c:v>
                </c:pt>
              </c:numCache>
            </c:numRef>
          </c:xVal>
          <c:yVal>
            <c:numRef>
              <c:f>[0]!FT_PH16</c:f>
              <c:numCache>
                <c:formatCode>0.00</c:formatCode>
                <c:ptCount val="1"/>
                <c:pt idx="0">
                  <c:v>69.731200000000001</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2.5600399999999999</c:v>
                </c:pt>
              </c:numCache>
            </c:numRef>
          </c:xVal>
          <c:yVal>
            <c:numRef>
              <c:f>[0]!FT_PH17</c:f>
              <c:numCache>
                <c:formatCode>0.00</c:formatCode>
                <c:ptCount val="1"/>
                <c:pt idx="0">
                  <c:v>69.731200000000001</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2.5600399999999999</c:v>
                </c:pt>
              </c:numCache>
            </c:numRef>
          </c:xVal>
          <c:yVal>
            <c:numRef>
              <c:f>[0]!FT_PH18</c:f>
              <c:numCache>
                <c:formatCode>0.00</c:formatCode>
                <c:ptCount val="1"/>
                <c:pt idx="0">
                  <c:v>69.731200000000001</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2.5600399999999999</c:v>
                </c:pt>
              </c:numCache>
            </c:numRef>
          </c:xVal>
          <c:yVal>
            <c:numRef>
              <c:f>[0]!FT_PH19</c:f>
              <c:numCache>
                <c:formatCode>0.00</c:formatCode>
                <c:ptCount val="1"/>
                <c:pt idx="0">
                  <c:v>69.731200000000001</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2.5600399999999999</c:v>
                </c:pt>
              </c:numCache>
            </c:numRef>
          </c:xVal>
          <c:yVal>
            <c:numRef>
              <c:f>[0]!FT_PH20</c:f>
              <c:numCache>
                <c:formatCode>0.00</c:formatCode>
                <c:ptCount val="1"/>
                <c:pt idx="0">
                  <c:v>69.731200000000001</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2.5600399999999999</c:v>
                </c:pt>
              </c:numCache>
            </c:numRef>
          </c:xVal>
          <c:yVal>
            <c:numRef>
              <c:f>[0]!FT_PH21</c:f>
              <c:numCache>
                <c:formatCode>0.00</c:formatCode>
                <c:ptCount val="1"/>
                <c:pt idx="0">
                  <c:v>69.731200000000001</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2.5600399999999999</c:v>
                </c:pt>
              </c:numCache>
            </c:numRef>
          </c:xVal>
          <c:yVal>
            <c:numRef>
              <c:f>[0]!FT_PH22</c:f>
              <c:numCache>
                <c:formatCode>0.00</c:formatCode>
                <c:ptCount val="1"/>
                <c:pt idx="0">
                  <c:v>69.731200000000001</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2.5600399999999999</c:v>
                </c:pt>
              </c:numCache>
            </c:numRef>
          </c:xVal>
          <c:yVal>
            <c:numRef>
              <c:f>[0]!FT_PH23</c:f>
              <c:numCache>
                <c:formatCode>0.00</c:formatCode>
                <c:ptCount val="1"/>
                <c:pt idx="0">
                  <c:v>69.731200000000001</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2.5600399999999999</c:v>
                </c:pt>
              </c:numCache>
            </c:numRef>
          </c:xVal>
          <c:yVal>
            <c:numRef>
              <c:f>[0]!FT_PH24</c:f>
              <c:numCache>
                <c:formatCode>0.00</c:formatCode>
                <c:ptCount val="1"/>
                <c:pt idx="0">
                  <c:v>69.731200000000001</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2.5600399999999999</c:v>
                </c:pt>
              </c:numCache>
            </c:numRef>
          </c:xVal>
          <c:yVal>
            <c:numRef>
              <c:f>info!$H$2</c:f>
              <c:numCache>
                <c:formatCode>0.00</c:formatCode>
                <c:ptCount val="1"/>
                <c:pt idx="0">
                  <c:v>69.731200000000001</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0.43706125298714227</c:v>
                </c:pt>
                <c:pt idx="1">
                  <c:v>0.26367585272750982</c:v>
                </c:pt>
                <c:pt idx="2">
                  <c:v>0.2992628942853478</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99"/>
                <c:pt idx="0">
                  <c:v>0</c:v>
                </c:pt>
                <c:pt idx="1">
                  <c:v>0.41466999999999998</c:v>
                </c:pt>
                <c:pt idx="2">
                  <c:v>0.797207</c:v>
                </c:pt>
                <c:pt idx="3">
                  <c:v>1.2016</c:v>
                </c:pt>
                <c:pt idx="4">
                  <c:v>1.61093</c:v>
                </c:pt>
                <c:pt idx="5">
                  <c:v>2.0187200000000001</c:v>
                </c:pt>
                <c:pt idx="6">
                  <c:v>2.4253100000000001</c:v>
                </c:pt>
                <c:pt idx="7">
                  <c:v>2.8383099999999999</c:v>
                </c:pt>
                <c:pt idx="8">
                  <c:v>3.2371400000000001</c:v>
                </c:pt>
                <c:pt idx="9">
                  <c:v>3.6507299999999998</c:v>
                </c:pt>
                <c:pt idx="10">
                  <c:v>4.0500100000000003</c:v>
                </c:pt>
                <c:pt idx="11">
                  <c:v>4.4572700000000003</c:v>
                </c:pt>
                <c:pt idx="12">
                  <c:v>4.87805</c:v>
                </c:pt>
                <c:pt idx="13">
                  <c:v>5.2655099999999999</c:v>
                </c:pt>
                <c:pt idx="14">
                  <c:v>5.6875900000000001</c:v>
                </c:pt>
                <c:pt idx="15">
                  <c:v>6.08127</c:v>
                </c:pt>
                <c:pt idx="16">
                  <c:v>6.4855099999999997</c:v>
                </c:pt>
                <c:pt idx="17">
                  <c:v>6.8903299999999996</c:v>
                </c:pt>
                <c:pt idx="18">
                  <c:v>7.3112300000000001</c:v>
                </c:pt>
                <c:pt idx="19">
                  <c:v>7.7024800000000004</c:v>
                </c:pt>
                <c:pt idx="20">
                  <c:v>8.1189199999999992</c:v>
                </c:pt>
                <c:pt idx="21">
                  <c:v>8.5445600000000006</c:v>
                </c:pt>
                <c:pt idx="22">
                  <c:v>8.9310399999999994</c:v>
                </c:pt>
                <c:pt idx="23">
                  <c:v>9.3529300000000006</c:v>
                </c:pt>
                <c:pt idx="24">
                  <c:v>9.7537500000000001</c:v>
                </c:pt>
                <c:pt idx="25">
                  <c:v>10.145</c:v>
                </c:pt>
                <c:pt idx="26">
                  <c:v>10.5503</c:v>
                </c:pt>
                <c:pt idx="27">
                  <c:v>10.963900000000001</c:v>
                </c:pt>
                <c:pt idx="28">
                  <c:v>11.389799999999999</c:v>
                </c:pt>
                <c:pt idx="29">
                  <c:v>11.774900000000001</c:v>
                </c:pt>
                <c:pt idx="30">
                  <c:v>12.181100000000001</c:v>
                </c:pt>
                <c:pt idx="31">
                  <c:v>12.580399999999999</c:v>
                </c:pt>
                <c:pt idx="32">
                  <c:v>13.010400000000001</c:v>
                </c:pt>
                <c:pt idx="33">
                  <c:v>13.4023</c:v>
                </c:pt>
                <c:pt idx="34">
                  <c:v>13.8002</c:v>
                </c:pt>
                <c:pt idx="35">
                  <c:v>14.200200000000001</c:v>
                </c:pt>
                <c:pt idx="36">
                  <c:v>14.6113</c:v>
                </c:pt>
                <c:pt idx="37">
                  <c:v>15.034000000000001</c:v>
                </c:pt>
                <c:pt idx="38">
                  <c:v>15.433299999999999</c:v>
                </c:pt>
                <c:pt idx="39">
                  <c:v>15.840400000000001</c:v>
                </c:pt>
                <c:pt idx="40">
                  <c:v>16.260100000000001</c:v>
                </c:pt>
                <c:pt idx="41">
                  <c:v>16.656300000000002</c:v>
                </c:pt>
                <c:pt idx="42">
                  <c:v>17.0486</c:v>
                </c:pt>
                <c:pt idx="43">
                  <c:v>17.454999999999998</c:v>
                </c:pt>
                <c:pt idx="44">
                  <c:v>17.8614</c:v>
                </c:pt>
                <c:pt idx="45">
                  <c:v>18.276599999999998</c:v>
                </c:pt>
                <c:pt idx="46">
                  <c:v>18.674099999999999</c:v>
                </c:pt>
                <c:pt idx="47">
                  <c:v>19.091799999999999</c:v>
                </c:pt>
                <c:pt idx="48">
                  <c:v>19.4893</c:v>
                </c:pt>
                <c:pt idx="49">
                  <c:v>19.890999999999998</c:v>
                </c:pt>
                <c:pt idx="50">
                  <c:v>20.323699999999999</c:v>
                </c:pt>
                <c:pt idx="51">
                  <c:v>20.7102</c:v>
                </c:pt>
                <c:pt idx="52">
                  <c:v>21.1052</c:v>
                </c:pt>
                <c:pt idx="53">
                  <c:v>21.537299999999998</c:v>
                </c:pt>
                <c:pt idx="54">
                  <c:v>21.918700000000001</c:v>
                </c:pt>
                <c:pt idx="55">
                  <c:v>22.342300000000002</c:v>
                </c:pt>
                <c:pt idx="56">
                  <c:v>22.739699999999999</c:v>
                </c:pt>
                <c:pt idx="57">
                  <c:v>23.1556</c:v>
                </c:pt>
                <c:pt idx="58">
                  <c:v>23.555900000000001</c:v>
                </c:pt>
                <c:pt idx="59">
                  <c:v>23.966699999999999</c:v>
                </c:pt>
                <c:pt idx="60">
                  <c:v>24.366599999999998</c:v>
                </c:pt>
                <c:pt idx="61">
                  <c:v>24.767499999999998</c:v>
                </c:pt>
                <c:pt idx="62">
                  <c:v>25.1751</c:v>
                </c:pt>
                <c:pt idx="63">
                  <c:v>25.578900000000001</c:v>
                </c:pt>
                <c:pt idx="64">
                  <c:v>25.995100000000001</c:v>
                </c:pt>
                <c:pt idx="65">
                  <c:v>26.401499999999999</c:v>
                </c:pt>
                <c:pt idx="66">
                  <c:v>26.8124</c:v>
                </c:pt>
                <c:pt idx="67">
                  <c:v>27.199300000000001</c:v>
                </c:pt>
                <c:pt idx="68">
                  <c:v>27.629799999999999</c:v>
                </c:pt>
                <c:pt idx="69">
                  <c:v>28.016300000000001</c:v>
                </c:pt>
                <c:pt idx="70">
                  <c:v>28.417999999999999</c:v>
                </c:pt>
                <c:pt idx="71">
                  <c:v>28.848400000000002</c:v>
                </c:pt>
                <c:pt idx="72">
                  <c:v>29.238900000000001</c:v>
                </c:pt>
                <c:pt idx="73">
                  <c:v>29.639500000000002</c:v>
                </c:pt>
                <c:pt idx="74">
                  <c:v>30.0656</c:v>
                </c:pt>
                <c:pt idx="75">
                  <c:v>30.456199999999999</c:v>
                </c:pt>
                <c:pt idx="76">
                  <c:v>30.860800000000001</c:v>
                </c:pt>
                <c:pt idx="77">
                  <c:v>31.264399999999998</c:v>
                </c:pt>
                <c:pt idx="78">
                  <c:v>31.680700000000002</c:v>
                </c:pt>
                <c:pt idx="79">
                  <c:v>32.082599999999999</c:v>
                </c:pt>
                <c:pt idx="80">
                  <c:v>32.502099999999999</c:v>
                </c:pt>
                <c:pt idx="81">
                  <c:v>32.890799999999999</c:v>
                </c:pt>
                <c:pt idx="82">
                  <c:v>33.301099999999998</c:v>
                </c:pt>
                <c:pt idx="83">
                  <c:v>33.712600000000002</c:v>
                </c:pt>
                <c:pt idx="84">
                  <c:v>34.123800000000003</c:v>
                </c:pt>
                <c:pt idx="85">
                  <c:v>34.525100000000002</c:v>
                </c:pt>
                <c:pt idx="86">
                  <c:v>34.923200000000001</c:v>
                </c:pt>
                <c:pt idx="87">
                  <c:v>35.328499999999998</c:v>
                </c:pt>
                <c:pt idx="88">
                  <c:v>35.750399999999999</c:v>
                </c:pt>
                <c:pt idx="89">
                  <c:v>36.175699999999999</c:v>
                </c:pt>
                <c:pt idx="90">
                  <c:v>36.551000000000002</c:v>
                </c:pt>
                <c:pt idx="91">
                  <c:v>36.957700000000003</c:v>
                </c:pt>
                <c:pt idx="92">
                  <c:v>37.362200000000001</c:v>
                </c:pt>
                <c:pt idx="93">
                  <c:v>37.772500000000001</c:v>
                </c:pt>
                <c:pt idx="94">
                  <c:v>38.170499999999997</c:v>
                </c:pt>
                <c:pt idx="95">
                  <c:v>38.5867</c:v>
                </c:pt>
                <c:pt idx="96">
                  <c:v>38.990499999999997</c:v>
                </c:pt>
                <c:pt idx="97">
                  <c:v>39.406500000000001</c:v>
                </c:pt>
                <c:pt idx="98">
                  <c:v>39.798000000000002</c:v>
                </c:pt>
              </c:numCache>
            </c:numRef>
          </c:xVal>
          <c:yVal>
            <c:numRef>
              <c:f>[0]!FT_E</c:f>
              <c:numCache>
                <c:formatCode>0.00</c:formatCode>
                <c:ptCount val="99"/>
                <c:pt idx="0">
                  <c:v>2.5600399999999999</c:v>
                </c:pt>
                <c:pt idx="1">
                  <c:v>2.5489600000000001</c:v>
                </c:pt>
                <c:pt idx="2">
                  <c:v>2.5406400000000002</c:v>
                </c:pt>
                <c:pt idx="3">
                  <c:v>2.5351800000000004</c:v>
                </c:pt>
                <c:pt idx="4">
                  <c:v>2.53193</c:v>
                </c:pt>
                <c:pt idx="5">
                  <c:v>2.5286999999999997</c:v>
                </c:pt>
                <c:pt idx="6">
                  <c:v>2.5252599999999998</c:v>
                </c:pt>
                <c:pt idx="7">
                  <c:v>2.52156</c:v>
                </c:pt>
                <c:pt idx="8">
                  <c:v>2.5175999999999998</c:v>
                </c:pt>
                <c:pt idx="9">
                  <c:v>2.5121199999999999</c:v>
                </c:pt>
                <c:pt idx="10">
                  <c:v>2.5028600000000001</c:v>
                </c:pt>
                <c:pt idx="11">
                  <c:v>2.49125</c:v>
                </c:pt>
                <c:pt idx="12">
                  <c:v>2.4798899999999997</c:v>
                </c:pt>
                <c:pt idx="13">
                  <c:v>2.4689199999999998</c:v>
                </c:pt>
                <c:pt idx="14">
                  <c:v>2.45932</c:v>
                </c:pt>
                <c:pt idx="15">
                  <c:v>2.4466399999999999</c:v>
                </c:pt>
                <c:pt idx="16">
                  <c:v>2.4329200000000002</c:v>
                </c:pt>
                <c:pt idx="17">
                  <c:v>2.4179500000000003</c:v>
                </c:pt>
                <c:pt idx="18">
                  <c:v>2.4021699999999999</c:v>
                </c:pt>
                <c:pt idx="19">
                  <c:v>2.3853299999999997</c:v>
                </c:pt>
                <c:pt idx="20">
                  <c:v>2.3685999999999998</c:v>
                </c:pt>
                <c:pt idx="21">
                  <c:v>2.3512399999999998</c:v>
                </c:pt>
                <c:pt idx="22">
                  <c:v>2.3313299999999999</c:v>
                </c:pt>
                <c:pt idx="23">
                  <c:v>2.3102300000000002</c:v>
                </c:pt>
                <c:pt idx="24">
                  <c:v>2.2881499999999999</c:v>
                </c:pt>
                <c:pt idx="25">
                  <c:v>2.2649400000000002</c:v>
                </c:pt>
                <c:pt idx="26">
                  <c:v>2.2392799999999999</c:v>
                </c:pt>
                <c:pt idx="27">
                  <c:v>2.2104499999999998</c:v>
                </c:pt>
                <c:pt idx="28">
                  <c:v>2.1774299999999998</c:v>
                </c:pt>
                <c:pt idx="29">
                  <c:v>2.1398000000000001</c:v>
                </c:pt>
                <c:pt idx="30">
                  <c:v>2.0978599999999998</c:v>
                </c:pt>
                <c:pt idx="31">
                  <c:v>2.0508000000000002</c:v>
                </c:pt>
                <c:pt idx="32">
                  <c:v>1.9977200000000002</c:v>
                </c:pt>
                <c:pt idx="33">
                  <c:v>1.9386999999999999</c:v>
                </c:pt>
                <c:pt idx="34">
                  <c:v>1.8747400000000001</c:v>
                </c:pt>
                <c:pt idx="35">
                  <c:v>1.8189500000000001</c:v>
                </c:pt>
                <c:pt idx="36">
                  <c:v>1.78088</c:v>
                </c:pt>
                <c:pt idx="37">
                  <c:v>1.7589399999999999</c:v>
                </c:pt>
                <c:pt idx="38">
                  <c:v>1.7475799999999999</c:v>
                </c:pt>
                <c:pt idx="39">
                  <c:v>1.7401900000000001</c:v>
                </c:pt>
                <c:pt idx="40">
                  <c:v>1.7343600000000001</c:v>
                </c:pt>
                <c:pt idx="41">
                  <c:v>1.7314699999999998</c:v>
                </c:pt>
                <c:pt idx="42">
                  <c:v>1.73281</c:v>
                </c:pt>
                <c:pt idx="43">
                  <c:v>1.73891</c:v>
                </c:pt>
                <c:pt idx="44">
                  <c:v>1.7462</c:v>
                </c:pt>
                <c:pt idx="45">
                  <c:v>1.7543900000000001</c:v>
                </c:pt>
                <c:pt idx="46">
                  <c:v>1.7625599999999999</c:v>
                </c:pt>
                <c:pt idx="47">
                  <c:v>1.7731300000000001</c:v>
                </c:pt>
                <c:pt idx="48">
                  <c:v>1.78234</c:v>
                </c:pt>
                <c:pt idx="49">
                  <c:v>1.7923</c:v>
                </c:pt>
                <c:pt idx="50">
                  <c:v>1.8016699999999999</c:v>
                </c:pt>
                <c:pt idx="51">
                  <c:v>1.8092299999999999</c:v>
                </c:pt>
                <c:pt idx="52">
                  <c:v>1.81748</c:v>
                </c:pt>
                <c:pt idx="53">
                  <c:v>1.8259800000000002</c:v>
                </c:pt>
                <c:pt idx="54">
                  <c:v>1.8332499999999998</c:v>
                </c:pt>
                <c:pt idx="55">
                  <c:v>1.8349899999999999</c:v>
                </c:pt>
                <c:pt idx="56">
                  <c:v>1.8358300000000001</c:v>
                </c:pt>
                <c:pt idx="57">
                  <c:v>1.8356700000000001</c:v>
                </c:pt>
                <c:pt idx="58">
                  <c:v>1.8340999999999998</c:v>
                </c:pt>
                <c:pt idx="59">
                  <c:v>1.8338199999999998</c:v>
                </c:pt>
                <c:pt idx="60">
                  <c:v>1.83249</c:v>
                </c:pt>
                <c:pt idx="61">
                  <c:v>1.8306900000000002</c:v>
                </c:pt>
                <c:pt idx="62">
                  <c:v>1.82901</c:v>
                </c:pt>
                <c:pt idx="63">
                  <c:v>1.82717</c:v>
                </c:pt>
                <c:pt idx="64">
                  <c:v>1.8238099999999999</c:v>
                </c:pt>
                <c:pt idx="65">
                  <c:v>1.8182200000000002</c:v>
                </c:pt>
                <c:pt idx="66">
                  <c:v>1.8139099999999999</c:v>
                </c:pt>
                <c:pt idx="67">
                  <c:v>1.8092299999999999</c:v>
                </c:pt>
                <c:pt idx="68">
                  <c:v>1.8032500000000002</c:v>
                </c:pt>
                <c:pt idx="69">
                  <c:v>1.79752</c:v>
                </c:pt>
                <c:pt idx="70">
                  <c:v>1.7911600000000001</c:v>
                </c:pt>
                <c:pt idx="71">
                  <c:v>1.78392</c:v>
                </c:pt>
                <c:pt idx="72">
                  <c:v>1.7767299999999999</c:v>
                </c:pt>
                <c:pt idx="73">
                  <c:v>1.7686099999999998</c:v>
                </c:pt>
                <c:pt idx="74">
                  <c:v>1.75987</c:v>
                </c:pt>
                <c:pt idx="75">
                  <c:v>1.7519100000000001</c:v>
                </c:pt>
                <c:pt idx="76">
                  <c:v>1.74474</c:v>
                </c:pt>
                <c:pt idx="77">
                  <c:v>1.7357400000000001</c:v>
                </c:pt>
                <c:pt idx="78">
                  <c:v>1.72482</c:v>
                </c:pt>
                <c:pt idx="79">
                  <c:v>1.71387</c:v>
                </c:pt>
                <c:pt idx="80">
                  <c:v>1.7116899999999999</c:v>
                </c:pt>
                <c:pt idx="81">
                  <c:v>1.7100499999999998</c:v>
                </c:pt>
                <c:pt idx="82">
                  <c:v>1.70964</c:v>
                </c:pt>
                <c:pt idx="83">
                  <c:v>1.7098100000000001</c:v>
                </c:pt>
                <c:pt idx="84">
                  <c:v>1.70913</c:v>
                </c:pt>
                <c:pt idx="85">
                  <c:v>1.70905</c:v>
                </c:pt>
                <c:pt idx="86">
                  <c:v>1.7103299999999999</c:v>
                </c:pt>
                <c:pt idx="87">
                  <c:v>1.71149</c:v>
                </c:pt>
                <c:pt idx="88">
                  <c:v>1.7126700000000001</c:v>
                </c:pt>
                <c:pt idx="89">
                  <c:v>1.7158799999999998</c:v>
                </c:pt>
                <c:pt idx="90">
                  <c:v>1.7207300000000001</c:v>
                </c:pt>
                <c:pt idx="91">
                  <c:v>1.7220299999999999</c:v>
                </c:pt>
                <c:pt idx="92">
                  <c:v>1.7212700000000001</c:v>
                </c:pt>
                <c:pt idx="93">
                  <c:v>1.71956</c:v>
                </c:pt>
                <c:pt idx="94">
                  <c:v>1.7141700000000002</c:v>
                </c:pt>
                <c:pt idx="95">
                  <c:v>1.7100199999999999</c:v>
                </c:pt>
                <c:pt idx="96">
                  <c:v>1.7104600000000001</c:v>
                </c:pt>
                <c:pt idx="97">
                  <c:v>1.7065700000000001</c:v>
                </c:pt>
                <c:pt idx="98">
                  <c:v>1.6955999999999998</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2.5600399999999999</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2.5600399999999999</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2.5600399999999999</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2.5600399999999999</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2.5600399999999999</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2.5600399999999999</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2.5600399999999999</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2.5600399999999999</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2.5600399999999999</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2.5600399999999999</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2.5600399999999999</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2.5600399999999999</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2.5600399999999999</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2.5600399999999999</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2.5600399999999999</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2.5600399999999999</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2.5600399999999999</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2.5600399999999999</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2.5600399999999999</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2.5600399999999999</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2.5600399999999999</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2.5600399999999999</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2.5600399999999999</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2.5600399999999999</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99"/>
                <c:pt idx="0">
                  <c:v>0</c:v>
                </c:pt>
                <c:pt idx="1">
                  <c:v>0.41466999999999998</c:v>
                </c:pt>
                <c:pt idx="2">
                  <c:v>0.797207</c:v>
                </c:pt>
                <c:pt idx="3">
                  <c:v>1.2016</c:v>
                </c:pt>
                <c:pt idx="4">
                  <c:v>1.61093</c:v>
                </c:pt>
                <c:pt idx="5">
                  <c:v>2.0187200000000001</c:v>
                </c:pt>
                <c:pt idx="6">
                  <c:v>2.4253100000000001</c:v>
                </c:pt>
                <c:pt idx="7">
                  <c:v>2.8383099999999999</c:v>
                </c:pt>
                <c:pt idx="8">
                  <c:v>3.2371400000000001</c:v>
                </c:pt>
                <c:pt idx="9">
                  <c:v>3.6507299999999998</c:v>
                </c:pt>
                <c:pt idx="10">
                  <c:v>4.0500100000000003</c:v>
                </c:pt>
                <c:pt idx="11">
                  <c:v>4.4572700000000003</c:v>
                </c:pt>
                <c:pt idx="12">
                  <c:v>4.87805</c:v>
                </c:pt>
                <c:pt idx="13">
                  <c:v>5.2655099999999999</c:v>
                </c:pt>
                <c:pt idx="14">
                  <c:v>5.6875900000000001</c:v>
                </c:pt>
                <c:pt idx="15">
                  <c:v>6.08127</c:v>
                </c:pt>
                <c:pt idx="16">
                  <c:v>6.4855099999999997</c:v>
                </c:pt>
                <c:pt idx="17">
                  <c:v>6.8903299999999996</c:v>
                </c:pt>
                <c:pt idx="18">
                  <c:v>7.3112300000000001</c:v>
                </c:pt>
                <c:pt idx="19">
                  <c:v>7.7024800000000004</c:v>
                </c:pt>
                <c:pt idx="20">
                  <c:v>8.1189199999999992</c:v>
                </c:pt>
                <c:pt idx="21">
                  <c:v>8.5445600000000006</c:v>
                </c:pt>
                <c:pt idx="22">
                  <c:v>8.9310399999999994</c:v>
                </c:pt>
                <c:pt idx="23">
                  <c:v>9.3529300000000006</c:v>
                </c:pt>
                <c:pt idx="24">
                  <c:v>9.7537500000000001</c:v>
                </c:pt>
                <c:pt idx="25">
                  <c:v>10.145</c:v>
                </c:pt>
                <c:pt idx="26">
                  <c:v>10.5503</c:v>
                </c:pt>
                <c:pt idx="27">
                  <c:v>10.963900000000001</c:v>
                </c:pt>
                <c:pt idx="28">
                  <c:v>11.389799999999999</c:v>
                </c:pt>
                <c:pt idx="29">
                  <c:v>11.774900000000001</c:v>
                </c:pt>
                <c:pt idx="30">
                  <c:v>12.181100000000001</c:v>
                </c:pt>
                <c:pt idx="31">
                  <c:v>12.580399999999999</c:v>
                </c:pt>
                <c:pt idx="32">
                  <c:v>13.010400000000001</c:v>
                </c:pt>
                <c:pt idx="33">
                  <c:v>13.4023</c:v>
                </c:pt>
                <c:pt idx="34">
                  <c:v>13.8002</c:v>
                </c:pt>
                <c:pt idx="35">
                  <c:v>14.200200000000001</c:v>
                </c:pt>
                <c:pt idx="36">
                  <c:v>14.6113</c:v>
                </c:pt>
                <c:pt idx="37">
                  <c:v>15.034000000000001</c:v>
                </c:pt>
                <c:pt idx="38">
                  <c:v>15.433299999999999</c:v>
                </c:pt>
                <c:pt idx="39">
                  <c:v>15.840400000000001</c:v>
                </c:pt>
                <c:pt idx="40">
                  <c:v>16.260100000000001</c:v>
                </c:pt>
                <c:pt idx="41">
                  <c:v>16.656300000000002</c:v>
                </c:pt>
                <c:pt idx="42">
                  <c:v>17.0486</c:v>
                </c:pt>
                <c:pt idx="43">
                  <c:v>17.454999999999998</c:v>
                </c:pt>
                <c:pt idx="44">
                  <c:v>17.8614</c:v>
                </c:pt>
                <c:pt idx="45">
                  <c:v>18.276599999999998</c:v>
                </c:pt>
                <c:pt idx="46">
                  <c:v>18.674099999999999</c:v>
                </c:pt>
                <c:pt idx="47">
                  <c:v>19.091799999999999</c:v>
                </c:pt>
                <c:pt idx="48">
                  <c:v>19.4893</c:v>
                </c:pt>
                <c:pt idx="49">
                  <c:v>19.890999999999998</c:v>
                </c:pt>
                <c:pt idx="50">
                  <c:v>20.323699999999999</c:v>
                </c:pt>
                <c:pt idx="51">
                  <c:v>20.7102</c:v>
                </c:pt>
                <c:pt idx="52">
                  <c:v>21.1052</c:v>
                </c:pt>
                <c:pt idx="53">
                  <c:v>21.537299999999998</c:v>
                </c:pt>
                <c:pt idx="54">
                  <c:v>21.918700000000001</c:v>
                </c:pt>
                <c:pt idx="55">
                  <c:v>22.342300000000002</c:v>
                </c:pt>
                <c:pt idx="56">
                  <c:v>22.739699999999999</c:v>
                </c:pt>
                <c:pt idx="57">
                  <c:v>23.1556</c:v>
                </c:pt>
                <c:pt idx="58">
                  <c:v>23.555900000000001</c:v>
                </c:pt>
                <c:pt idx="59">
                  <c:v>23.966699999999999</c:v>
                </c:pt>
                <c:pt idx="60">
                  <c:v>24.366599999999998</c:v>
                </c:pt>
                <c:pt idx="61">
                  <c:v>24.767499999999998</c:v>
                </c:pt>
                <c:pt idx="62">
                  <c:v>25.1751</c:v>
                </c:pt>
                <c:pt idx="63">
                  <c:v>25.578900000000001</c:v>
                </c:pt>
                <c:pt idx="64">
                  <c:v>25.995100000000001</c:v>
                </c:pt>
                <c:pt idx="65">
                  <c:v>26.401499999999999</c:v>
                </c:pt>
                <c:pt idx="66">
                  <c:v>26.8124</c:v>
                </c:pt>
                <c:pt idx="67">
                  <c:v>27.199300000000001</c:v>
                </c:pt>
                <c:pt idx="68">
                  <c:v>27.629799999999999</c:v>
                </c:pt>
                <c:pt idx="69">
                  <c:v>28.016300000000001</c:v>
                </c:pt>
                <c:pt idx="70">
                  <c:v>28.417999999999999</c:v>
                </c:pt>
                <c:pt idx="71">
                  <c:v>28.848400000000002</c:v>
                </c:pt>
                <c:pt idx="72">
                  <c:v>29.238900000000001</c:v>
                </c:pt>
                <c:pt idx="73">
                  <c:v>29.639500000000002</c:v>
                </c:pt>
                <c:pt idx="74">
                  <c:v>30.0656</c:v>
                </c:pt>
                <c:pt idx="75">
                  <c:v>30.456199999999999</c:v>
                </c:pt>
                <c:pt idx="76">
                  <c:v>30.860800000000001</c:v>
                </c:pt>
                <c:pt idx="77">
                  <c:v>31.264399999999998</c:v>
                </c:pt>
                <c:pt idx="78">
                  <c:v>31.680700000000002</c:v>
                </c:pt>
                <c:pt idx="79">
                  <c:v>32.082599999999999</c:v>
                </c:pt>
                <c:pt idx="80">
                  <c:v>32.502099999999999</c:v>
                </c:pt>
                <c:pt idx="81">
                  <c:v>32.890799999999999</c:v>
                </c:pt>
                <c:pt idx="82">
                  <c:v>33.301099999999998</c:v>
                </c:pt>
                <c:pt idx="83">
                  <c:v>33.712600000000002</c:v>
                </c:pt>
                <c:pt idx="84">
                  <c:v>34.123800000000003</c:v>
                </c:pt>
                <c:pt idx="85">
                  <c:v>34.525100000000002</c:v>
                </c:pt>
                <c:pt idx="86">
                  <c:v>34.923200000000001</c:v>
                </c:pt>
                <c:pt idx="87">
                  <c:v>35.328499999999998</c:v>
                </c:pt>
                <c:pt idx="88">
                  <c:v>35.750399999999999</c:v>
                </c:pt>
                <c:pt idx="89">
                  <c:v>36.175699999999999</c:v>
                </c:pt>
                <c:pt idx="90">
                  <c:v>36.551000000000002</c:v>
                </c:pt>
                <c:pt idx="91">
                  <c:v>36.957700000000003</c:v>
                </c:pt>
                <c:pt idx="92">
                  <c:v>37.362200000000001</c:v>
                </c:pt>
                <c:pt idx="93">
                  <c:v>37.772500000000001</c:v>
                </c:pt>
                <c:pt idx="94">
                  <c:v>38.170499999999997</c:v>
                </c:pt>
                <c:pt idx="95">
                  <c:v>38.5867</c:v>
                </c:pt>
                <c:pt idx="96">
                  <c:v>38.990499999999997</c:v>
                </c:pt>
                <c:pt idx="97">
                  <c:v>39.406500000000001</c:v>
                </c:pt>
                <c:pt idx="98">
                  <c:v>39.798000000000002</c:v>
                </c:pt>
              </c:numCache>
            </c:numRef>
          </c:xVal>
          <c:yVal>
            <c:numRef>
              <c:f>[0]!FT_PH</c:f>
              <c:numCache>
                <c:formatCode>0.00</c:formatCode>
                <c:ptCount val="99"/>
                <c:pt idx="0">
                  <c:v>69.731200000000001</c:v>
                </c:pt>
                <c:pt idx="1">
                  <c:v>69.67</c:v>
                </c:pt>
                <c:pt idx="2">
                  <c:v>69.454400000000007</c:v>
                </c:pt>
                <c:pt idx="3">
                  <c:v>69.144300000000001</c:v>
                </c:pt>
                <c:pt idx="4">
                  <c:v>68.778399999999991</c:v>
                </c:pt>
                <c:pt idx="5">
                  <c:v>68.36569999999999</c:v>
                </c:pt>
                <c:pt idx="6">
                  <c:v>67.924499999999995</c:v>
                </c:pt>
                <c:pt idx="7">
                  <c:v>67.441199999999995</c:v>
                </c:pt>
                <c:pt idx="8">
                  <c:v>66.912899999999993</c:v>
                </c:pt>
                <c:pt idx="9">
                  <c:v>66.360900000000001</c:v>
                </c:pt>
                <c:pt idx="10">
                  <c:v>65.812200000000004</c:v>
                </c:pt>
                <c:pt idx="11">
                  <c:v>65.241</c:v>
                </c:pt>
                <c:pt idx="12">
                  <c:v>64.645099999999999</c:v>
                </c:pt>
                <c:pt idx="13">
                  <c:v>64.008299999999991</c:v>
                </c:pt>
                <c:pt idx="14">
                  <c:v>63.476100000000002</c:v>
                </c:pt>
                <c:pt idx="15">
                  <c:v>62.903200000000005</c:v>
                </c:pt>
                <c:pt idx="16">
                  <c:v>62.314</c:v>
                </c:pt>
                <c:pt idx="17">
                  <c:v>61.698099999999997</c:v>
                </c:pt>
                <c:pt idx="18">
                  <c:v>61.043499999999995</c:v>
                </c:pt>
                <c:pt idx="19">
                  <c:v>60.388399999999997</c:v>
                </c:pt>
                <c:pt idx="20">
                  <c:v>59.738500000000002</c:v>
                </c:pt>
                <c:pt idx="21">
                  <c:v>59.088499999999996</c:v>
                </c:pt>
                <c:pt idx="22">
                  <c:v>58.386099999999999</c:v>
                </c:pt>
                <c:pt idx="23">
                  <c:v>57.710099999999997</c:v>
                </c:pt>
                <c:pt idx="24">
                  <c:v>57.032299999999999</c:v>
                </c:pt>
                <c:pt idx="25">
                  <c:v>56.364499999999992</c:v>
                </c:pt>
                <c:pt idx="26">
                  <c:v>55.7134</c:v>
                </c:pt>
                <c:pt idx="27">
                  <c:v>55.082299999999996</c:v>
                </c:pt>
                <c:pt idx="28">
                  <c:v>54.505800000000008</c:v>
                </c:pt>
                <c:pt idx="29">
                  <c:v>53.978000000000002</c:v>
                </c:pt>
                <c:pt idx="30">
                  <c:v>53.543099999999995</c:v>
                </c:pt>
                <c:pt idx="31">
                  <c:v>53.219899999999996</c:v>
                </c:pt>
                <c:pt idx="32">
                  <c:v>53.061999999999998</c:v>
                </c:pt>
                <c:pt idx="33">
                  <c:v>53.136300000000006</c:v>
                </c:pt>
                <c:pt idx="34">
                  <c:v>53.4285</c:v>
                </c:pt>
                <c:pt idx="35">
                  <c:v>53.689200000000007</c:v>
                </c:pt>
                <c:pt idx="36">
                  <c:v>53.729700000000001</c:v>
                </c:pt>
                <c:pt idx="37">
                  <c:v>53.611899999999999</c:v>
                </c:pt>
                <c:pt idx="38">
                  <c:v>53.564799999999998</c:v>
                </c:pt>
                <c:pt idx="39">
                  <c:v>53.435500000000005</c:v>
                </c:pt>
                <c:pt idx="40">
                  <c:v>53.121799999999993</c:v>
                </c:pt>
                <c:pt idx="41">
                  <c:v>52.786000000000001</c:v>
                </c:pt>
                <c:pt idx="42">
                  <c:v>52.433300000000003</c:v>
                </c:pt>
                <c:pt idx="43">
                  <c:v>52.035299999999992</c:v>
                </c:pt>
                <c:pt idx="44">
                  <c:v>51.642999999999994</c:v>
                </c:pt>
                <c:pt idx="45">
                  <c:v>51.305199999999992</c:v>
                </c:pt>
                <c:pt idx="46">
                  <c:v>51.012199999999993</c:v>
                </c:pt>
                <c:pt idx="47">
                  <c:v>50.729100000000003</c:v>
                </c:pt>
                <c:pt idx="48">
                  <c:v>50.448300000000003</c:v>
                </c:pt>
                <c:pt idx="49">
                  <c:v>50.232500000000002</c:v>
                </c:pt>
                <c:pt idx="50">
                  <c:v>50.086600000000004</c:v>
                </c:pt>
                <c:pt idx="51">
                  <c:v>49.9587</c:v>
                </c:pt>
                <c:pt idx="52">
                  <c:v>49.831800000000001</c:v>
                </c:pt>
                <c:pt idx="53">
                  <c:v>49.657400000000003</c:v>
                </c:pt>
                <c:pt idx="54">
                  <c:v>49.523400000000002</c:v>
                </c:pt>
                <c:pt idx="55">
                  <c:v>49.350200000000001</c:v>
                </c:pt>
                <c:pt idx="56">
                  <c:v>49.229199999999999</c:v>
                </c:pt>
                <c:pt idx="57">
                  <c:v>49.162800000000004</c:v>
                </c:pt>
                <c:pt idx="58">
                  <c:v>49.134499999999996</c:v>
                </c:pt>
                <c:pt idx="59">
                  <c:v>49.09</c:v>
                </c:pt>
                <c:pt idx="60">
                  <c:v>49.046599999999998</c:v>
                </c:pt>
                <c:pt idx="61">
                  <c:v>49.039500000000004</c:v>
                </c:pt>
                <c:pt idx="62">
                  <c:v>49.030499999999996</c:v>
                </c:pt>
                <c:pt idx="63">
                  <c:v>49.005800000000001</c:v>
                </c:pt>
                <c:pt idx="64">
                  <c:v>48.994199999999999</c:v>
                </c:pt>
                <c:pt idx="65">
                  <c:v>48.9756</c:v>
                </c:pt>
                <c:pt idx="66">
                  <c:v>48.982500000000002</c:v>
                </c:pt>
                <c:pt idx="67">
                  <c:v>49.031599999999997</c:v>
                </c:pt>
                <c:pt idx="68">
                  <c:v>49.138500000000001</c:v>
                </c:pt>
                <c:pt idx="69">
                  <c:v>49.272199999999998</c:v>
                </c:pt>
                <c:pt idx="70">
                  <c:v>49.413499999999999</c:v>
                </c:pt>
                <c:pt idx="71">
                  <c:v>49.57</c:v>
                </c:pt>
                <c:pt idx="72">
                  <c:v>49.728999999999999</c:v>
                </c:pt>
                <c:pt idx="73">
                  <c:v>49.897300000000001</c:v>
                </c:pt>
                <c:pt idx="74">
                  <c:v>50.034599999999998</c:v>
                </c:pt>
                <c:pt idx="75">
                  <c:v>50.087000000000003</c:v>
                </c:pt>
                <c:pt idx="76">
                  <c:v>50.154699999999998</c:v>
                </c:pt>
                <c:pt idx="77">
                  <c:v>50.252699999999997</c:v>
                </c:pt>
                <c:pt idx="78">
                  <c:v>50.377799999999993</c:v>
                </c:pt>
                <c:pt idx="79">
                  <c:v>50.5244</c:v>
                </c:pt>
                <c:pt idx="80">
                  <c:v>50.7455</c:v>
                </c:pt>
                <c:pt idx="81">
                  <c:v>50.946499999999993</c:v>
                </c:pt>
                <c:pt idx="82">
                  <c:v>51.1</c:v>
                </c:pt>
                <c:pt idx="83">
                  <c:v>51.242900000000006</c:v>
                </c:pt>
                <c:pt idx="84">
                  <c:v>51.426499999999997</c:v>
                </c:pt>
                <c:pt idx="85">
                  <c:v>51.605800000000002</c:v>
                </c:pt>
                <c:pt idx="86">
                  <c:v>51.762</c:v>
                </c:pt>
                <c:pt idx="87">
                  <c:v>51.958800000000004</c:v>
                </c:pt>
                <c:pt idx="88">
                  <c:v>52.195400000000006</c:v>
                </c:pt>
                <c:pt idx="89">
                  <c:v>52.437400000000004</c:v>
                </c:pt>
                <c:pt idx="90">
                  <c:v>52.705500000000008</c:v>
                </c:pt>
                <c:pt idx="91">
                  <c:v>52.959100000000007</c:v>
                </c:pt>
                <c:pt idx="92">
                  <c:v>53.150299999999994</c:v>
                </c:pt>
                <c:pt idx="93">
                  <c:v>53.314999999999998</c:v>
                </c:pt>
                <c:pt idx="94">
                  <c:v>53.5276</c:v>
                </c:pt>
                <c:pt idx="95">
                  <c:v>53.663600000000002</c:v>
                </c:pt>
                <c:pt idx="96">
                  <c:v>53.6021</c:v>
                </c:pt>
                <c:pt idx="97">
                  <c:v>53.670700000000004</c:v>
                </c:pt>
                <c:pt idx="98">
                  <c:v>54.019300000000001</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69.731200000000001</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69.731200000000001</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69.731200000000001</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69.731200000000001</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69.731200000000001</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69.731200000000001</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69.731200000000001</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69.731200000000001</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69.731200000000001</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69.731200000000001</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69.731200000000001</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69.731200000000001</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69.731200000000001</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69.731200000000001</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69.731200000000001</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69.731200000000001</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69.731200000000001</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69.731200000000001</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69.731200000000001</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69.731200000000001</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69.731200000000001</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69.731200000000001</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69.731200000000001</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69.731200000000001</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0.59270155572602001</c:v>
                </c:pt>
                <c:pt idx="1">
                  <c:v>0.3322711362408029</c:v>
                </c:pt>
                <c:pt idx="2">
                  <c:v>7.5027308033177129E-2</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0.51396685768608374</c:v>
                </c:pt>
                <c:pt idx="1">
                  <c:v>0.31007244075704793</c:v>
                </c:pt>
                <c:pt idx="2">
                  <c:v>0.17596070155686827</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43.31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-0.90731561683834572</c:v>
                </c:pt>
                <c:pt idx="1">
                  <c:v>-0.90731561683834572</c:v>
                </c:pt>
                <c:pt idx="2">
                  <c:v>-7</c:v>
                </c:pt>
              </c:numCache>
            </c:numRef>
          </c:xVal>
          <c:yVal>
            <c:numRef>
              <c:f>'R'!$I$5:$I$7</c:f>
              <c:numCache>
                <c:formatCode>0.0_ </c:formatCode>
                <c:ptCount val="3"/>
                <c:pt idx="0">
                  <c:v>0</c:v>
                </c:pt>
                <c:pt idx="1">
                  <c:v>43.308156263184628</c:v>
                </c:pt>
                <c:pt idx="2">
                  <c:v>43.308156263184628</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-0.90731561683834572</c:v>
                </c:pt>
                <c:pt idx="1">
                  <c:v>-0.90731561683834572</c:v>
                </c:pt>
                <c:pt idx="2">
                  <c:v>-7</c:v>
                </c:pt>
              </c:numCache>
            </c:numRef>
          </c:xVal>
          <c:yVal>
            <c:numRef>
              <c:f>'R'!$I$5:$I$7</c:f>
              <c:numCache>
                <c:formatCode>0.0_ </c:formatCode>
                <c:ptCount val="3"/>
                <c:pt idx="0">
                  <c:v>0</c:v>
                </c:pt>
                <c:pt idx="1">
                  <c:v>43.308156263184628</c:v>
                </c:pt>
                <c:pt idx="2">
                  <c:v>43.308156263184628</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-0.90731561683834572</c:v>
                </c:pt>
              </c:numCache>
            </c:numRef>
          </c:xVal>
          <c:yVal>
            <c:numRef>
              <c:f>'R'!$I$4</c:f>
              <c:numCache>
                <c:formatCode>0.00_ </c:formatCode>
                <c:ptCount val="1"/>
                <c:pt idx="0">
                  <c:v>43.308156263184628</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55.65</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55.651539999999997</c:v>
                </c:pt>
                <c:pt idx="1">
                  <c:v>55.651539999999997</c:v>
                </c:pt>
                <c:pt idx="2">
                  <c:v>0</c:v>
                </c:pt>
              </c:numCache>
            </c:numRef>
          </c:xVal>
          <c:yVal>
            <c:numRef>
              <c:f>'R2'!$I$5:$I$7</c:f>
              <c:numCache>
                <c:formatCode>0.0_ </c:formatCode>
                <c:ptCount val="3"/>
                <c:pt idx="0">
                  <c:v>0</c:v>
                </c:pt>
                <c:pt idx="1">
                  <c:v>60.047387995161806</c:v>
                </c:pt>
                <c:pt idx="2">
                  <c:v>60.047387995161806</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0.89</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0.89397800000000005</c:v>
                </c:pt>
                <c:pt idx="1">
                  <c:v>0.89397800000000005</c:v>
                </c:pt>
                <c:pt idx="2">
                  <c:v>0</c:v>
                </c:pt>
              </c:numCache>
            </c:numRef>
          </c:xVal>
          <c:yVal>
            <c:numRef>
              <c:f>'R3'!$I$6:$I$8</c:f>
              <c:numCache>
                <c:formatCode>0.0_ </c:formatCode>
                <c:ptCount val="3"/>
                <c:pt idx="0">
                  <c:v>0</c:v>
                </c:pt>
                <c:pt idx="1">
                  <c:v>7.9100323359193352</c:v>
                </c:pt>
                <c:pt idx="2">
                  <c:v>7.9100323359193352</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감정변이도0.89</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0.89397800000000005</c:v>
                </c:pt>
                <c:pt idx="1">
                  <c:v>0.89397800000000005</c:v>
                </c:pt>
                <c:pt idx="2">
                  <c:v>0</c:v>
                </c:pt>
              </c:numCache>
            </c:numRef>
          </c:xVal>
          <c:yVal>
            <c:numRef>
              <c:f>'R4'!$I$5:$I$7</c:f>
              <c:numCache>
                <c:formatCode>0.0_ </c:formatCode>
                <c:ptCount val="3"/>
                <c:pt idx="0">
                  <c:v>0</c:v>
                </c:pt>
                <c:pt idx="1">
                  <c:v>3.1172228554294378E-2</c:v>
                </c:pt>
                <c:pt idx="2">
                  <c:v>3.1172228554294378E-2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0.59270155572602001</c:v>
                </c:pt>
                <c:pt idx="1">
                  <c:v>0.3322711362408029</c:v>
                </c:pt>
                <c:pt idx="2">
                  <c:v>7.5027308033177129E-2</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0.51396685768608374</c:v>
                </c:pt>
                <c:pt idx="1">
                  <c:v>0.31007244075704793</c:v>
                </c:pt>
                <c:pt idx="2">
                  <c:v>0.17596070155686827</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0.59270155572602001</c:v>
                </c:pt>
                <c:pt idx="1">
                  <c:v>0.3322711362408029</c:v>
                </c:pt>
                <c:pt idx="2">
                  <c:v>7.5027308033177129E-2</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0.51396685768608374</c:v>
                </c:pt>
                <c:pt idx="1">
                  <c:v>0.31007244075704793</c:v>
                </c:pt>
                <c:pt idx="2">
                  <c:v>0.17596070155686827</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0.59270155572602001</c:v>
                </c:pt>
                <c:pt idx="1">
                  <c:v>0.3322711362408029</c:v>
                </c:pt>
                <c:pt idx="2">
                  <c:v>7.5027308033177129E-2</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0.51396685768608374</c:v>
                </c:pt>
                <c:pt idx="1">
                  <c:v>0.31007244075704793</c:v>
                </c:pt>
                <c:pt idx="2">
                  <c:v>0.17596070155686827</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0.59270155572602001</c:v>
                </c:pt>
                <c:pt idx="1">
                  <c:v>0.3322711362408029</c:v>
                </c:pt>
                <c:pt idx="2">
                  <c:v>7.5027308033177129E-2</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0.51396685768608374</c:v>
                </c:pt>
                <c:pt idx="1">
                  <c:v>0.31007244075704793</c:v>
                </c:pt>
                <c:pt idx="2">
                  <c:v>0.17596070155686827</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0.59270155572602001</c:v>
                </c:pt>
                <c:pt idx="1">
                  <c:v>0.3322711362408029</c:v>
                </c:pt>
                <c:pt idx="2">
                  <c:v>7.5027308033177129E-2</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0.51396685768608374</c:v>
                </c:pt>
                <c:pt idx="1">
                  <c:v>0.31007244075704793</c:v>
                </c:pt>
                <c:pt idx="2">
                  <c:v>0.17596070155686827</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0.59270155572602001</c:v>
                </c:pt>
                <c:pt idx="1">
                  <c:v>0.3322711362408029</c:v>
                </c:pt>
                <c:pt idx="2">
                  <c:v>7.5027308033177129E-2</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0.51396685768608374</c:v>
                </c:pt>
                <c:pt idx="1">
                  <c:v>0.31007244075704793</c:v>
                </c:pt>
                <c:pt idx="2">
                  <c:v>0.17596070155686827</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0.59270155572602001</c:v>
                </c:pt>
                <c:pt idx="1">
                  <c:v>0.3322711362408029</c:v>
                </c:pt>
                <c:pt idx="2">
                  <c:v>7.5027308033177129E-2</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0.51396685768608374</c:v>
                </c:pt>
                <c:pt idx="1">
                  <c:v>0.31007244075704793</c:v>
                </c:pt>
                <c:pt idx="2">
                  <c:v>0.17596070155686827</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0.59270155572602001</c:v>
                </c:pt>
                <c:pt idx="1">
                  <c:v>0.3322711362408029</c:v>
                </c:pt>
                <c:pt idx="2">
                  <c:v>7.5027308033177129E-2</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0.51396685768608374</c:v>
                </c:pt>
                <c:pt idx="1">
                  <c:v>0.31007244075704793</c:v>
                </c:pt>
                <c:pt idx="2">
                  <c:v>0.17596070155686827</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0.59270155572602001</c:v>
                </c:pt>
                <c:pt idx="1">
                  <c:v>0.3322711362408029</c:v>
                </c:pt>
                <c:pt idx="2">
                  <c:v>7.5027308033177129E-2</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0.51396685768608374</c:v>
                </c:pt>
                <c:pt idx="1">
                  <c:v>0.31007244075704793</c:v>
                </c:pt>
                <c:pt idx="2">
                  <c:v>0.17596070155686827</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0.59270155572602001</c:v>
                </c:pt>
                <c:pt idx="1">
                  <c:v>0.3322711362408029</c:v>
                </c:pt>
                <c:pt idx="2">
                  <c:v>7.5027308033177129E-2</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0.51396685768608374</c:v>
                </c:pt>
                <c:pt idx="1">
                  <c:v>0.31007244075704793</c:v>
                </c:pt>
                <c:pt idx="2">
                  <c:v>0.17596070155686827</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0.59270155572602001</c:v>
                </c:pt>
                <c:pt idx="1">
                  <c:v>0.3322711362408029</c:v>
                </c:pt>
                <c:pt idx="2">
                  <c:v>7.5027308033177129E-2</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0.51396685768608374</c:v>
                </c:pt>
                <c:pt idx="1">
                  <c:v>0.31007244075704793</c:v>
                </c:pt>
                <c:pt idx="2">
                  <c:v>0.17596070155686827</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0.59270155572602001</c:v>
                </c:pt>
                <c:pt idx="1">
                  <c:v>0.3322711362408029</c:v>
                </c:pt>
                <c:pt idx="2">
                  <c:v>7.5027308033177129E-2</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0.51396685768608374</c:v>
                </c:pt>
                <c:pt idx="1">
                  <c:v>0.31007244075704793</c:v>
                </c:pt>
                <c:pt idx="2">
                  <c:v>0.17596070155686827</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0.59270155572602001</c:v>
                </c:pt>
                <c:pt idx="1">
                  <c:v>0.3322711362408029</c:v>
                </c:pt>
                <c:pt idx="2">
                  <c:v>7.5027308033177129E-2</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0.51396685768608374</c:v>
                </c:pt>
                <c:pt idx="1">
                  <c:v>0.31007244075704793</c:v>
                </c:pt>
                <c:pt idx="2">
                  <c:v>0.17596070155686827</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0.59270155572602001</c:v>
                </c:pt>
                <c:pt idx="1">
                  <c:v>0.3322711362408029</c:v>
                </c:pt>
                <c:pt idx="2">
                  <c:v>7.5027308033177129E-2</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0.51396685768608374</c:v>
                </c:pt>
                <c:pt idx="1">
                  <c:v>0.31007244075704793</c:v>
                </c:pt>
                <c:pt idx="2">
                  <c:v>0.17596070155686827</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0.59270155572602001</c:v>
                </c:pt>
                <c:pt idx="1">
                  <c:v>0.3322711362408029</c:v>
                </c:pt>
                <c:pt idx="2">
                  <c:v>7.5027308033177129E-2</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0.51396685768608374</c:v>
                </c:pt>
                <c:pt idx="1">
                  <c:v>0.31007244075704793</c:v>
                </c:pt>
                <c:pt idx="2">
                  <c:v>0.17596070155686827</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0.59270155572602001</c:v>
                </c:pt>
                <c:pt idx="1">
                  <c:v>0.3322711362408029</c:v>
                </c:pt>
                <c:pt idx="2">
                  <c:v>7.5027308033177129E-2</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0.51396685768608374</c:v>
                </c:pt>
                <c:pt idx="1">
                  <c:v>0.31007244075704793</c:v>
                </c:pt>
                <c:pt idx="2">
                  <c:v>0.17596070155686827</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0.59270155572602001</c:v>
                </c:pt>
                <c:pt idx="1">
                  <c:v>0.3322711362408029</c:v>
                </c:pt>
                <c:pt idx="2">
                  <c:v>7.5027308033177129E-2</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0.51396685768608374</c:v>
                </c:pt>
                <c:pt idx="1">
                  <c:v>0.31007244075704793</c:v>
                </c:pt>
                <c:pt idx="2">
                  <c:v>0.17596070155686827</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0.59270155572602001</c:v>
                </c:pt>
                <c:pt idx="1">
                  <c:v>0.3322711362408029</c:v>
                </c:pt>
                <c:pt idx="2">
                  <c:v>7.5027308033177129E-2</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0.51396685768608374</c:v>
                </c:pt>
                <c:pt idx="1">
                  <c:v>0.31007244075704793</c:v>
                </c:pt>
                <c:pt idx="2">
                  <c:v>0.17596070155686827</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0.59270155572602001</c:v>
                </c:pt>
                <c:pt idx="1">
                  <c:v>0.3322711362408029</c:v>
                </c:pt>
                <c:pt idx="2">
                  <c:v>7.5027308033177129E-2</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0.51396685768608374</c:v>
                </c:pt>
                <c:pt idx="1">
                  <c:v>0.31007244075704793</c:v>
                </c:pt>
                <c:pt idx="2">
                  <c:v>0.17596070155686827</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0.59270155572602001</c:v>
                </c:pt>
                <c:pt idx="1">
                  <c:v>0.3322711362408029</c:v>
                </c:pt>
                <c:pt idx="2">
                  <c:v>7.5027308033177129E-2</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0.51396685768608374</c:v>
                </c:pt>
                <c:pt idx="1">
                  <c:v>0.31007244075704793</c:v>
                </c:pt>
                <c:pt idx="2">
                  <c:v>0.17596070155686827</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0.59270155572602001</c:v>
                </c:pt>
                <c:pt idx="1">
                  <c:v>0.3322711362408029</c:v>
                </c:pt>
                <c:pt idx="2">
                  <c:v>7.5027308033177129E-2</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0.51396685768608374</c:v>
                </c:pt>
                <c:pt idx="1">
                  <c:v>0.31007244075704793</c:v>
                </c:pt>
                <c:pt idx="2">
                  <c:v>0.17596070155686827</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(51.7 , 7.9)
나른한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51.667101582259555</c:v>
                      </c:pt>
                    </c:numCache>
                  </c:numRef>
                </c:xVal>
                <c:yVal>
                  <c:numRef>
                    <c:extLst>
                      <c:ext uri="{02D57815-91ED-43cb-92C2-25804820EDAC}">
                        <c15:formulaRef>
                          <c15:sqref>info!$W$20:$W$21</c15:sqref>
                        </c15:formulaRef>
                      </c:ext>
                    </c:extLst>
                    <c:numCache>
                      <c:formatCode>General</c:formatCode>
                      <c:ptCount val="2"/>
                      <c:pt idx="0">
                        <c:v>50</c:v>
                      </c:pt>
                      <c:pt idx="1">
                        <c:v>7.9100323359193352</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(68.4 , 75.3)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68.367400000000004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24.668500000000009</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(51.7 , 7.9)
나른한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51.667101582259555</c:v>
                      </c:pt>
                    </c:numCache>
                  </c:numRef>
                </c:xVal>
                <c:yVal>
                  <c:numRef>
                    <c:extLst>
                      <c:ext uri="{02D57815-91ED-43cb-92C2-25804820EDAC}">
                        <c15:formulaRef>
                          <c15:sqref>info!$W$20:$W$21</c15:sqref>
                        </c15:formulaRef>
                      </c:ext>
                    </c:extLst>
                    <c:numCache>
                      <c:formatCode>General</c:formatCode>
                      <c:ptCount val="2"/>
                      <c:pt idx="0">
                        <c:v>50</c:v>
                      </c:pt>
                      <c:pt idx="1">
                        <c:v>7.9100323359193352</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(68.4 , 75.3)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68.367400000000004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24.668500000000009</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(51.7 , 7.9)
나른한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51.667101582259555</c:v>
                      </c:pt>
                    </c:numCache>
                  </c:numRef>
                </c:xVal>
                <c:yVal>
                  <c:numRef>
                    <c:extLst>
                      <c:ext uri="{02D57815-91ED-43cb-92C2-25804820EDAC}">
                        <c15:formulaRef>
                          <c15:sqref>info!$W$20:$W$21</c15:sqref>
                        </c15:formulaRef>
                      </c:ext>
                    </c:extLst>
                    <c:numCache>
                      <c:formatCode>General</c:formatCode>
                      <c:ptCount val="2"/>
                      <c:pt idx="0">
                        <c:v>50</c:v>
                      </c:pt>
                      <c:pt idx="1">
                        <c:v>7.9100323359193352</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(68.4 , 75.3)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68.367400000000004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24.668500000000009</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(51.7 , 7.9)
나른한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51.667101582259555</c:v>
                      </c:pt>
                    </c:numCache>
                  </c:numRef>
                </c:xVal>
                <c:yVal>
                  <c:numRef>
                    <c:extLst>
                      <c:ext uri="{02D57815-91ED-43cb-92C2-25804820EDAC}">
                        <c15:formulaRef>
                          <c15:sqref>info!$W$20:$W$21</c15:sqref>
                        </c15:formulaRef>
                      </c:ext>
                    </c:extLst>
                    <c:numCache>
                      <c:formatCode>General</c:formatCode>
                      <c:ptCount val="2"/>
                      <c:pt idx="0">
                        <c:v>50</c:v>
                      </c:pt>
                      <c:pt idx="1">
                        <c:v>7.9100323359193352</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(68.4 , 75.3)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68.367400000000004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24.668500000000009</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(51.7 , 7.9)
나른한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51.667101582259555</c:v>
                      </c:pt>
                    </c:numCache>
                  </c:numRef>
                </c:xVal>
                <c:yVal>
                  <c:numRef>
                    <c:extLst>
                      <c:ext uri="{02D57815-91ED-43cb-92C2-25804820EDAC}">
                        <c15:formulaRef>
                          <c15:sqref>info!$W$20:$W$21</c15:sqref>
                        </c15:formulaRef>
                      </c:ext>
                    </c:extLst>
                    <c:numCache>
                      <c:formatCode>General</c:formatCode>
                      <c:ptCount val="2"/>
                      <c:pt idx="0">
                        <c:v>50</c:v>
                      </c:pt>
                      <c:pt idx="1">
                        <c:v>7.9100323359193352</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(68.4 , 75.3)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68.367400000000004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24.668500000000009</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(51.7 , 7.9)
나른한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51.667101582259555</c:v>
                      </c:pt>
                    </c:numCache>
                  </c:numRef>
                </c:xVal>
                <c:yVal>
                  <c:numRef>
                    <c:extLst>
                      <c:ext uri="{02D57815-91ED-43cb-92C2-25804820EDAC}">
                        <c15:formulaRef>
                          <c15:sqref>info!$W$20:$W$21</c15:sqref>
                        </c15:formulaRef>
                      </c:ext>
                    </c:extLst>
                    <c:numCache>
                      <c:formatCode>General</c:formatCode>
                      <c:ptCount val="2"/>
                      <c:pt idx="0">
                        <c:v>50</c:v>
                      </c:pt>
                      <c:pt idx="1">
                        <c:v>7.9100323359193352</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(68.4 , 75.3)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68.367400000000004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24.668500000000009</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(51.7 , 7.9)
나른한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51.667101582259555</c:v>
                      </c:pt>
                    </c:numCache>
                  </c:numRef>
                </c:xVal>
                <c:yVal>
                  <c:numRef>
                    <c:extLst>
                      <c:ext uri="{02D57815-91ED-43cb-92C2-25804820EDAC}">
                        <c15:formulaRef>
                          <c15:sqref>info!$W$20:$W$21</c15:sqref>
                        </c15:formulaRef>
                      </c:ext>
                    </c:extLst>
                    <c:numCache>
                      <c:formatCode>General</c:formatCode>
                      <c:ptCount val="2"/>
                      <c:pt idx="0">
                        <c:v>50</c:v>
                      </c:pt>
                      <c:pt idx="1">
                        <c:v>7.9100323359193352</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(68.4 , 75.3)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68.367400000000004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24.668500000000009</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(51.7 , 7.9)
나른한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51.667101582259555</c:v>
                      </c:pt>
                    </c:numCache>
                  </c:numRef>
                </c:xVal>
                <c:yVal>
                  <c:numRef>
                    <c:extLst>
                      <c:ext uri="{02D57815-91ED-43cb-92C2-25804820EDAC}">
                        <c15:formulaRef>
                          <c15:sqref>info!$W$20:$W$21</c15:sqref>
                        </c15:formulaRef>
                      </c:ext>
                    </c:extLst>
                    <c:numCache>
                      <c:formatCode>General</c:formatCode>
                      <c:ptCount val="2"/>
                      <c:pt idx="0">
                        <c:v>50</c:v>
                      </c:pt>
                      <c:pt idx="1">
                        <c:v>7.9100323359193352</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(68.4 , 75.3)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68.367400000000004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24.668500000000009</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(51.7 , 7.9)
나른한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51.667101582259555</c:v>
                      </c:pt>
                    </c:numCache>
                  </c:numRef>
                </c:xVal>
                <c:yVal>
                  <c:numRef>
                    <c:extLst>
                      <c:ext uri="{02D57815-91ED-43cb-92C2-25804820EDAC}">
                        <c15:formulaRef>
                          <c15:sqref>info!$W$20:$W$21</c15:sqref>
                        </c15:formulaRef>
                      </c:ext>
                    </c:extLst>
                    <c:numCache>
                      <c:formatCode>General</c:formatCode>
                      <c:ptCount val="2"/>
                      <c:pt idx="0">
                        <c:v>50</c:v>
                      </c:pt>
                      <c:pt idx="1">
                        <c:v>7.9100323359193352</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(68.4 , 75.3)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68.367400000000004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24.668500000000009</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(51.7 , 7.9)
나른한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51.667101582259555</c:v>
                      </c:pt>
                    </c:numCache>
                  </c:numRef>
                </c:xVal>
                <c:yVal>
                  <c:numRef>
                    <c:extLst>
                      <c:ext uri="{02D57815-91ED-43cb-92C2-25804820EDAC}">
                        <c15:formulaRef>
                          <c15:sqref>info!$W$20:$W$21</c15:sqref>
                        </c15:formulaRef>
                      </c:ext>
                    </c:extLst>
                    <c:numCache>
                      <c:formatCode>General</c:formatCode>
                      <c:ptCount val="2"/>
                      <c:pt idx="0">
                        <c:v>50</c:v>
                      </c:pt>
                      <c:pt idx="1">
                        <c:v>7.9100323359193352</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(68.4 , 75.3)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68.367400000000004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24.668500000000009</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(51.7 , 7.9)
나른한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51.667101582259555</c:v>
                      </c:pt>
                    </c:numCache>
                  </c:numRef>
                </c:xVal>
                <c:yVal>
                  <c:numRef>
                    <c:extLst>
                      <c:ext uri="{02D57815-91ED-43cb-92C2-25804820EDAC}">
                        <c15:formulaRef>
                          <c15:sqref>info!$W$20:$W$21</c15:sqref>
                        </c15:formulaRef>
                      </c:ext>
                    </c:extLst>
                    <c:numCache>
                      <c:formatCode>General</c:formatCode>
                      <c:ptCount val="2"/>
                      <c:pt idx="0">
                        <c:v>50</c:v>
                      </c:pt>
                      <c:pt idx="1">
                        <c:v>7.9100323359193352</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(68.4 , 75.3)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68.367400000000004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24.668500000000009</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(51.7 , 7.9)
나른한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51.667101582259555</c:v>
                      </c:pt>
                    </c:numCache>
                  </c:numRef>
                </c:xVal>
                <c:yVal>
                  <c:numRef>
                    <c:extLst>
                      <c:ext uri="{02D57815-91ED-43cb-92C2-25804820EDAC}">
                        <c15:formulaRef>
                          <c15:sqref>info!$W$20:$W$21</c15:sqref>
                        </c15:formulaRef>
                      </c:ext>
                    </c:extLst>
                    <c:numCache>
                      <c:formatCode>General</c:formatCode>
                      <c:ptCount val="2"/>
                      <c:pt idx="0">
                        <c:v>50</c:v>
                      </c:pt>
                      <c:pt idx="1">
                        <c:v>7.9100323359193352</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(68.4 , 75.3)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68.367400000000004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24.668500000000009</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(51.7 , 7.9)
나른한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51.667101582259555</c:v>
                      </c:pt>
                    </c:numCache>
                  </c:numRef>
                </c:xVal>
                <c:yVal>
                  <c:numRef>
                    <c:extLst>
                      <c:ext uri="{02D57815-91ED-43cb-92C2-25804820EDAC}">
                        <c15:formulaRef>
                          <c15:sqref>info!$W$20:$W$21</c15:sqref>
                        </c15:formulaRef>
                      </c:ext>
                    </c:extLst>
                    <c:numCache>
                      <c:formatCode>General</c:formatCode>
                      <c:ptCount val="2"/>
                      <c:pt idx="0">
                        <c:v>50</c:v>
                      </c:pt>
                      <c:pt idx="1">
                        <c:v>7.9100323359193352</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(68.4 , 75.3)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68.367400000000004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24.668500000000009</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(51.7 , 7.9)
나른한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51.667101582259555</c:v>
                      </c:pt>
                    </c:numCache>
                  </c:numRef>
                </c:xVal>
                <c:yVal>
                  <c:numRef>
                    <c:extLst>
                      <c:ext uri="{02D57815-91ED-43cb-92C2-25804820EDAC}">
                        <c15:formulaRef>
                          <c15:sqref>info!$W$20:$W$21</c15:sqref>
                        </c15:formulaRef>
                      </c:ext>
                    </c:extLst>
                    <c:numCache>
                      <c:formatCode>General</c:formatCode>
                      <c:ptCount val="2"/>
                      <c:pt idx="0">
                        <c:v>50</c:v>
                      </c:pt>
                      <c:pt idx="1">
                        <c:v>7.9100323359193352</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(68.4 , 75.3)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68.367400000000004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24.668500000000009</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6\11\vision%5ezcz7%5e1%5e1%5e\2025-06-11%2017_37_17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6\11\vision%5ezcz7%5e1%5e1%5e\2025-06-11%2017_37_17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89B56332-3971-A7C3-892E-681588AD984C}"/>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42CBCAD4-0342-32A4-6606-533B9932FCAC}"/>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45819.7346875</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zcz7</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1</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45819.7346875</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zcz7</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3</v>
      </c>
      <c r="L12" s="234" t="str">
        <f>IF(M12=2,Measurement!CK8,"")</f>
        <v/>
      </c>
      <c r="M12" s="309">
        <f>Measurement!CL8</f>
        <v>1</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에너지가 낮아 정적이고 지금 하는 일에 집중을 잘하고 있습니다. 일에 만족도를 높이기 위해선 신체적인 활력에너지를 높여주면 좋습니다.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( 87 , 11 )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보통</v>
      </c>
      <c r="F20" s="860"/>
      <c r="G20" s="327" t="str">
        <f>lang!B179</f>
        <v>지수</v>
      </c>
      <c r="H20" s="861">
        <f>Measurement!AQ7</f>
        <v>-0.90731561683834572</v>
      </c>
      <c r="I20" s="862"/>
      <c r="J20" s="311" t="str">
        <f>lang!B174</f>
        <v>정보량</v>
      </c>
      <c r="K20" s="236">
        <f ca="1">info!N9</f>
        <v>54.693910101010111</v>
      </c>
      <c r="L20" s="312" t="str">
        <f>lang!B175</f>
        <v>에너지</v>
      </c>
      <c r="M20" s="863">
        <f ca="1">info!M9</f>
        <v>1.9734783838383836</v>
      </c>
      <c r="N20" s="864"/>
      <c r="O20" s="846" t="str">
        <f>lang!B180</f>
        <v>유형</v>
      </c>
      <c r="P20" s="865"/>
      <c r="Q20" s="846" t="str">
        <f>IF(info!CB24&lt;&gt;"", info!CB24,"")</f>
        <v>3</v>
      </c>
      <c r="R20" s="847"/>
      <c r="S20" s="164">
        <f>Measurement!AS7</f>
        <v>3</v>
      </c>
    </row>
    <row r="21" spans="2:20" ht="12" customHeight="1">
      <c r="C21" s="202" t="s">
        <v>1072</v>
      </c>
      <c r="D21" s="180"/>
      <c r="E21" s="180"/>
      <c r="F21" s="180"/>
      <c r="G21" s="180"/>
      <c r="H21" s="203">
        <f>Measurement!AS7</f>
        <v>3</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3</v>
      </c>
      <c r="D27" s="148"/>
      <c r="E27" s="148"/>
      <c r="F27" s="148"/>
      <c r="G27" s="148"/>
      <c r="H27" s="148"/>
      <c r="I27" s="149"/>
      <c r="J27" s="177"/>
      <c r="K27" s="177"/>
      <c r="L27" s="177"/>
      <c r="M27" s="177"/>
      <c r="N27" s="177"/>
      <c r="O27" s="177"/>
      <c r="P27" s="177"/>
      <c r="Q27" s="177"/>
      <c r="R27" s="179"/>
      <c r="T27" s="80"/>
    </row>
    <row r="28" spans="2:20" ht="16.5" customHeight="1">
      <c r="C28" s="825" t="str">
        <f>Measurement!AV7</f>
        <v>보통인 뇌피로 상태입니다</v>
      </c>
      <c r="D28" s="826"/>
      <c r="E28" s="826"/>
      <c r="F28" s="827"/>
      <c r="G28" s="827"/>
      <c r="H28" s="827"/>
      <c r="I28" s="828"/>
      <c r="J28" s="829" t="str">
        <f ca="1">IF(info!CB31&lt;&gt;"",info!CB31,"")</f>
        <v>심리적으로 편안하지만 심리적 정보가 감소할 가능성이 있다. 에너지 대사량이 보통이며 감소하고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2</v>
      </c>
      <c r="J32" s="138" t="str">
        <f>lang!B14</f>
        <v>적극/공격성</v>
      </c>
      <c r="K32" s="89" t="s">
        <v>225</v>
      </c>
      <c r="L32" s="503" t="str">
        <f>Measurement!Y7</f>
        <v>낮음</v>
      </c>
      <c r="M32" s="815">
        <f>Measurement!R7</f>
        <v>21.7561</v>
      </c>
      <c r="N32" s="816"/>
      <c r="O32" s="817">
        <f>Measurement!N7</f>
        <v>24.363700000000001</v>
      </c>
      <c r="P32" s="818"/>
      <c r="Q32" s="819">
        <f>Measurement!T7</f>
        <v>31.992100000000001</v>
      </c>
      <c r="R32" s="820"/>
    </row>
    <row r="33" spans="3:18" ht="12.75" customHeight="1">
      <c r="C33" s="77"/>
      <c r="I33" s="502">
        <f>Measurement!L8</f>
        <v>3</v>
      </c>
      <c r="J33" s="139" t="str">
        <f>lang!B15</f>
        <v>스트레스</v>
      </c>
      <c r="K33" s="90" t="s">
        <v>226</v>
      </c>
      <c r="L33" s="504" t="str">
        <f>Measurement!Y8</f>
        <v>보통</v>
      </c>
      <c r="M33" s="792">
        <f>Measurement!R8</f>
        <v>13.3124</v>
      </c>
      <c r="N33" s="793"/>
      <c r="O33" s="806">
        <f>Measurement!N8</f>
        <v>30.6387</v>
      </c>
      <c r="P33" s="807"/>
      <c r="Q33" s="792">
        <f>Measurement!T8</f>
        <v>45.985300000000002</v>
      </c>
      <c r="R33" s="808"/>
    </row>
    <row r="34" spans="3:18" ht="12.75" customHeight="1">
      <c r="C34" s="77"/>
      <c r="I34" s="502">
        <f>Measurement!L9</f>
        <v>4</v>
      </c>
      <c r="J34" s="139" t="str">
        <f>lang!B16</f>
        <v>불안</v>
      </c>
      <c r="K34" s="90" t="s">
        <v>227</v>
      </c>
      <c r="L34" s="504" t="str">
        <f>Measurement!Y9</f>
        <v>높음</v>
      </c>
      <c r="M34" s="792">
        <f>Measurement!R9</f>
        <v>15.0055</v>
      </c>
      <c r="N34" s="793"/>
      <c r="O34" s="806">
        <f>Measurement!N9</f>
        <v>36.938099999999999</v>
      </c>
      <c r="P34" s="807"/>
      <c r="Q34" s="792">
        <f>Measurement!T9</f>
        <v>44.839599999999997</v>
      </c>
      <c r="R34" s="808"/>
    </row>
    <row r="35" spans="3:18" ht="12.75" customHeight="1">
      <c r="C35" s="77"/>
      <c r="I35" s="502">
        <f>Measurement!L10</f>
        <v>3</v>
      </c>
      <c r="J35" s="139" t="str">
        <f>lang!B17</f>
        <v>의심</v>
      </c>
      <c r="K35" s="90" t="s">
        <v>225</v>
      </c>
      <c r="L35" s="504" t="str">
        <f>Measurement!Y10</f>
        <v>보통</v>
      </c>
      <c r="M35" s="792">
        <f>Measurement!R10</f>
        <v>22.199000000000002</v>
      </c>
      <c r="N35" s="793"/>
      <c r="O35" s="806">
        <f>Measurement!N10</f>
        <v>28.286799999999999</v>
      </c>
      <c r="P35" s="807"/>
      <c r="Q35" s="792">
        <f>Measurement!T10</f>
        <v>36.786299999999997</v>
      </c>
      <c r="R35" s="808"/>
    </row>
    <row r="36" spans="3:18" ht="12.75" customHeight="1">
      <c r="C36" s="77"/>
      <c r="I36" s="502">
        <f>Measurement!L11</f>
        <v>4</v>
      </c>
      <c r="J36" s="139" t="str">
        <f>lang!B18</f>
        <v>밸런스</v>
      </c>
      <c r="K36" s="90" t="s">
        <v>2171</v>
      </c>
      <c r="L36" s="504" t="str">
        <f>Measurement!Y11</f>
        <v>높음</v>
      </c>
      <c r="M36" s="792">
        <f>Measurement!R11</f>
        <v>48.386600000000001</v>
      </c>
      <c r="N36" s="793"/>
      <c r="O36" s="806">
        <f>Measurement!N11</f>
        <v>71.840400000000002</v>
      </c>
      <c r="P36" s="807"/>
      <c r="Q36" s="792">
        <f>Measurement!T11</f>
        <v>81.222300000000004</v>
      </c>
      <c r="R36" s="808"/>
    </row>
    <row r="37" spans="3:18" ht="12.75" customHeight="1">
      <c r="C37" s="77"/>
      <c r="I37" s="502">
        <f>Measurement!L12</f>
        <v>3</v>
      </c>
      <c r="J37" s="139" t="str">
        <f>lang!B19</f>
        <v>카리스마</v>
      </c>
      <c r="K37" s="90" t="s">
        <v>229</v>
      </c>
      <c r="L37" s="504" t="str">
        <f>Measurement!Y12</f>
        <v>보통</v>
      </c>
      <c r="M37" s="792">
        <f>Measurement!R12</f>
        <v>6.9304500000000004</v>
      </c>
      <c r="N37" s="793"/>
      <c r="O37" s="806">
        <f>Measurement!N12</f>
        <v>69.118899999999996</v>
      </c>
      <c r="P37" s="807"/>
      <c r="Q37" s="792">
        <f>Measurement!T12</f>
        <v>88.743099999999998</v>
      </c>
      <c r="R37" s="808"/>
    </row>
    <row r="38" spans="3:18" ht="12.75" customHeight="1">
      <c r="C38" s="77"/>
      <c r="I38" s="502">
        <f>Measurement!L13</f>
        <v>1</v>
      </c>
      <c r="J38" s="139" t="str">
        <f>lang!B20</f>
        <v>에너지</v>
      </c>
      <c r="K38" s="90" t="s">
        <v>2170</v>
      </c>
      <c r="L38" s="504" t="str">
        <f>Measurement!Y13</f>
        <v>매우 낮음</v>
      </c>
      <c r="M38" s="792">
        <f>Measurement!R13</f>
        <v>6.6657299999999999</v>
      </c>
      <c r="N38" s="793"/>
      <c r="O38" s="806">
        <f>Measurement!N13</f>
        <v>8.7564200000000003</v>
      </c>
      <c r="P38" s="807"/>
      <c r="Q38" s="792">
        <f>Measurement!T13</f>
        <v>20.7714</v>
      </c>
      <c r="R38" s="808"/>
    </row>
    <row r="39" spans="3:18" ht="12.75" customHeight="1">
      <c r="C39" s="77"/>
      <c r="I39" s="502">
        <f>Measurement!L14</f>
        <v>3</v>
      </c>
      <c r="J39" s="139" t="str">
        <f>lang!B21</f>
        <v>자기조절</v>
      </c>
      <c r="K39" s="90" t="s">
        <v>230</v>
      </c>
      <c r="L39" s="504" t="str">
        <f>Measurement!Y14</f>
        <v>보통</v>
      </c>
      <c r="M39" s="792">
        <f>Measurement!R14</f>
        <v>34.468400000000003</v>
      </c>
      <c r="N39" s="793"/>
      <c r="O39" s="806">
        <f>Measurement!N14</f>
        <v>64.744399999999999</v>
      </c>
      <c r="P39" s="807"/>
      <c r="Q39" s="792">
        <f>Measurement!T14</f>
        <v>84.553899999999999</v>
      </c>
      <c r="R39" s="808"/>
    </row>
    <row r="40" spans="3:18" ht="12.75" customHeight="1">
      <c r="C40" s="77"/>
      <c r="I40" s="502">
        <f>Measurement!L15</f>
        <v>3</v>
      </c>
      <c r="J40" s="139" t="str">
        <f>lang!B22</f>
        <v>억제</v>
      </c>
      <c r="K40" s="91" t="s">
        <v>248</v>
      </c>
      <c r="L40" s="504" t="str">
        <f>Measurement!Y15</f>
        <v>보통</v>
      </c>
      <c r="M40" s="792">
        <f>Measurement!R15</f>
        <v>13.666</v>
      </c>
      <c r="N40" s="793"/>
      <c r="O40" s="806">
        <f>Measurement!N15</f>
        <v>15.895200000000001</v>
      </c>
      <c r="P40" s="807"/>
      <c r="Q40" s="792">
        <f>Measurement!T15</f>
        <v>19.270700000000001</v>
      </c>
      <c r="R40" s="808"/>
    </row>
    <row r="41" spans="3:18" ht="12.75" customHeight="1" thickBot="1">
      <c r="C41" s="77"/>
      <c r="I41" s="502">
        <f>Measurement!L16</f>
        <v>2</v>
      </c>
      <c r="J41" s="140" t="str">
        <f>lang!B23</f>
        <v>신경성</v>
      </c>
      <c r="K41" s="92" t="s">
        <v>231</v>
      </c>
      <c r="L41" s="504" t="str">
        <f>Measurement!Y16</f>
        <v>낮음</v>
      </c>
      <c r="M41" s="794">
        <f>Measurement!R16</f>
        <v>1.42041</v>
      </c>
      <c r="N41" s="795"/>
      <c r="O41" s="796">
        <f>Measurement!N16</f>
        <v>11.2523</v>
      </c>
      <c r="P41" s="797"/>
      <c r="Q41" s="794">
        <f>Measurement!T16</f>
        <v>16.790299999999998</v>
      </c>
      <c r="R41" s="798"/>
    </row>
    <row r="42" spans="3:18" ht="29.25" customHeight="1" thickBot="1">
      <c r="C42" s="77"/>
      <c r="I42" s="84"/>
      <c r="J42" s="780" t="str">
        <f>lang!B215</f>
        <v>감정변이도</v>
      </c>
      <c r="K42" s="781"/>
      <c r="L42" s="319" t="str">
        <f>info!V43</f>
        <v>보통</v>
      </c>
      <c r="M42" s="782">
        <f>info!W43</f>
        <v>25.353300000000001</v>
      </c>
      <c r="N42" s="783"/>
      <c r="O42" s="784" t="str">
        <f>info!V44</f>
        <v>감정변화가 안정된 정상적인 상태</v>
      </c>
      <c r="P42" s="785"/>
      <c r="Q42" s="785"/>
      <c r="R42" s="786"/>
    </row>
    <row r="43" spans="3:18" ht="16.5" customHeight="1">
      <c r="C43" s="787" t="str">
        <f>lang!B226</f>
        <v>활력도</v>
      </c>
      <c r="D43" s="788"/>
      <c r="E43" s="788"/>
      <c r="F43" s="789" t="str">
        <f>info!V40</f>
        <v>낮 음</v>
      </c>
      <c r="G43" s="789"/>
      <c r="H43" s="789"/>
      <c r="I43" s="790"/>
      <c r="J43" s="787" t="str">
        <f>lang!B237</f>
        <v>집중도</v>
      </c>
      <c r="K43" s="788"/>
      <c r="L43" s="788"/>
      <c r="M43" s="789" t="str">
        <f>info!W40</f>
        <v>보 통</v>
      </c>
      <c r="N43" s="789"/>
      <c r="O43" s="789"/>
      <c r="P43" s="789"/>
      <c r="Q43" s="789"/>
      <c r="R43" s="791"/>
    </row>
    <row r="44" spans="3:18" ht="16.5" customHeight="1">
      <c r="C44" s="799">
        <f>info!$V$36</f>
        <v>0.89397800000000005</v>
      </c>
      <c r="E44" s="249" t="s">
        <v>1072</v>
      </c>
      <c r="G44" s="289"/>
      <c r="H44" s="289"/>
      <c r="I44" s="290"/>
      <c r="J44" s="802">
        <f>info!$W$36</f>
        <v>55.651539999999997</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45819.7346875</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zcz7</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3</v>
      </c>
      <c r="L12" s="234" t="str">
        <f>IF(M12=2,Measurement!CK8,"")</f>
        <v/>
      </c>
      <c r="M12" s="309">
        <f>Measurement!CL8</f>
        <v>1</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차분한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에너지가 낮아 정적이고 지금 하는 일에 집중을 잘하고 있습니다. 일에 만족도를 높이기 위해선 신체적인 활력에너지를 높여주면 좋습니다.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( 87 , 11 )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보통</v>
      </c>
      <c r="F20" s="860"/>
      <c r="G20" s="327" t="str">
        <f>lang!B179</f>
        <v>지수</v>
      </c>
      <c r="H20" s="861">
        <f>Measurement!AQ7</f>
        <v>-0.90731561683834572</v>
      </c>
      <c r="I20" s="862"/>
      <c r="J20" s="311" t="str">
        <f>lang!B174</f>
        <v>정보량</v>
      </c>
      <c r="K20" s="236">
        <f ca="1">info!N9</f>
        <v>54.693910101010111</v>
      </c>
      <c r="L20" s="312" t="str">
        <f>lang!B175</f>
        <v>에너지</v>
      </c>
      <c r="M20" s="863">
        <f ca="1">info!M9</f>
        <v>1.9734783838383836</v>
      </c>
      <c r="N20" s="864"/>
      <c r="O20" s="846" t="str">
        <f>lang!B180</f>
        <v>유형</v>
      </c>
      <c r="P20" s="865"/>
      <c r="Q20" s="846" t="str">
        <f>IF(info!CB24&lt;&gt;"", info!CB24,"")</f>
        <v>3</v>
      </c>
      <c r="R20" s="847"/>
      <c r="S20" s="164">
        <f>Measurement!AS7</f>
        <v>3</v>
      </c>
    </row>
    <row r="21" spans="2:20" ht="12" customHeight="1">
      <c r="C21" s="202" t="s">
        <v>1072</v>
      </c>
      <c r="D21" s="180"/>
      <c r="E21" s="180"/>
      <c r="F21" s="180"/>
      <c r="G21" s="180"/>
      <c r="H21" s="203">
        <f>Measurement!AS7</f>
        <v>3</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3</v>
      </c>
      <c r="D27" s="148"/>
      <c r="E27" s="148"/>
      <c r="F27" s="148"/>
      <c r="G27" s="148"/>
      <c r="H27" s="148"/>
      <c r="I27" s="149"/>
      <c r="J27" s="177"/>
      <c r="K27" s="177"/>
      <c r="L27" s="177"/>
      <c r="M27" s="177"/>
      <c r="N27" s="177"/>
      <c r="O27" s="177"/>
      <c r="P27" s="177"/>
      <c r="Q27" s="177"/>
      <c r="R27" s="179"/>
      <c r="T27" s="80"/>
    </row>
    <row r="28" spans="2:20" ht="16.5" customHeight="1">
      <c r="C28" s="825" t="str">
        <f>Measurement!AV7</f>
        <v>보통인 뇌피로 상태입니다</v>
      </c>
      <c r="D28" s="826"/>
      <c r="E28" s="826"/>
      <c r="F28" s="827"/>
      <c r="G28" s="827"/>
      <c r="H28" s="827"/>
      <c r="I28" s="828"/>
      <c r="J28" s="829" t="str">
        <f ca="1">IF(UPPER(FH_info!M2)="EN", "", IF(info!CB31&lt;&gt;"",info!CB31,""))</f>
        <v>심리적으로 편안하지만 심리적 정보가 감소할 가능성이 있다. 에너지 대사량이 보통이며 감소하고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2</v>
      </c>
      <c r="J32" s="138" t="str">
        <f>lang!B14</f>
        <v>적극/공격성</v>
      </c>
      <c r="K32" s="89" t="s">
        <v>225</v>
      </c>
      <c r="L32" s="503" t="str">
        <f>Measurement!Y7</f>
        <v>낮음</v>
      </c>
      <c r="M32" s="815">
        <f>Measurement!R7</f>
        <v>21.7561</v>
      </c>
      <c r="N32" s="816"/>
      <c r="O32" s="817">
        <f>Measurement!N7</f>
        <v>24.363700000000001</v>
      </c>
      <c r="P32" s="818"/>
      <c r="Q32" s="819">
        <f>Measurement!T7</f>
        <v>31.992100000000001</v>
      </c>
      <c r="R32" s="820"/>
    </row>
    <row r="33" spans="3:18" ht="12.75" customHeight="1">
      <c r="C33" s="77"/>
      <c r="I33" s="502">
        <f>Measurement!L8</f>
        <v>3</v>
      </c>
      <c r="J33" s="139" t="str">
        <f>lang!B15</f>
        <v>스트레스</v>
      </c>
      <c r="K33" s="90" t="s">
        <v>226</v>
      </c>
      <c r="L33" s="504" t="str">
        <f>Measurement!Y8</f>
        <v>보통</v>
      </c>
      <c r="M33" s="792">
        <f>Measurement!R8</f>
        <v>13.3124</v>
      </c>
      <c r="N33" s="793"/>
      <c r="O33" s="806">
        <f>Measurement!N8</f>
        <v>30.6387</v>
      </c>
      <c r="P33" s="807"/>
      <c r="Q33" s="792">
        <f>Measurement!T8</f>
        <v>45.985300000000002</v>
      </c>
      <c r="R33" s="808"/>
    </row>
    <row r="34" spans="3:18" ht="12.75" customHeight="1">
      <c r="C34" s="77"/>
      <c r="I34" s="502">
        <f>Measurement!L9</f>
        <v>4</v>
      </c>
      <c r="J34" s="139" t="str">
        <f>lang!B16</f>
        <v>불안</v>
      </c>
      <c r="K34" s="90" t="s">
        <v>227</v>
      </c>
      <c r="L34" s="504" t="str">
        <f>Measurement!Y9</f>
        <v>높음</v>
      </c>
      <c r="M34" s="792">
        <f>Measurement!R9</f>
        <v>15.0055</v>
      </c>
      <c r="N34" s="793"/>
      <c r="O34" s="806">
        <f>Measurement!N9</f>
        <v>36.938099999999999</v>
      </c>
      <c r="P34" s="807"/>
      <c r="Q34" s="792">
        <f>Measurement!T9</f>
        <v>44.839599999999997</v>
      </c>
      <c r="R34" s="808"/>
    </row>
    <row r="35" spans="3:18" ht="12.75" customHeight="1">
      <c r="C35" s="77"/>
      <c r="I35" s="502">
        <f>Measurement!L10</f>
        <v>3</v>
      </c>
      <c r="J35" s="139" t="str">
        <f>lang!B17</f>
        <v>의심</v>
      </c>
      <c r="K35" s="90" t="s">
        <v>225</v>
      </c>
      <c r="L35" s="504" t="str">
        <f>Measurement!Y10</f>
        <v>보통</v>
      </c>
      <c r="M35" s="792">
        <f>Measurement!R10</f>
        <v>22.199000000000002</v>
      </c>
      <c r="N35" s="793"/>
      <c r="O35" s="806">
        <f>Measurement!N10</f>
        <v>28.286799999999999</v>
      </c>
      <c r="P35" s="807"/>
      <c r="Q35" s="792">
        <f>Measurement!T10</f>
        <v>36.786299999999997</v>
      </c>
      <c r="R35" s="808"/>
    </row>
    <row r="36" spans="3:18" ht="12.75" customHeight="1">
      <c r="C36" s="77"/>
      <c r="I36" s="502">
        <f>Measurement!L11</f>
        <v>4</v>
      </c>
      <c r="J36" s="139" t="str">
        <f>lang!B18</f>
        <v>밸런스</v>
      </c>
      <c r="K36" s="90" t="s">
        <v>2171</v>
      </c>
      <c r="L36" s="504" t="str">
        <f>Measurement!Y11</f>
        <v>높음</v>
      </c>
      <c r="M36" s="792">
        <f>Measurement!R11</f>
        <v>48.386600000000001</v>
      </c>
      <c r="N36" s="793"/>
      <c r="O36" s="806">
        <f>Measurement!N11</f>
        <v>71.840400000000002</v>
      </c>
      <c r="P36" s="807"/>
      <c r="Q36" s="792">
        <f>Measurement!T11</f>
        <v>81.222300000000004</v>
      </c>
      <c r="R36" s="808"/>
    </row>
    <row r="37" spans="3:18" ht="12.75" customHeight="1">
      <c r="C37" s="77"/>
      <c r="I37" s="502">
        <f>Measurement!L12</f>
        <v>3</v>
      </c>
      <c r="J37" s="139" t="str">
        <f>lang!B19</f>
        <v>카리스마</v>
      </c>
      <c r="K37" s="90" t="s">
        <v>229</v>
      </c>
      <c r="L37" s="504" t="str">
        <f>Measurement!Y12</f>
        <v>보통</v>
      </c>
      <c r="M37" s="792">
        <f>Measurement!R12</f>
        <v>6.9304500000000004</v>
      </c>
      <c r="N37" s="793"/>
      <c r="O37" s="806">
        <f>Measurement!N12</f>
        <v>69.118899999999996</v>
      </c>
      <c r="P37" s="807"/>
      <c r="Q37" s="792">
        <f>Measurement!T12</f>
        <v>88.743099999999998</v>
      </c>
      <c r="R37" s="808"/>
    </row>
    <row r="38" spans="3:18" ht="12.75" customHeight="1">
      <c r="C38" s="77"/>
      <c r="I38" s="502">
        <f>Measurement!L13</f>
        <v>1</v>
      </c>
      <c r="J38" s="139" t="str">
        <f>lang!B20</f>
        <v>에너지</v>
      </c>
      <c r="K38" s="90" t="s">
        <v>2170</v>
      </c>
      <c r="L38" s="504" t="str">
        <f>Measurement!Y13</f>
        <v>매우 낮음</v>
      </c>
      <c r="M38" s="792">
        <f>Measurement!R13</f>
        <v>6.6657299999999999</v>
      </c>
      <c r="N38" s="793"/>
      <c r="O38" s="806">
        <f>Measurement!N13</f>
        <v>8.7564200000000003</v>
      </c>
      <c r="P38" s="807"/>
      <c r="Q38" s="792">
        <f>Measurement!T13</f>
        <v>20.7714</v>
      </c>
      <c r="R38" s="808"/>
    </row>
    <row r="39" spans="3:18" ht="12.75" customHeight="1">
      <c r="C39" s="77"/>
      <c r="I39" s="502">
        <f>Measurement!L14</f>
        <v>3</v>
      </c>
      <c r="J39" s="139" t="str">
        <f>lang!B21</f>
        <v>자기조절</v>
      </c>
      <c r="K39" s="90" t="s">
        <v>230</v>
      </c>
      <c r="L39" s="504" t="str">
        <f>Measurement!Y14</f>
        <v>보통</v>
      </c>
      <c r="M39" s="792">
        <f>Measurement!R14</f>
        <v>34.468400000000003</v>
      </c>
      <c r="N39" s="793"/>
      <c r="O39" s="806">
        <f>Measurement!N14</f>
        <v>64.744399999999999</v>
      </c>
      <c r="P39" s="807"/>
      <c r="Q39" s="792">
        <f>Measurement!T14</f>
        <v>84.553899999999999</v>
      </c>
      <c r="R39" s="808"/>
    </row>
    <row r="40" spans="3:18" ht="12.75" customHeight="1">
      <c r="C40" s="77"/>
      <c r="I40" s="502">
        <f>Measurement!L15</f>
        <v>3</v>
      </c>
      <c r="J40" s="139" t="str">
        <f>lang!B22</f>
        <v>억제</v>
      </c>
      <c r="K40" s="91" t="s">
        <v>248</v>
      </c>
      <c r="L40" s="504" t="str">
        <f>Measurement!Y15</f>
        <v>보통</v>
      </c>
      <c r="M40" s="792">
        <f>Measurement!R15</f>
        <v>13.666</v>
      </c>
      <c r="N40" s="793"/>
      <c r="O40" s="806">
        <f>Measurement!N15</f>
        <v>15.895200000000001</v>
      </c>
      <c r="P40" s="807"/>
      <c r="Q40" s="792">
        <f>Measurement!T15</f>
        <v>19.270700000000001</v>
      </c>
      <c r="R40" s="808"/>
    </row>
    <row r="41" spans="3:18" ht="12.75" customHeight="1" thickBot="1">
      <c r="C41" s="77"/>
      <c r="I41" s="502">
        <f>Measurement!L16</f>
        <v>2</v>
      </c>
      <c r="J41" s="140" t="str">
        <f>lang!B23</f>
        <v>신경성</v>
      </c>
      <c r="K41" s="92" t="s">
        <v>231</v>
      </c>
      <c r="L41" s="504" t="str">
        <f>Measurement!Y16</f>
        <v>낮음</v>
      </c>
      <c r="M41" s="794">
        <f>Measurement!R16</f>
        <v>1.42041</v>
      </c>
      <c r="N41" s="795"/>
      <c r="O41" s="796">
        <f>Measurement!N16</f>
        <v>11.2523</v>
      </c>
      <c r="P41" s="797"/>
      <c r="Q41" s="794">
        <f>Measurement!T16</f>
        <v>16.790299999999998</v>
      </c>
      <c r="R41" s="798"/>
    </row>
    <row r="42" spans="3:18" ht="29.25" customHeight="1" thickBot="1">
      <c r="C42" s="77"/>
      <c r="I42" s="84"/>
      <c r="J42" s="780" t="str">
        <f>lang!B215</f>
        <v>감정변이도</v>
      </c>
      <c r="K42" s="781"/>
      <c r="L42" s="319" t="str">
        <f>info!V43</f>
        <v>보통</v>
      </c>
      <c r="M42" s="782">
        <f>info!W43</f>
        <v>25.353300000000001</v>
      </c>
      <c r="N42" s="783"/>
      <c r="O42" s="784" t="str">
        <f>info!V44</f>
        <v>감정변화가 안정된 정상적인 상태</v>
      </c>
      <c r="P42" s="785"/>
      <c r="Q42" s="785"/>
      <c r="R42" s="786"/>
    </row>
    <row r="43" spans="3:18" ht="16.5" customHeight="1">
      <c r="C43" s="787" t="str">
        <f>lang!B226</f>
        <v>활력도</v>
      </c>
      <c r="D43" s="788"/>
      <c r="E43" s="788"/>
      <c r="F43" s="789" t="str">
        <f>info!V40</f>
        <v>낮 음</v>
      </c>
      <c r="G43" s="789"/>
      <c r="H43" s="789"/>
      <c r="I43" s="790"/>
      <c r="J43" s="787" t="str">
        <f>lang!B237</f>
        <v>집중도</v>
      </c>
      <c r="K43" s="788"/>
      <c r="L43" s="788"/>
      <c r="M43" s="789" t="str">
        <f>info!W40</f>
        <v>보 통</v>
      </c>
      <c r="N43" s="789"/>
      <c r="O43" s="789"/>
      <c r="P43" s="789"/>
      <c r="Q43" s="789"/>
      <c r="R43" s="791"/>
    </row>
    <row r="44" spans="3:18" ht="16.5" customHeight="1">
      <c r="C44" s="799">
        <f>info!$V$36</f>
        <v>0.89397800000000005</v>
      </c>
      <c r="E44" s="249" t="s">
        <v>1195</v>
      </c>
      <c r="G44" s="289"/>
      <c r="H44" s="289"/>
      <c r="I44" s="290"/>
      <c r="J44" s="802">
        <f>info!$W$36</f>
        <v>55.651539999999997</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45819.7346875</v>
      </c>
      <c r="I7" s="914"/>
      <c r="J7" s="915"/>
      <c r="K7" s="166" t="str">
        <f>lang!B160</f>
        <v>나이</v>
      </c>
      <c r="L7" s="878" t="str">
        <f>IF(FH_info!B2="","",TRIM(MID(SUBSTITUTE(FH_info!B2,"^",REPT(" ",LEN(FH_info!B2))),LEN(FH_info!B2)*4-LEN(FH_info!B2)+1,LEN(FH_info!B2))))</f>
        <v>1</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zcz7</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(0.21,0.53)</v>
      </c>
      <c r="S18" s="966"/>
      <c r="T18" s="967"/>
    </row>
    <row r="19" spans="2:22" ht="16.5" customHeight="1">
      <c r="C19" s="136" t="str">
        <f>lang!B328</f>
        <v>최소값</v>
      </c>
      <c r="D19" s="105">
        <f ca="1">info!M7</f>
        <v>48.9756</v>
      </c>
      <c r="E19" s="94" t="str">
        <f>lang!B330</f>
        <v>평균값</v>
      </c>
      <c r="F19" s="971">
        <f ca="1">info!N9</f>
        <v>54.693910101010111</v>
      </c>
      <c r="G19" s="972"/>
      <c r="H19" s="912" t="str">
        <f>lang!B329</f>
        <v>최대값</v>
      </c>
      <c r="I19" s="913"/>
      <c r="J19" s="105">
        <f ca="1">info!M8</f>
        <v>69.731200000000001</v>
      </c>
      <c r="K19" s="137" t="str">
        <f>lang!B328</f>
        <v>최소값</v>
      </c>
      <c r="L19" s="105">
        <f ca="1">info!M5</f>
        <v>1.6955999999999998</v>
      </c>
      <c r="M19" s="94" t="str">
        <f>lang!B330</f>
        <v>평균값</v>
      </c>
      <c r="N19" s="971">
        <f ca="1">info!M9</f>
        <v>1.9734783838383836</v>
      </c>
      <c r="O19" s="972">
        <f>info!T9</f>
        <v>1</v>
      </c>
      <c r="P19" s="94" t="str">
        <f>lang!B329</f>
        <v>최대값</v>
      </c>
      <c r="Q19" s="105">
        <f ca="1">info!M6</f>
        <v>2.5600399999999999</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27.930992295040582</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0.89397800000000005</v>
      </c>
      <c r="N47" s="986"/>
      <c r="O47" s="451"/>
      <c r="P47" s="491" t="s">
        <v>1101</v>
      </c>
      <c r="Q47" s="987">
        <f>hist!M3</f>
        <v>0.24209600000000001</v>
      </c>
      <c r="R47" s="986"/>
      <c r="S47" s="451"/>
      <c r="T47" s="452"/>
    </row>
    <row r="48" spans="3:20" ht="18" customHeight="1">
      <c r="C48" s="931"/>
      <c r="D48" s="910"/>
      <c r="E48" s="910"/>
      <c r="F48" s="355"/>
      <c r="G48" s="355"/>
      <c r="H48" s="356"/>
      <c r="I48" s="356"/>
      <c r="J48" s="951"/>
      <c r="K48" s="951"/>
      <c r="L48" s="936"/>
      <c r="M48" s="988">
        <f>hist!N2</f>
        <v>0.50248899999999996</v>
      </c>
      <c r="N48" s="989"/>
      <c r="O48" s="451"/>
      <c r="P48" s="491" t="s">
        <v>1102</v>
      </c>
      <c r="Q48" s="986">
        <f>hist!N3</f>
        <v>0.247636</v>
      </c>
      <c r="R48" s="989"/>
      <c r="S48" s="451"/>
      <c r="T48" s="452"/>
    </row>
    <row r="49" spans="3:20" ht="22.5" customHeight="1" thickBot="1">
      <c r="C49" s="932"/>
      <c r="D49" s="934" t="str">
        <f>lang!B353</f>
        <v>저활력도 (0%)</v>
      </c>
      <c r="E49" s="934"/>
      <c r="F49" s="934"/>
      <c r="G49" s="934"/>
      <c r="H49" s="934"/>
      <c r="I49" s="934"/>
      <c r="J49" s="934"/>
      <c r="K49" s="934"/>
      <c r="L49" s="937"/>
      <c r="M49" s="990">
        <f>hist!O2</f>
        <v>0.25249500000000002</v>
      </c>
      <c r="N49" s="991"/>
      <c r="O49" s="453"/>
      <c r="P49" s="454" t="s">
        <v>1588</v>
      </c>
      <c r="Q49" s="992">
        <f>hist!O3</f>
        <v>6.1323999999999997E-2</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vision^zcz7^1^1^</v>
      </c>
      <c r="D4" s="1104"/>
      <c r="E4" s="1104"/>
      <c r="F4" s="1105"/>
      <c r="G4" s="38" t="str">
        <f>lang!B27</f>
        <v>ID</v>
      </c>
      <c r="H4" s="1103"/>
      <c r="I4" s="1104"/>
      <c r="J4" s="1104"/>
      <c r="K4" s="1106"/>
      <c r="AF4" s="169" t="str">
        <f>'Report-뇌피로'!K7</f>
        <v>1</v>
      </c>
      <c r="AG4" s="168" t="s">
        <v>1049</v>
      </c>
      <c r="AZ4" t="s">
        <v>1092</v>
      </c>
      <c r="BK4" t="s">
        <v>1096</v>
      </c>
      <c r="BV4" t="s">
        <v>1094</v>
      </c>
      <c r="CG4" s="305">
        <f>IF(SUM($AY$7:$AY$13)&gt;0,HLOOKUP(1,$BV$6:$CE$8,3,FALSE),"")</f>
        <v>3</v>
      </c>
      <c r="CH4" s="305">
        <f>IF(SUM($AY$7:$AY$13)&gt;0,HLOOKUP(2,$BV$6:$CE$8,3,FALSE),"")</f>
        <v>7</v>
      </c>
      <c r="CI4" t="s">
        <v>1570</v>
      </c>
      <c r="CJ4" s="426">
        <f>DK17*100</f>
        <v>51.667101582259555</v>
      </c>
      <c r="CK4" s="422">
        <f>info!W21</f>
        <v>7.9100323359193352</v>
      </c>
      <c r="CL4">
        <f>100-M!B19*100</f>
        <v>24.668500000000009</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45819.7346875</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25.353300000000001</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6</v>
      </c>
      <c r="BW6" s="220">
        <f t="shared" ref="BW6:CE6" si="0">IF(BW7&lt;&gt;"",RANK(BW7,$BV$7:$CE$7),"")</f>
        <v>3</v>
      </c>
      <c r="BX6" s="220">
        <f t="shared" si="0"/>
        <v>1</v>
      </c>
      <c r="BY6" s="220">
        <f t="shared" si="0"/>
        <v>8</v>
      </c>
      <c r="BZ6" s="220">
        <f t="shared" si="0"/>
        <v>10</v>
      </c>
      <c r="CA6" s="220">
        <f t="shared" si="0"/>
        <v>7</v>
      </c>
      <c r="CB6" s="220">
        <f t="shared" si="0"/>
        <v>2</v>
      </c>
      <c r="CC6" s="220">
        <f t="shared" si="0"/>
        <v>4</v>
      </c>
      <c r="CD6" s="220">
        <f t="shared" si="0"/>
        <v>9</v>
      </c>
      <c r="CE6" s="220">
        <f t="shared" si="0"/>
        <v>5</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2</v>
      </c>
      <c r="M7" s="162" t="str">
        <f>lang!B14</f>
        <v>적극/공격성</v>
      </c>
      <c r="N7" s="48">
        <f>IF(M!B5="","",M!B5*1)</f>
        <v>24.363700000000001</v>
      </c>
      <c r="O7" s="48">
        <f>M!C5*1</f>
        <v>3.0906799999999999</v>
      </c>
      <c r="P7" s="48">
        <f>M!D5*1</f>
        <v>12.685600000000001</v>
      </c>
      <c r="Q7" s="48">
        <f>M!E5*1</f>
        <v>20</v>
      </c>
      <c r="R7" s="48">
        <f>IF(M!B5="","",M!F5*1)</f>
        <v>21.7561</v>
      </c>
      <c r="S7" s="48">
        <f>M!G5*1</f>
        <v>50</v>
      </c>
      <c r="T7" s="48">
        <f>IF(M!B5="","",M!H5*1)</f>
        <v>31.992100000000001</v>
      </c>
      <c r="U7" s="125">
        <v>20</v>
      </c>
      <c r="V7" s="125">
        <v>25</v>
      </c>
      <c r="W7" s="125">
        <v>45</v>
      </c>
      <c r="X7" s="125">
        <v>50</v>
      </c>
      <c r="Y7" s="126" t="str">
        <f>IF(M!B5="","",IF(N7&lt;U7,lang!B$210,IF(N7&lt;V7,lang!B$211,IF(N7&lt;W7,lang!B$212,IF(N7&lt;X7,lang!B$213,lang!B$214)))))</f>
        <v>낮음</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-3.2634886032383545</v>
      </c>
      <c r="AI7" s="98">
        <v>2.5024862326905418E-2</v>
      </c>
      <c r="AJ7" s="98">
        <v>-7.7313821231156016E-2</v>
      </c>
      <c r="AK7" s="98">
        <v>0.50012525104428274</v>
      </c>
      <c r="AL7" s="98">
        <v>-8.545985269705475E-2</v>
      </c>
      <c r="AM7" s="98">
        <f>$AH7*AI7+$AH8*AI8+$AH9*AI9+$AH10*AI10+$AH11*AI11+$AH12*AI12+$AH13*AI13+$AH14*AI14+$AH15*AI15+$AH16*AI16</f>
        <v>-1.3471954449423644</v>
      </c>
      <c r="AN7" s="98">
        <f t="shared" ref="AN7:AP7" si="2">$AH7*AJ7+$AH8*AJ8+$AH9*AJ9+$AH10*AJ10+$AH11*AJ11+$AH12*AJ12+$AH13*AJ13+$AH14*AJ14+$AH15*AJ15+$AH16*AJ16</f>
        <v>3.0965578860120813</v>
      </c>
      <c r="AO7" s="98">
        <f t="shared" si="2"/>
        <v>-3.3032004918687417</v>
      </c>
      <c r="AP7" s="98">
        <f t="shared" si="2"/>
        <v>-0.38553649488009945</v>
      </c>
      <c r="AQ7" s="335">
        <f>IF(SUM(N7:N16)&gt;0, 0.8608*AM7+0.333*AN7+0.104*AO7+1.129*AP7,"")</f>
        <v>-0.90731561683834572</v>
      </c>
      <c r="AR7" s="335" t="str">
        <f>IF(AQ7="","",IF(AQ7&lt;=-4,lang!B182,IF(AQ7&lt;=-1.1,lang!B183,IF(AQ7&lt;0,lang!B184,IF(AQ7&gt;=0,lang!B185,"")))))</f>
        <v>보통</v>
      </c>
      <c r="AS7" s="287">
        <f>IF(AQ7="","",IF(AQ7&lt;=-4,1,IF(AQ7&lt;=-1.1,2,IF(AQ7&lt;0,3,IF(AQ7&gt;=0,4,"")))))</f>
        <v>3</v>
      </c>
      <c r="AT7" t="str">
        <f>IF(AQ7="","",IF(AS7=1,lang!B190,IF(AS7=2,lang!B191,IF(AS7=3,lang!B192,IF(AS7=4,lang!B193,"")))))</f>
        <v>보통인</v>
      </c>
      <c r="AU7" s="198" t="str">
        <f>IF(AQ7="","",lang!B194)</f>
        <v>뇌피로 상태입니다</v>
      </c>
      <c r="AV7" s="334" t="str">
        <f>IF(AQ7="","",IF(AS7=1,lang!B196,IF(AS7=2,lang!B197,IF(AS7=3,lang!B198,IF(AS7=4,lang!B199,"")))))</f>
        <v>보통인 뇌피로 상태입니다</v>
      </c>
      <c r="AW7" s="198" t="str">
        <f>AT7 &amp; " " &amp; AV7</f>
        <v>보통인 보통인 뇌피로 상태입니다</v>
      </c>
      <c r="AX7" s="171"/>
      <c r="AY7" s="219">
        <f>N7</f>
        <v>24.363700000000001</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272.39496760980012</v>
      </c>
      <c r="BL7" s="56">
        <f t="shared" ref="BL7:BT7" si="3">BB7*$AY7+BB8*$AY8+BB9*$AY9+BB10*$AY10+BB11*$AY11+BB12*$AY12+BB13*$AY13+BB14</f>
        <v>277.24446468079992</v>
      </c>
      <c r="BM7" s="56">
        <f t="shared" si="3"/>
        <v>281.34623192180004</v>
      </c>
      <c r="BN7" s="56">
        <f t="shared" si="3"/>
        <v>267.86240303260007</v>
      </c>
      <c r="BO7" s="56">
        <f t="shared" si="3"/>
        <v>252.44294779279994</v>
      </c>
      <c r="BP7" s="56">
        <f t="shared" si="3"/>
        <v>270.03787942460008</v>
      </c>
      <c r="BQ7" s="56">
        <f t="shared" si="3"/>
        <v>279.28624829780006</v>
      </c>
      <c r="BR7" s="56">
        <f t="shared" si="3"/>
        <v>274.20412459040006</v>
      </c>
      <c r="BS7" s="56">
        <f t="shared" si="3"/>
        <v>258.16474946559998</v>
      </c>
      <c r="BT7" s="56">
        <f t="shared" si="3"/>
        <v>273.60337817900012</v>
      </c>
      <c r="BU7" s="56">
        <f>EXP(BK7)+EXP(BL7)+EXP(BM7)+EXP(BN7)+EXP(BO7)+EXP(BP7)+EXP(BQ7)+EXP(BR7)+EXP(BS7)+EXP(BT7)</f>
        <v>1.7622232627874853E+122</v>
      </c>
      <c r="BV7" s="56">
        <f>IF(SUM($AY$7:$AY$13)&gt;0,EXP(BK7)/$BU$7,"")</f>
        <v>1.1312807603678604E-4</v>
      </c>
      <c r="BW7" s="56">
        <f t="shared" ref="BW7:CE7" si="4">IF(SUM($AY$7:$AY$13)&gt;0,EXP(BL7)/$BU$7,"")</f>
        <v>1.4443758523446032E-2</v>
      </c>
      <c r="BX7" s="56">
        <f t="shared" si="4"/>
        <v>0.87308212724692225</v>
      </c>
      <c r="BY7" s="56">
        <f t="shared" si="4"/>
        <v>1.216473398713492E-6</v>
      </c>
      <c r="BZ7" s="56">
        <f t="shared" si="4"/>
        <v>2.4463483103189988E-13</v>
      </c>
      <c r="CA7" s="56">
        <f t="shared" si="4"/>
        <v>1.0712726293367267E-5</v>
      </c>
      <c r="CB7" s="56">
        <f t="shared" si="4"/>
        <v>0.11127960546173517</v>
      </c>
      <c r="CC7" s="56">
        <f t="shared" si="4"/>
        <v>6.906806590413117E-4</v>
      </c>
      <c r="CD7" s="56">
        <f t="shared" si="4"/>
        <v>7.4724872872703318E-11</v>
      </c>
      <c r="CE7" s="56">
        <f t="shared" si="4"/>
        <v>3.7877075815658228E-4</v>
      </c>
      <c r="CF7" s="418" t="s">
        <v>1870</v>
      </c>
      <c r="CG7" s="221">
        <f>IF(SUM($AY$7:$AY$13)&gt;0,HLOOKUP(1,$BV$6:$CE$7,2,FALSE),"")</f>
        <v>0.87308212724692225</v>
      </c>
      <c r="CH7" s="221">
        <f>IF(SUM($AY$7:$AY$13)&gt;0,HLOOKUP(2,$BV$6:$CE$7,2,FALSE),"")</f>
        <v>0.11127960546173517</v>
      </c>
      <c r="CI7" s="425" t="str">
        <f>"( "&amp;IF(CG7&lt;&gt;"",ROUND(CG7*100,0),"")&amp;" , "&amp;IF(CH7&lt;&gt;"",ROUND(CH7*100,0),"")&amp;" )"</f>
        <v>( 87 , 11 )</v>
      </c>
      <c r="CJ7" s="420">
        <f>CG7</f>
        <v>0.87308212724692225</v>
      </c>
      <c r="CK7" s="420">
        <f>CH7</f>
        <v>0.11127960546173517</v>
      </c>
      <c r="CL7" s="425" t="str">
        <f>CI7</f>
        <v>( 87 , 11 )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24.363700000000001</v>
      </c>
      <c r="DJ7" s="265">
        <f>(DI7-$DB7)/$DC7</f>
        <v>-1.7517058105268448</v>
      </c>
      <c r="DK7" s="266">
        <f>IF(DH7=1,(DJ7-DF7)^2,0)</f>
        <v>8.3988653792533334</v>
      </c>
      <c r="DL7" s="267">
        <f>IF(DH7=1,(DJ7-DG7)^2,0)</f>
        <v>14.318951211463686</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3</v>
      </c>
      <c r="M8" s="162" t="str">
        <f>lang!B15</f>
        <v>스트레스</v>
      </c>
      <c r="N8" s="48">
        <f>IF(M!B6="","",M!B6*1)</f>
        <v>30.6387</v>
      </c>
      <c r="O8" s="48">
        <f>M!C6*1</f>
        <v>10.637</v>
      </c>
      <c r="P8" s="48">
        <f>M!D6*1</f>
        <v>34.717500000000001</v>
      </c>
      <c r="Q8" s="48">
        <f>M!E6*1</f>
        <v>20</v>
      </c>
      <c r="R8" s="48">
        <f>IF(M!B6="","",M!F6*1)</f>
        <v>13.3124</v>
      </c>
      <c r="S8" s="48">
        <f>M!G6*1</f>
        <v>40</v>
      </c>
      <c r="T8" s="48">
        <f>IF(M!B6="","",M!H6*1)</f>
        <v>45.985300000000002</v>
      </c>
      <c r="U8" s="125">
        <v>20</v>
      </c>
      <c r="V8" s="125">
        <v>23</v>
      </c>
      <c r="W8" s="125">
        <v>33</v>
      </c>
      <c r="X8" s="125">
        <v>40</v>
      </c>
      <c r="Y8" s="126" t="str">
        <f>IF(M!B6="","",IF(N8&lt;U8,lang!B$210,IF(N8&lt;V8,lang!B$211,IF(N8&lt;W8,lang!B$212,IF(N8&lt;X8,lang!B$213,lang!B$214)))))</f>
        <v>보통</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1.467402230066154</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30.6387</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3</v>
      </c>
      <c r="CH8" s="222">
        <f>IF(CH4&lt;&gt;10,CH4,IF(info!N9&lt;30,11,IF(info!M7=0,11,10)))</f>
        <v>7</v>
      </c>
      <c r="CI8" t="s">
        <v>1571</v>
      </c>
      <c r="CJ8" s="421">
        <f>IF(CG8=5,IF(CK5=1,5,4),IF(CG8=8,IF(N8&gt;=38,8,3),IF(CG8=7,IF(N11&lt;=51,7,3),IF(CG8=9,IF(AQ7&lt;-1.5,IF(info!Z2&lt;-10,IF(info!W36&lt;33.3,IF(DK17&lt;0.3,12,CG8),CG8),CG8),CG8),CG8))))</f>
        <v>3</v>
      </c>
      <c r="CK8" s="305">
        <f>IF(CH8=5,IF(CK5=1,5,4),IF(CH8=8,IF(N8&gt;=38,8,3),IF(CH8=7,IF(N11&lt;=51,7,3),IF(CH8=9,IF(AQ7&lt;-1.5,IF(info!Z2&lt;-10,IF(info!W36&lt;33.3,IF(DK17&lt;0.3,12,CH8),CH8),CH8),CH8),CH8))))</f>
        <v>3</v>
      </c>
      <c r="CL8">
        <f>SUMPRODUCT(1/COUNTIF(CJ8:CK8,CJ8:CK8))</f>
        <v>1</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30.6387</v>
      </c>
      <c r="DJ8" s="265">
        <f t="shared" ref="DJ8:DJ14" si="8">(DI8-$DB8)/$DC8</f>
        <v>-0.20922978655660701</v>
      </c>
      <c r="DK8" s="273">
        <f t="shared" ref="DK8:DK14" si="9">IF(DH8=1,(DJ8-DF8)^2,0)</f>
        <v>1.6215725324624872</v>
      </c>
      <c r="DL8" s="274">
        <f t="shared" ref="DL8:DL14" si="10">IF(DH8=1,(DJ8-DG8)^2,0)</f>
        <v>0.23110227032211289</v>
      </c>
    </row>
    <row r="9" spans="2:119" s="5" customFormat="1" ht="24.75" customHeight="1" thickBot="1">
      <c r="B9" s="62" t="str">
        <f>CONCATENATE(M7,"
(20 ~ 50)")</f>
        <v>적극/공격성
(20 ~ 50)</v>
      </c>
      <c r="C9" s="63">
        <f>R7</f>
        <v>21.7561</v>
      </c>
      <c r="D9" s="64">
        <f>N7</f>
        <v>24.363700000000001</v>
      </c>
      <c r="E9" s="65">
        <f>T7</f>
        <v>31.992100000000001</v>
      </c>
      <c r="F9" s="65">
        <f>P7</f>
        <v>12.685600000000001</v>
      </c>
      <c r="G9" s="66" t="str">
        <f>CONCATENATE(M8,"
(20 ~ 40)")</f>
        <v>스트레스
(20 ~ 40)</v>
      </c>
      <c r="H9" s="63">
        <f>R8</f>
        <v>13.3124</v>
      </c>
      <c r="I9" s="67">
        <f>N8</f>
        <v>30.6387</v>
      </c>
      <c r="J9" s="63">
        <f>T8</f>
        <v>45.985300000000002</v>
      </c>
      <c r="K9" s="68">
        <f>P8</f>
        <v>34.717500000000001</v>
      </c>
      <c r="L9" s="1">
        <f>IF(M!B7="","",IF(N9&lt;U9,1,IF(N9&lt;V9,2,IF(N9&lt;W9,3,IF(N9&lt;X9,4,5)))))</f>
        <v>4</v>
      </c>
      <c r="M9" s="162" t="str">
        <f>lang!B16</f>
        <v>불안</v>
      </c>
      <c r="N9" s="48">
        <f>IF(M!B7="","",M!B7*1)</f>
        <v>36.938099999999999</v>
      </c>
      <c r="O9" s="48">
        <f>M!C7*1</f>
        <v>6.4337600000000004</v>
      </c>
      <c r="P9" s="48">
        <f>M!D7*1</f>
        <v>17.4177</v>
      </c>
      <c r="Q9" s="48">
        <f>M!E7*1</f>
        <v>15</v>
      </c>
      <c r="R9" s="48">
        <f>IF(M!B7="","",M!F7*1)</f>
        <v>15.0055</v>
      </c>
      <c r="S9" s="48">
        <f>M!G7*1</f>
        <v>40</v>
      </c>
      <c r="T9" s="48">
        <f>IF(M!B7="","",M!H7*1)</f>
        <v>44.839599999999997</v>
      </c>
      <c r="U9" s="125">
        <v>15</v>
      </c>
      <c r="V9" s="125">
        <v>20</v>
      </c>
      <c r="W9" s="125">
        <v>35</v>
      </c>
      <c r="X9" s="125">
        <v>40</v>
      </c>
      <c r="Y9" s="126" t="str">
        <f>IF(M!B7="","",IF(N9&lt;U9,lang!B$210,IF(N9&lt;V9,lang!B$211,IF(N9&lt;W9,lang!B$212,IF(N9&lt;X9,lang!B$213,lang!B$214)))))</f>
        <v>높음</v>
      </c>
      <c r="Z9" s="99">
        <v>28.4</v>
      </c>
      <c r="AA9" s="99">
        <v>7.2204159999999993</v>
      </c>
      <c r="AB9" s="99">
        <v>24.14</v>
      </c>
      <c r="AC9" s="99">
        <v>6.5491819999999992</v>
      </c>
      <c r="AD9" s="99">
        <v>22.7</v>
      </c>
      <c r="AE9" s="99">
        <v>6.6576829999999996</v>
      </c>
      <c r="AF9" s="172">
        <f t="shared" si="6"/>
        <v>22.7</v>
      </c>
      <c r="AG9" s="172">
        <f t="shared" si="7"/>
        <v>6.6576829999999996</v>
      </c>
      <c r="AH9" s="97">
        <f t="shared" si="1"/>
        <v>2.1385968662070574</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36.938099999999999</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36.938099999999999</v>
      </c>
      <c r="DJ9" s="265">
        <f t="shared" si="8"/>
        <v>1.1218825885659711</v>
      </c>
      <c r="DK9" s="273">
        <f t="shared" si="9"/>
        <v>5.4759188547448634</v>
      </c>
      <c r="DL9" s="274">
        <f t="shared" si="10"/>
        <v>0.92852098852220977</v>
      </c>
      <c r="DM9"/>
      <c r="DN9"/>
    </row>
    <row r="10" spans="2:119" s="4" customFormat="1" ht="30.3" thickBot="1">
      <c r="B10" s="57" t="str">
        <f>CONCATENATE(M9,"
(15 ~ 40)")</f>
        <v>불안
(15 ~ 40)</v>
      </c>
      <c r="C10" s="17">
        <f>R9</f>
        <v>15.0055</v>
      </c>
      <c r="D10" s="41">
        <f>N9</f>
        <v>36.938099999999999</v>
      </c>
      <c r="E10" s="43">
        <f>T9</f>
        <v>44.839599999999997</v>
      </c>
      <c r="F10" s="43">
        <f>P9</f>
        <v>17.4177</v>
      </c>
      <c r="G10" s="59" t="str">
        <f>CONCATENATE(M10,"
(20 ~ 50)")</f>
        <v>의심
(20 ~ 50)</v>
      </c>
      <c r="H10" s="17">
        <f>R10</f>
        <v>22.199000000000002</v>
      </c>
      <c r="I10" s="42">
        <f>N10</f>
        <v>28.286799999999999</v>
      </c>
      <c r="J10" s="17">
        <f>T10</f>
        <v>36.786299999999997</v>
      </c>
      <c r="K10" s="18">
        <f>P10</f>
        <v>13.7927</v>
      </c>
      <c r="L10" s="1">
        <f>IF(M!B8="","",IF(N10&lt;U10,1,IF(N10&lt;V10,2,IF(N10&lt;W10,3,IF(N10&lt;X10,4,5)))))</f>
        <v>3</v>
      </c>
      <c r="M10" s="162" t="str">
        <f>lang!B17</f>
        <v>의심</v>
      </c>
      <c r="N10" s="48">
        <f>IF(M!B8="","",M!B8*1)</f>
        <v>28.286799999999999</v>
      </c>
      <c r="O10" s="48">
        <f>M!C8*1</f>
        <v>3.90151</v>
      </c>
      <c r="P10" s="48">
        <f>M!D8*1</f>
        <v>13.7927</v>
      </c>
      <c r="Q10" s="48">
        <f>M!E8*1</f>
        <v>20</v>
      </c>
      <c r="R10" s="48">
        <f>IF(M!B8="","",M!F8*1)</f>
        <v>22.199000000000002</v>
      </c>
      <c r="S10" s="48">
        <f>M!G8*1</f>
        <v>50</v>
      </c>
      <c r="T10" s="48">
        <f>IF(M!B8="","",M!H8*1)</f>
        <v>36.786299999999997</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-0.58496021225293626</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71.840400000000002</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차분한 상태</v>
      </c>
      <c r="CH10" s="228" t="str">
        <f>IF(CH8&lt;&gt;"",HLOOKUP(CH8,$CN$8:$CY$12,3,FALSE),"")</f>
        <v>피곤</v>
      </c>
      <c r="CI10" s="363"/>
      <c r="CJ10" s="516" t="str">
        <f>IF(CJ8&lt;&gt;"",HLOOKUP(CJ8,$CN$8:$CY$12,3,FALSE),"")</f>
        <v>차분한 상태</v>
      </c>
      <c r="CK10" s="228" t="str">
        <f>IF(CK8&lt;&gt;"",HLOOKUP(CK8,$CN$8:$CY$12,3,FALSE),"")</f>
        <v>차분한 상태</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71.840400000000002</v>
      </c>
      <c r="DJ10" s="265">
        <f t="shared" si="8"/>
        <v>0.65427053770572963</v>
      </c>
      <c r="DK10" s="273">
        <f t="shared" si="9"/>
        <v>0.83127749529821915</v>
      </c>
      <c r="DL10" s="274">
        <f t="shared" si="10"/>
        <v>4.9217565682841649</v>
      </c>
      <c r="DM10"/>
      <c r="DN10"/>
    </row>
    <row r="11" spans="2:119" s="4" customFormat="1" ht="24.75" customHeight="1" thickBot="1">
      <c r="B11" s="57" t="str">
        <f>CONCATENATE(M11,"
(50 ~ 100)")</f>
        <v>밸런스
(50 ~ 100)</v>
      </c>
      <c r="C11" s="17">
        <f>R11</f>
        <v>48.386600000000001</v>
      </c>
      <c r="D11" s="42">
        <f>N11</f>
        <v>71.840400000000002</v>
      </c>
      <c r="E11" s="17">
        <f>T11</f>
        <v>81.222300000000004</v>
      </c>
      <c r="F11" s="17">
        <f>P11</f>
        <v>11.813800000000001</v>
      </c>
      <c r="G11" s="59" t="str">
        <f>CONCATENATE(M12,"
(40 ~ 100)")</f>
        <v>카리스마
(40 ~ 100)</v>
      </c>
      <c r="H11" s="17">
        <f>R12</f>
        <v>6.9304500000000004</v>
      </c>
      <c r="I11" s="42">
        <f>N12</f>
        <v>69.118899999999996</v>
      </c>
      <c r="J11" s="17">
        <f>T12</f>
        <v>88.743099999999998</v>
      </c>
      <c r="K11" s="18">
        <f>P12</f>
        <v>39.106200000000001</v>
      </c>
      <c r="L11" s="1">
        <f>IF(M!B9="","",IF(N11&lt;U11,1,IF(N11&lt;V11,2,IF(N11&lt;W11,3,IF(N11&lt;X11,4,5)))))</f>
        <v>4</v>
      </c>
      <c r="M11" s="162" t="str">
        <f>lang!B18</f>
        <v>밸런스</v>
      </c>
      <c r="N11" s="48">
        <f>IF(M!B9="","",M!B9*1)</f>
        <v>71.840400000000002</v>
      </c>
      <c r="O11" s="48">
        <f>M!C9*1</f>
        <v>8.4870900000000002</v>
      </c>
      <c r="P11" s="48">
        <f>M!D9*1</f>
        <v>11.813800000000001</v>
      </c>
      <c r="Q11" s="48">
        <f>M!E9*1</f>
        <v>50</v>
      </c>
      <c r="R11" s="48">
        <f>IF(M!B9="","",M!F9*1)</f>
        <v>48.386600000000001</v>
      </c>
      <c r="S11" s="48">
        <f>M!G9*1</f>
        <v>100</v>
      </c>
      <c r="T11" s="48">
        <f>IF(M!B9="","",M!H9*1)</f>
        <v>81.222300000000004</v>
      </c>
      <c r="U11" s="500">
        <v>45</v>
      </c>
      <c r="V11" s="125">
        <v>50</v>
      </c>
      <c r="W11" s="125">
        <v>70</v>
      </c>
      <c r="X11" s="125">
        <v>80</v>
      </c>
      <c r="Y11" s="126" t="str">
        <f>IF(M!B9="","",IF(N11&lt;U11,lang!B$210,IF(N11&lt;V11,lang!B$211,IF(N11&lt;W11,lang!B$212,IF(N11&lt;X11,lang!B$213,lang!B$214)))))</f>
        <v>높음</v>
      </c>
      <c r="Z11" s="99">
        <v>66.2</v>
      </c>
      <c r="AA11" s="99">
        <v>6.7040740000000003</v>
      </c>
      <c r="AB11" s="99">
        <v>72.05</v>
      </c>
      <c r="AC11" s="99">
        <v>5.0074750000000003</v>
      </c>
      <c r="AD11" s="99">
        <v>70.7</v>
      </c>
      <c r="AE11" s="99">
        <v>4.76518</v>
      </c>
      <c r="AF11" s="172">
        <f t="shared" si="6"/>
        <v>70.7</v>
      </c>
      <c r="AG11" s="172">
        <f t="shared" si="7"/>
        <v>4.76518</v>
      </c>
      <c r="AH11" s="97">
        <f t="shared" si="1"/>
        <v>0.23931939611934905</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69.118899999999996</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차분한 상태입니다.</v>
      </c>
      <c r="CH11" s="228" t="str">
        <f>IF(CH8&lt;&gt;"",HLOOKUP(CH8,$CN$8:$CY$12,4,FALSE),"")</f>
        <v>피곤 상태입니다.</v>
      </c>
      <c r="CI11" s="364" t="s">
        <v>1566</v>
      </c>
      <c r="CJ11" s="516" t="str">
        <f>IF(CJ8&lt;&gt;"",HLOOKUP(CJ8,$CN$8:$CY$12,4,FALSE),"")</f>
        <v>차분한 상태입니다.</v>
      </c>
      <c r="CK11" s="228" t="str">
        <f>IF(CK8&lt;&gt;"",HLOOKUP(CK8,$CN$8:$CY$12,4,FALSE),"")</f>
        <v>차분한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69.118899999999996</v>
      </c>
      <c r="DJ11" s="265">
        <f t="shared" si="8"/>
        <v>0.20586951631894923</v>
      </c>
      <c r="DK11" s="273">
        <f t="shared" si="9"/>
        <v>0.64730331727491142</v>
      </c>
      <c r="DL11" s="274">
        <f t="shared" si="10"/>
        <v>0.33900467114830768</v>
      </c>
      <c r="DM11"/>
      <c r="DN11"/>
    </row>
    <row r="12" spans="2:119" s="4" customFormat="1" ht="24.75" customHeight="1" thickBot="1">
      <c r="B12" s="57" t="str">
        <f>CONCATENATE(M13,"
(10 ~ 50)")</f>
        <v>에너지
(10 ~ 50)</v>
      </c>
      <c r="C12" s="17">
        <f>R13</f>
        <v>6.6657299999999999</v>
      </c>
      <c r="D12" s="41">
        <f>N13</f>
        <v>8.7564200000000003</v>
      </c>
      <c r="E12" s="43">
        <f>T13</f>
        <v>20.7714</v>
      </c>
      <c r="F12" s="43">
        <f>P13</f>
        <v>59.95</v>
      </c>
      <c r="G12" s="59" t="str">
        <f>CONCATENATE(M14,"
(50 ~ 100)")</f>
        <v>자기조절
(50 ~ 100)</v>
      </c>
      <c r="H12" s="17">
        <f>R14</f>
        <v>34.468400000000003</v>
      </c>
      <c r="I12" s="42">
        <f>N14</f>
        <v>64.744399999999999</v>
      </c>
      <c r="J12" s="17">
        <f>T14</f>
        <v>84.553899999999999</v>
      </c>
      <c r="K12" s="18">
        <f>P14</f>
        <v>19.4374</v>
      </c>
      <c r="L12" s="1">
        <f>IF(M!B10="","",IF(N12&lt;U12,1,IF(N12&lt;V12,2,IF(N12&lt;W12,3,IF(N12&lt;X12,4,5)))))</f>
        <v>3</v>
      </c>
      <c r="M12" s="162" t="str">
        <f>lang!B19</f>
        <v>카리스마</v>
      </c>
      <c r="N12" s="48">
        <f>IF(M!B10="","",M!B10*1)</f>
        <v>69.118899999999996</v>
      </c>
      <c r="O12" s="48">
        <f>M!C10*1</f>
        <v>27.029699999999998</v>
      </c>
      <c r="P12" s="48">
        <f>M!D10*1</f>
        <v>39.106200000000001</v>
      </c>
      <c r="Q12" s="48">
        <f>M!E10*1</f>
        <v>40</v>
      </c>
      <c r="R12" s="48">
        <f>IF(M!B10="","",M!F10*1)</f>
        <v>6.9304500000000004</v>
      </c>
      <c r="S12" s="48">
        <f>M!G10*1</f>
        <v>100</v>
      </c>
      <c r="T12" s="48">
        <f>IF(M!B10="","",M!H10*1)</f>
        <v>88.743099999999998</v>
      </c>
      <c r="U12" s="125">
        <v>50</v>
      </c>
      <c r="V12" s="125">
        <v>55</v>
      </c>
      <c r="W12" s="125">
        <v>75</v>
      </c>
      <c r="X12" s="125">
        <v>80</v>
      </c>
      <c r="Y12" s="126" t="str">
        <f>IF(M!B10="","",IF(N12&lt;U12,lang!B$210,IF(N12&lt;V12,lang!B$211,IF(N12&lt;W12,lang!B$212,IF(N12&lt;X12,lang!B$213,lang!B$214)))))</f>
        <v>보통</v>
      </c>
      <c r="Z12" s="99">
        <v>66.3</v>
      </c>
      <c r="AA12" s="99">
        <v>10.411752</v>
      </c>
      <c r="AB12" s="99">
        <v>69.58</v>
      </c>
      <c r="AC12" s="99">
        <v>6.3178639999999993</v>
      </c>
      <c r="AD12" s="99">
        <v>72.5</v>
      </c>
      <c r="AE12" s="99">
        <v>7.1832999999999991</v>
      </c>
      <c r="AF12" s="172">
        <f t="shared" si="6"/>
        <v>72.5</v>
      </c>
      <c r="AG12" s="172">
        <f t="shared" si="7"/>
        <v>7.1832999999999991</v>
      </c>
      <c r="AH12" s="97">
        <f t="shared" si="1"/>
        <v>-0.47068895911349989</v>
      </c>
      <c r="AI12" s="98">
        <v>0.31913434649697919</v>
      </c>
      <c r="AJ12" s="98">
        <v>3.8587997439955973E-2</v>
      </c>
      <c r="AK12" s="98">
        <v>1.0272327081707585E-2</v>
      </c>
      <c r="AL12" s="98">
        <v>1.9404033844491575E-2</v>
      </c>
      <c r="AM12" s="101"/>
      <c r="AN12" s="101"/>
      <c r="AO12" s="101"/>
      <c r="AP12" s="101"/>
      <c r="AX12" s="171"/>
      <c r="AY12" s="219">
        <f>N13</f>
        <v>8.7564200000000003</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 수준이 평균입니다. 에너지가 낮아 정적이고 지금 하는 일에 집중을 잘하고 있습니다. 일에 만족도를 높이기 위해선 신체적인 활력에너지를 높여주면 좋습니다.</v>
      </c>
      <c r="CH12" s="228" t="str">
        <f>IF(CH8&lt;&gt;"",HLOOKUP(CH8,$CN$8:$CY$12,5,FALSE),"")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I12" s="364" t="s">
        <v>1568</v>
      </c>
      <c r="CJ12" s="516" t="str">
        <f>IF(CJ8&lt;&gt;"",HLOOKUP(CJ8,$CN$8:$CY$12,5,FALSE),"")</f>
        <v>뇌 피로도 수준이 평균입니다. 에너지가 낮아 정적이고 지금 하는 일에 집중을 잘하고 있습니다. 일에 만족도를 높이기 위해선 신체적인 활력에너지를 높여주면 좋습니다.</v>
      </c>
      <c r="CK12" s="228" t="str">
        <f>IF(CK8&lt;&gt;"",HLOOKUP(CK8,$CN$8:$CY$12,5,FALSE),"")</f>
        <v>뇌 피로도 수준이 평균입니다. 에너지가 낮아 정적이고 지금 하는 일에 집중을 잘하고 있습니다. 일에 만족도를 높이기 위해선 신체적인 활력에너지를 높여주면 좋습니다.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8.7564200000000003</v>
      </c>
      <c r="DJ12" s="265">
        <f t="shared" si="8"/>
        <v>-1.4420259556121833</v>
      </c>
      <c r="DK12" s="273">
        <f t="shared" si="9"/>
        <v>11.087722010357748</v>
      </c>
      <c r="DL12" s="274">
        <f t="shared" si="10"/>
        <v>3.1805404928960304</v>
      </c>
      <c r="DM12"/>
      <c r="DN12"/>
    </row>
    <row r="13" spans="2:119" ht="24.75" customHeight="1" thickBot="1">
      <c r="B13" s="58" t="str">
        <f>CONCATENATE(M15,"
(10 ~ 25)")</f>
        <v>억제
(10 ~ 25)</v>
      </c>
      <c r="C13" s="44">
        <f>R15</f>
        <v>13.666</v>
      </c>
      <c r="D13" s="45">
        <f>N15</f>
        <v>15.895200000000001</v>
      </c>
      <c r="E13" s="46">
        <f>T15</f>
        <v>19.270700000000001</v>
      </c>
      <c r="F13" s="46">
        <f>P15</f>
        <v>7.0790899999999999</v>
      </c>
      <c r="G13" s="60" t="str">
        <f>CONCATENATE(M16,"
(10 ~ 50)")</f>
        <v>신경성
(10 ~ 50)</v>
      </c>
      <c r="H13" s="44">
        <f>R16</f>
        <v>1.42041</v>
      </c>
      <c r="I13" s="45">
        <f>N16</f>
        <v>11.2523</v>
      </c>
      <c r="J13" s="46">
        <f>T16</f>
        <v>16.790299999999998</v>
      </c>
      <c r="K13" s="47">
        <f>P16</f>
        <v>37.532699999999998</v>
      </c>
      <c r="L13" s="1">
        <f>IF(M!B11="","",IF(N13&lt;U13,1,IF(N13&lt;V13,2,IF(N13&lt;W13,3,IF(N13&lt;X13,4,5)))))</f>
        <v>1</v>
      </c>
      <c r="M13" s="162" t="str">
        <f>lang!B20</f>
        <v>에너지</v>
      </c>
      <c r="N13" s="48">
        <f>IF(M!B11="","",M!B11*1)</f>
        <v>8.7564200000000003</v>
      </c>
      <c r="O13" s="48">
        <f>M!C11*1</f>
        <v>5.2494699999999996</v>
      </c>
      <c r="P13" s="48">
        <f>M!D11*1</f>
        <v>59.95</v>
      </c>
      <c r="Q13" s="48">
        <f>M!E11*1</f>
        <v>10</v>
      </c>
      <c r="R13" s="48">
        <f>IF(M!B11="","",M!F11*1)</f>
        <v>6.6657299999999999</v>
      </c>
      <c r="S13" s="48">
        <f>M!G11*1</f>
        <v>50</v>
      </c>
      <c r="T13" s="48">
        <f>IF(M!B11="","",M!H11*1)</f>
        <v>20.7714</v>
      </c>
      <c r="U13" s="500">
        <v>15</v>
      </c>
      <c r="V13" s="125">
        <v>20</v>
      </c>
      <c r="W13" s="125">
        <v>35</v>
      </c>
      <c r="X13" s="125">
        <v>40</v>
      </c>
      <c r="Y13" s="126" t="str">
        <f>IF(M!B11="","",IF(N13&lt;U13,lang!B$210,IF(N13&lt;V13,lang!B$211,IF(N13&lt;W13,lang!B$212,IF(N13&lt;X13,lang!B$213,lang!B$214)))))</f>
        <v>매우 낮음</v>
      </c>
      <c r="Z13" s="97">
        <v>20.2</v>
      </c>
      <c r="AA13" s="97">
        <v>3.991924</v>
      </c>
      <c r="AB13" s="97">
        <v>27.38</v>
      </c>
      <c r="AC13" s="97">
        <v>3.7510599999999998</v>
      </c>
      <c r="AD13" s="97">
        <v>24.5</v>
      </c>
      <c r="AE13" s="97">
        <v>3.7597699999999996</v>
      </c>
      <c r="AF13" s="172">
        <f t="shared" si="6"/>
        <v>24.5</v>
      </c>
      <c r="AG13" s="172">
        <f t="shared" si="7"/>
        <v>3.7597699999999996</v>
      </c>
      <c r="AH13" s="97">
        <f t="shared" si="1"/>
        <v>-4.1873784832582848</v>
      </c>
      <c r="AI13" s="98">
        <v>0.16093442074971984</v>
      </c>
      <c r="AJ13" s="98">
        <v>-1.0988594420247608E-2</v>
      </c>
      <c r="AK13" s="98">
        <v>0.37151940745754808</v>
      </c>
      <c r="AL13" s="98">
        <v>8.9062029657998948E-2</v>
      </c>
      <c r="AM13" s="96"/>
      <c r="AN13" s="96"/>
      <c r="AO13" s="96"/>
      <c r="AP13" s="96"/>
      <c r="AX13" s="171"/>
      <c r="AY13" s="219">
        <f>info!W36</f>
        <v>55.651539999999997</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저/중강도의 신체활동과 뇌 자극/뇌 휴식 프로그램을 Mix. 문제 해결 과제도 바람직. 단 개인화 성향이 있어 집단및 협력 프로그램을 일정 수준 구성.</v>
      </c>
      <c r="CH13" s="243" t="str">
        <f>IF(CH8&lt;&gt;"",HLOOKUP(CH8,$CN$8:$CY$13,6,FALSE),"")</f>
        <v>일시적인 피곤/피로 상태로 저강도의 신체적 활동과 휴식과 재충전 프로그램의 구성. 충분한 수면이 중요하며, 유쾌하고 즐거운(예: 노래방, 활동적인 춤,댄스)놀이로 컨디션을 회복시킴.</v>
      </c>
      <c r="CI13" s="364" t="s">
        <v>1177</v>
      </c>
      <c r="CJ13" s="243" t="str">
        <f>IF(CJ8&lt;&gt;"",HLOOKUP(CJ8,$CN$8:$CY$13,6,FALSE),"")</f>
        <v>저/중강도의 신체활동과 뇌 자극/뇌 휴식 프로그램을 Mix. 문제 해결 과제도 바람직. 단 개인화 성향이 있어 집단및 협력 프로그램을 일정 수준 구성.</v>
      </c>
      <c r="CK13" s="243" t="str">
        <f>IF(CK8&lt;&gt;"",HLOOKUP(CK8,$CN$8:$CY$13,6,FALSE),"")</f>
        <v>저/중강도의 신체활동과 뇌 자극/뇌 휴식 프로그램을 Mix. 문제 해결 과제도 바람직. 단 개인화 성향이 있어 집단및 협력 프로그램을 일정 수준 구성.</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11.2523</v>
      </c>
      <c r="DJ13" s="265">
        <f t="shared" si="8"/>
        <v>-1.5529722453756094</v>
      </c>
      <c r="DK13" s="273">
        <f>IF(DH13=1,(DJ13-DF13)^2,0)</f>
        <v>3.971277267926093</v>
      </c>
      <c r="DL13" s="274">
        <f t="shared" si="10"/>
        <v>1.4043506929617118</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64.744399999999999</v>
      </c>
      <c r="O14" s="48">
        <f>M!C12*1</f>
        <v>12.5846</v>
      </c>
      <c r="P14" s="48">
        <f>M!D12*1</f>
        <v>19.4374</v>
      </c>
      <c r="Q14" s="48">
        <f>M!E12*1</f>
        <v>50</v>
      </c>
      <c r="R14" s="48">
        <f>IF(M!B12="","",M!F12*1)</f>
        <v>34.468400000000003</v>
      </c>
      <c r="S14" s="48">
        <f>M!G12*1</f>
        <v>100</v>
      </c>
      <c r="T14" s="48">
        <f>IF(M!B12="","",M!H12*1)</f>
        <v>84.553899999999999</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-1.4066025511214677</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68.367400000000004</v>
      </c>
      <c r="DJ14" s="265">
        <f t="shared" si="8"/>
        <v>1.0716742738092657</v>
      </c>
      <c r="DK14" s="279">
        <f t="shared" si="9"/>
        <v>1.3026406279595013</v>
      </c>
      <c r="DL14" s="280">
        <f t="shared" si="10"/>
        <v>10.312045534206614</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15.895200000000001</v>
      </c>
      <c r="O15" s="48">
        <f>M!C13*1</f>
        <v>1.12523</v>
      </c>
      <c r="P15" s="48">
        <f>M!D13*1</f>
        <v>7.0790899999999999</v>
      </c>
      <c r="Q15" s="48">
        <f>M!E13*1</f>
        <v>10</v>
      </c>
      <c r="R15" s="48">
        <f>IF(M!B13="","",M!F13*1)</f>
        <v>13.666</v>
      </c>
      <c r="S15" s="48">
        <f>M!G13*1</f>
        <v>25</v>
      </c>
      <c r="T15" s="48">
        <f>IF(M!B13="","",M!H13*1)</f>
        <v>19.270700000000001</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-1.2538705991014256</v>
      </c>
      <c r="AI15" s="98">
        <v>-8.3250321124619289E-2</v>
      </c>
      <c r="AJ15" s="98">
        <v>-0.44690513063775733</v>
      </c>
      <c r="AK15" s="98">
        <v>0.12052818186953573</v>
      </c>
      <c r="AL15" s="98">
        <v>-2.4174505446491225E-2</v>
      </c>
      <c r="AM15" s="96"/>
      <c r="AN15" s="96"/>
      <c r="AO15" s="96"/>
      <c r="AP15" s="96"/>
      <c r="AX15" s="171"/>
      <c r="AY15" s="50">
        <f>SUM(AY7:AY14)</f>
        <v>297.30775999999997</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33.336577485277154</v>
      </c>
      <c r="DL15" s="281">
        <f>IF(SUM($DI$7:$DI$14)&gt;0,SUM(DL7:DL14),0)</f>
        <v>35.636272429804833</v>
      </c>
      <c r="DM15" t="s">
        <v>1206</v>
      </c>
    </row>
    <row r="16" spans="2:119" ht="24.75" customHeight="1" thickBot="1">
      <c r="B16" s="20"/>
      <c r="C16"/>
      <c r="D16"/>
      <c r="E16"/>
      <c r="F16"/>
      <c r="G16" s="1071"/>
      <c r="H16" s="827"/>
      <c r="I16" s="827"/>
      <c r="J16" s="827"/>
      <c r="K16" s="828"/>
      <c r="L16" s="1">
        <f>IF(M!B14="","",IF(N16&lt;U16,1,IF(N16&lt;V16,2,IF(N16&lt;W16,3,IF(N16&lt;X16,4,5)))))</f>
        <v>2</v>
      </c>
      <c r="M16" s="162" t="str">
        <f>lang!B23</f>
        <v>신경성</v>
      </c>
      <c r="N16" s="370">
        <f>IF(M!B14="","",IF(M!B14&gt;100, 100, M!B14*1))</f>
        <v>11.2523</v>
      </c>
      <c r="O16" s="48">
        <f>M!C14*1</f>
        <v>4.2233099999999997</v>
      </c>
      <c r="P16" s="48">
        <f>M!D14*1</f>
        <v>37.532699999999998</v>
      </c>
      <c r="Q16" s="48">
        <f>M!E14*1</f>
        <v>10</v>
      </c>
      <c r="R16" s="48">
        <f>IF(M!B14="","",M!F14*1)</f>
        <v>1.42041</v>
      </c>
      <c r="S16" s="48">
        <f>M!G14*1</f>
        <v>50</v>
      </c>
      <c r="T16" s="48">
        <f>IF(M!B14="","",M!H14*1)</f>
        <v>16.790299999999998</v>
      </c>
      <c r="U16" s="125">
        <v>10</v>
      </c>
      <c r="V16" s="125">
        <v>20</v>
      </c>
      <c r="W16" s="125">
        <v>40</v>
      </c>
      <c r="X16" s="125">
        <v>50</v>
      </c>
      <c r="Y16" s="126" t="str">
        <f>IF(M!B14="","",IF(N16&lt;U16,lang!B$210,IF(N16&lt;V16,lang!B$211,IF(N16&lt;W16,lang!B$212,IF(N16&lt;X16,lang!B$213,lang!B$214)))))</f>
        <v>낮음</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-4.0756800320888988</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2.9997080547384997E-2</v>
      </c>
      <c r="DL16" s="281">
        <f>IF(DL15&gt;0,1/DL15,0)</f>
        <v>2.8061296308971917E-2</v>
      </c>
      <c r="DM16" t="s">
        <v>1207</v>
      </c>
    </row>
    <row r="17" spans="2:117" ht="21" customHeight="1" thickBot="1">
      <c r="B17" s="20"/>
      <c r="C17"/>
      <c r="D17"/>
      <c r="E17"/>
      <c r="F17"/>
      <c r="G17" s="1071"/>
      <c r="H17" s="827"/>
      <c r="I17" s="827"/>
      <c r="J17" s="827"/>
      <c r="K17" s="828"/>
      <c r="M17" s="163" t="str">
        <f>lang!B7</f>
        <v>긍정감정</v>
      </c>
      <c r="N17" s="54">
        <f>SUM(N11:N14)/4</f>
        <v>53.61502999999999</v>
      </c>
      <c r="O17" s="16">
        <f>N17/(N17+N18+N19)</f>
        <v>0.55133627889918513</v>
      </c>
      <c r="P17" s="54">
        <f>SUM(P11:P14)/4</f>
        <v>32.57685</v>
      </c>
      <c r="Q17" s="16">
        <f>P17/(P17+P18+P19)</f>
        <v>0.43706125298714227</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0.51667101582259556</v>
      </c>
      <c r="DL17" s="283"/>
      <c r="DM17" s="284" t="s">
        <v>1208</v>
      </c>
    </row>
    <row r="18" spans="2:117" ht="21" customHeight="1">
      <c r="B18" s="20"/>
      <c r="C18"/>
      <c r="D18"/>
      <c r="E18"/>
      <c r="F18"/>
      <c r="G18" s="1071"/>
      <c r="H18" s="827"/>
      <c r="I18" s="827"/>
      <c r="J18" s="827"/>
      <c r="K18" s="828"/>
      <c r="M18" s="163" t="str">
        <f>lang!B8</f>
        <v>부정감정</v>
      </c>
      <c r="N18" s="14">
        <f>SUM(N7:N10)/4</f>
        <v>30.056825</v>
      </c>
      <c r="O18" s="16">
        <f>N18/(N17+N18+N19)</f>
        <v>0.30908157751705079</v>
      </c>
      <c r="P18" s="14">
        <f>SUM(P7:P10)/4</f>
        <v>19.653375</v>
      </c>
      <c r="Q18" s="16">
        <f>P18/(P17+P18+P19)</f>
        <v>0.26367585272750982</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13.57375</v>
      </c>
      <c r="O19" s="16">
        <f>N19/(N17+N18+N19)</f>
        <v>0.13958214358376403</v>
      </c>
      <c r="P19" s="14">
        <f>(P15+P16)/2</f>
        <v>22.305895</v>
      </c>
      <c r="Q19" s="16">
        <f>P19/(P17+P18+P19)</f>
        <v>0.2992628942853478</v>
      </c>
      <c r="R19" s="11"/>
      <c r="S19" s="11"/>
      <c r="T19" s="11"/>
      <c r="U19" s="15"/>
      <c r="V19" s="15"/>
      <c r="W19" s="15"/>
      <c r="X19" s="15"/>
      <c r="Y19" s="15"/>
      <c r="CI19" s="519" t="s">
        <v>1176</v>
      </c>
      <c r="CJ19" s="517" t="str">
        <f>IF(CJ8&lt;&gt;"",HLOOKUP(CJ8,$CN$8:$CY$17,5,FALSE),"")</f>
        <v>뇌 피로도 수준이 평균입니다. 에너지가 낮아 정적이고 지금 하는 일에 집중을 잘하고 있습니다. 일에 만족도를 높이기 위해선 신체적인 활력에너지를 높여주면 좋습니다.</v>
      </c>
      <c r="CK19" s="205" t="str">
        <f>IF(CK8&lt;&gt;"",HLOOKUP(CK8,$CN$8:$CY$17,5,FALSE),"")</f>
        <v>뇌 피로도 수준이 평균입니다. 에너지가 낮아 정적이고 지금 하는 일에 집중을 잘하고 있습니다. 일에 만족도를 높이기 위해선 신체적인 활력에너지를 높여주면 좋습니다.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0.89397800000000005</v>
      </c>
      <c r="D24" s="34" t="str">
        <f>lang!B11</f>
        <v>편차</v>
      </c>
      <c r="E24" s="1077">
        <f>FH_info!G2*1</f>
        <v>0.50248899999999996</v>
      </c>
      <c r="F24" s="1078"/>
      <c r="G24" s="1075" t="str">
        <f>lang!B12</f>
        <v>정보(I)변화량</v>
      </c>
      <c r="H24" s="1076"/>
      <c r="I24" s="51" t="str">
        <f ca="1">CONCATENATE(info!N7,"-",info!N8)</f>
        <v>49-69.7</v>
      </c>
      <c r="J24" s="32" t="str">
        <f>lang!B13</f>
        <v>Kcal/분</v>
      </c>
      <c r="K24" s="31" t="str">
        <f ca="1">CONCATENATE(info!N5,"-",info!N6)</f>
        <v>1.7-2.6</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68.367400000000004</v>
      </c>
      <c r="F27" s="1043"/>
      <c r="G27" s="1055" t="str">
        <f>lang!B33</f>
        <v>정서안정성</v>
      </c>
      <c r="H27" s="1056"/>
      <c r="I27" s="1057"/>
      <c r="J27" s="993">
        <f>M!B19*100</f>
        <v>75.331499999999991</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2.5600399999999999</v>
      </c>
      <c r="H2" s="50">
        <f>IF(FT!B2&lt;&gt;"",FT!B2*100,"")</f>
        <v>69.731200000000001</v>
      </c>
      <c r="I2" s="50">
        <f>(IF(G2&lt;&gt;"",1,""))</f>
        <v>1</v>
      </c>
      <c r="J2" t="str">
        <f>IF(FT!B2&lt;&gt;"",FT!E2,"")</f>
        <v>0 [0.000000]</v>
      </c>
      <c r="K2">
        <f>IF(FT!B2&lt;&gt;"",IF(FT!C2&lt;&gt;"",FT!C2,F2/$M$3*$M$4),"")</f>
        <v>0</v>
      </c>
      <c r="L2" t="s">
        <v>52</v>
      </c>
      <c r="M2">
        <f>FH_info!E2</f>
        <v>4.9234099999999996</v>
      </c>
      <c r="N2" s="75">
        <f>LOOKUP(O3,A2:A1000,B2:B1000)</f>
        <v>1.0039894901960784</v>
      </c>
      <c r="O2" s="50">
        <f>MAX(C2:C1000)</f>
        <v>1</v>
      </c>
      <c r="P2" t="s">
        <v>60</v>
      </c>
      <c r="Q2" t="s">
        <v>61</v>
      </c>
      <c r="R2" t="s">
        <v>62</v>
      </c>
      <c r="S2" t="s">
        <v>63</v>
      </c>
      <c r="T2" t="s">
        <v>64</v>
      </c>
      <c r="V2" s="50">
        <f>FT!G2*10</f>
        <v>2.5175999999999998</v>
      </c>
      <c r="W2" s="50">
        <f>FT!H2*100</f>
        <v>66.912899999999993</v>
      </c>
      <c r="Y2">
        <f>IF(I2=1,H2/G2,"")</f>
        <v>27.238324401181234</v>
      </c>
      <c r="Z2">
        <f>AVERAGE(Y2:Y2000)</f>
        <v>27.930992295040582</v>
      </c>
      <c r="AB2" s="827" t="s">
        <v>450</v>
      </c>
      <c r="AC2" s="827"/>
      <c r="AD2" s="1" t="s">
        <v>2012</v>
      </c>
      <c r="AE2" s="1" t="s">
        <v>2013</v>
      </c>
      <c r="AF2" s="110"/>
      <c r="AG2" s="427">
        <f>AD3</f>
        <v>0</v>
      </c>
      <c r="AH2" s="428">
        <f>AD4</f>
        <v>0</v>
      </c>
      <c r="AI2" s="428">
        <f>AD5</f>
        <v>0</v>
      </c>
      <c r="AJ2" s="428">
        <f>AD6</f>
        <v>0</v>
      </c>
      <c r="AK2" s="429">
        <f>AD7</f>
        <v>0</v>
      </c>
      <c r="AL2" s="427">
        <f>AD8</f>
        <v>1</v>
      </c>
      <c r="AM2" s="428">
        <f>AD9</f>
        <v>0</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2.5489600000000001</v>
      </c>
      <c r="H3" s="50">
        <f>IF(FT!B3&lt;&gt;"",FT!B3*100,"")</f>
        <v>69.67</v>
      </c>
      <c r="I3" s="50">
        <f t="shared" ref="I3:I66" si="2">(IF(G3&lt;&gt;"",1,""))</f>
        <v>1</v>
      </c>
      <c r="J3" t="str">
        <f>IF(FT!B3&lt;&gt;"",FT!E3,"")</f>
        <v>0 [0.414670]</v>
      </c>
      <c r="K3">
        <f>IF(FT!B3&lt;&gt;"",IF(FT!C3&lt;&gt;"",FT!C3,F3/$M$3*$M$4),"")</f>
        <v>0.41466999999999998</v>
      </c>
      <c r="L3" t="s">
        <v>53</v>
      </c>
      <c r="M3">
        <f>SUM(I2:I2005)</f>
        <v>99</v>
      </c>
      <c r="O3" s="104">
        <f>MATCH(O2,C2:C1000,0)-1</f>
        <v>52</v>
      </c>
      <c r="P3">
        <v>0</v>
      </c>
      <c r="Q3">
        <v>0</v>
      </c>
      <c r="R3">
        <f>IF(S4=0,M3,0)</f>
        <v>99</v>
      </c>
      <c r="S3">
        <f t="array" ref="S3">MAX(IF(ft_nq=0,row_n))</f>
        <v>1998</v>
      </c>
      <c r="T3">
        <f>R3-Q3</f>
        <v>99</v>
      </c>
      <c r="V3" s="50">
        <f>FT!G3*10</f>
        <v>1.7126700000000001</v>
      </c>
      <c r="W3" s="50">
        <f>FT!H3*100</f>
        <v>52.195400000000006</v>
      </c>
      <c r="Y3" s="75">
        <f t="shared" ref="Y3:Y66" si="3">IF(I3=1,H3/G3,"")</f>
        <v>27.332716088130059</v>
      </c>
      <c r="AB3" s="1">
        <v>0</v>
      </c>
      <c r="AC3" s="1">
        <v>10</v>
      </c>
      <c r="AD3" s="1">
        <f>IF($V$21&gt;=AB3,IF($V$21&lt;AC3,1,0),0)</f>
        <v>0</v>
      </c>
      <c r="AE3" s="1">
        <f>IF($W$21&gt;=AB3,IF($W$21&lt;AC3,1,0),0)</f>
        <v>1</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2.5406400000000002</v>
      </c>
      <c r="H4" s="50">
        <f>IF(FT!B4&lt;&gt;"",FT!B4*100,"")</f>
        <v>69.454400000000007</v>
      </c>
      <c r="I4" s="50">
        <f t="shared" si="2"/>
        <v>1</v>
      </c>
      <c r="J4" t="str">
        <f>IF(FT!B4&lt;&gt;"",FT!E4,"")</f>
        <v>0 [0.797207]</v>
      </c>
      <c r="K4">
        <f>IF(FT!B4&lt;&gt;"",IF(FT!C4&lt;&gt;"",FT!C4,F4/$M$3*$M$4),"")</f>
        <v>0.797207</v>
      </c>
      <c r="L4" t="s">
        <v>246</v>
      </c>
      <c r="M4">
        <f>IF(M2&lt;&gt;0,M3/M2*2,0)</f>
        <v>40.216029134278884</v>
      </c>
      <c r="P4">
        <f>P3+1</f>
        <v>1</v>
      </c>
      <c r="Q4">
        <v>0</v>
      </c>
      <c r="R4">
        <f>IF(S4=1998,0,S4)</f>
        <v>0</v>
      </c>
      <c r="S4">
        <f t="array" ref="S4">MAX(IF(ft_nq=P4,row_n))</f>
        <v>0</v>
      </c>
      <c r="T4">
        <f>R4-Q4+1</f>
        <v>1</v>
      </c>
      <c r="V4" t="s">
        <v>209</v>
      </c>
      <c r="W4" s="23">
        <f>IF(ISERROR(V3-V2)=FALSE,(V3-V2)*10,0)</f>
        <v>-8.049299999999997</v>
      </c>
      <c r="Y4" s="75">
        <f t="shared" si="3"/>
        <v>27.337363813842181</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1</v>
      </c>
      <c r="E5" s="50">
        <f t="shared" si="1"/>
        <v>2.2686280082898476E-5</v>
      </c>
      <c r="F5">
        <f t="shared" si="6"/>
        <v>3</v>
      </c>
      <c r="G5" s="50">
        <f>IF(FT!A5&lt;&gt;"",FT!A5*10,"")</f>
        <v>2.5351800000000004</v>
      </c>
      <c r="H5" s="50">
        <f>IF(FT!B5&lt;&gt;"",FT!B5*100,"")</f>
        <v>69.144300000000001</v>
      </c>
      <c r="I5" s="50">
        <f t="shared" si="2"/>
        <v>1</v>
      </c>
      <c r="J5" t="str">
        <f>IF(FT!B5&lt;&gt;"",FT!E5,"")</f>
        <v>0 [1.201602]</v>
      </c>
      <c r="K5">
        <f>IF(FT!B5&lt;&gt;"",IF(FT!C5&lt;&gt;"",FT!C5,F5/$M$3*$M$4),"")</f>
        <v>1.2016</v>
      </c>
      <c r="L5" t="s">
        <v>54</v>
      </c>
      <c r="M5" s="52">
        <f ca="1">IF(M3&gt;0,MIN(FT_E),0)</f>
        <v>1.6955999999999998</v>
      </c>
      <c r="N5" s="52">
        <f ca="1">IF(M3&gt;0,ROUND(M5,1),0)</f>
        <v>1.7</v>
      </c>
      <c r="P5">
        <f t="shared" ref="P5:P27" si="10">P4+1</f>
        <v>2</v>
      </c>
      <c r="Q5">
        <f>IF(S5=1998,0,R4)</f>
        <v>0</v>
      </c>
      <c r="R5">
        <f>IF(S5=1998,0,S5)</f>
        <v>0</v>
      </c>
      <c r="S5">
        <f t="array" ref="S5">MAX(IF(ft_nq=P5,row_n))</f>
        <v>0</v>
      </c>
      <c r="T5">
        <f t="shared" ref="T5:T27" si="11">R5-Q5+1</f>
        <v>1</v>
      </c>
      <c r="V5" t="s">
        <v>210</v>
      </c>
      <c r="W5" s="23">
        <f>IF(ISERROR(W3-W2)=FALSE,W3-W2,0)</f>
        <v>-14.717499999999987</v>
      </c>
      <c r="Y5" s="75">
        <f t="shared" si="3"/>
        <v>27.273921378363664</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2.53193</v>
      </c>
      <c r="H6" s="50">
        <f>IF(FT!B6&lt;&gt;"",FT!B6*100,"")</f>
        <v>68.778399999999991</v>
      </c>
      <c r="I6" s="50">
        <f t="shared" si="2"/>
        <v>1</v>
      </c>
      <c r="J6" t="str">
        <f>IF(FT!B6&lt;&gt;"",FT!E6,"")</f>
        <v>0 [1.610930]</v>
      </c>
      <c r="K6">
        <f>IF(FT!B6&lt;&gt;"",IF(FT!C6&lt;&gt;"",FT!C6,F6/$M$3*$M$4),"")</f>
        <v>1.61093</v>
      </c>
      <c r="L6" t="s">
        <v>55</v>
      </c>
      <c r="M6" s="52">
        <f ca="1">IF(M3&gt;0,MAX(FT_E),0)</f>
        <v>2.5600399999999999</v>
      </c>
      <c r="N6" s="52">
        <f ca="1">IF(M3&gt;0,ROUND(M6,1),0)</f>
        <v>2.6</v>
      </c>
      <c r="P6">
        <f t="shared" si="10"/>
        <v>3</v>
      </c>
      <c r="Q6">
        <f t="shared" ref="Q6:Q27" si="12">IF(S6=1998,0,R5)</f>
        <v>0</v>
      </c>
      <c r="R6">
        <f t="shared" ref="R6:R27" si="13">IF(S6=1998,0,S6)</f>
        <v>0</v>
      </c>
      <c r="S6">
        <f t="array" ref="S6">MAX(IF(ft_nq=P6,row_n))</f>
        <v>0</v>
      </c>
      <c r="T6">
        <f t="shared" si="11"/>
        <v>1</v>
      </c>
      <c r="V6" t="s">
        <v>211</v>
      </c>
      <c r="W6" s="23">
        <f>IF(W4&lt;&gt;0,W5/W4,0)</f>
        <v>1.8284198625967465</v>
      </c>
      <c r="Y6" s="75">
        <f t="shared" si="3"/>
        <v>27.164416077853648</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2.5286999999999997</v>
      </c>
      <c r="H7" s="50">
        <f>IF(FT!B7&lt;&gt;"",FT!B7*100,"")</f>
        <v>68.36569999999999</v>
      </c>
      <c r="I7" s="50">
        <f t="shared" si="2"/>
        <v>1</v>
      </c>
      <c r="J7" t="str">
        <f>IF(FT!B7&lt;&gt;"",FT!E7,"")</f>
        <v>0 [2.018720]</v>
      </c>
      <c r="K7">
        <f>IF(FT!B7&lt;&gt;"",IF(FT!C7&lt;&gt;"",FT!C7,F7/$M$3*$M$4),"")</f>
        <v>2.0187200000000001</v>
      </c>
      <c r="L7" t="s">
        <v>56</v>
      </c>
      <c r="M7" s="366">
        <f ca="1">IF(M3&gt;0,MIN(FT_PH),0)</f>
        <v>48.9756</v>
      </c>
      <c r="N7" s="52">
        <f ca="1">IF(M3&gt;0,ROUND(M7,1),0)</f>
        <v>49</v>
      </c>
      <c r="P7">
        <f t="shared" si="10"/>
        <v>4</v>
      </c>
      <c r="Q7">
        <f t="shared" si="12"/>
        <v>0</v>
      </c>
      <c r="R7">
        <f t="shared" si="13"/>
        <v>0</v>
      </c>
      <c r="S7">
        <f t="array" ref="S7">MAX(IF(ft_nq=P7,row_n))</f>
        <v>0</v>
      </c>
      <c r="T7">
        <f t="shared" si="11"/>
        <v>1</v>
      </c>
      <c r="V7" t="s">
        <v>212</v>
      </c>
      <c r="W7" s="23">
        <f>DEGREES(ATAN(W6))</f>
        <v>61.324854132653492</v>
      </c>
      <c r="X7" s="106">
        <v>0.05</v>
      </c>
      <c r="Y7" s="75">
        <f t="shared" si="3"/>
        <v>27.035907778700516</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0.55395487384471198</v>
      </c>
      <c r="D8" s="50">
        <f>IF(hist!$D$2&gt;0,hist!B8/hist!$D$2,0)</f>
        <v>0.65956982832889488</v>
      </c>
      <c r="E8" s="50">
        <f t="shared" si="1"/>
        <v>4.239235128206329E-5</v>
      </c>
      <c r="F8">
        <f t="shared" si="6"/>
        <v>6</v>
      </c>
      <c r="G8" s="50">
        <f>IF(FT!A8&lt;&gt;"",FT!A8*10,"")</f>
        <v>2.5252599999999998</v>
      </c>
      <c r="H8" s="50">
        <f>IF(FT!B8&lt;&gt;"",FT!B8*100,"")</f>
        <v>67.924499999999995</v>
      </c>
      <c r="I8" s="50">
        <f t="shared" si="2"/>
        <v>1</v>
      </c>
      <c r="J8" t="str">
        <f>IF(FT!B8&lt;&gt;"",FT!E8,"")</f>
        <v>0 [2.425312]</v>
      </c>
      <c r="K8">
        <f>IF(FT!B8&lt;&gt;"",IF(FT!C8&lt;&gt;"",FT!C8,F8/$M$3*$M$4),"")</f>
        <v>2.4253100000000001</v>
      </c>
      <c r="L8" t="s">
        <v>57</v>
      </c>
      <c r="M8" s="52">
        <f ca="1">IF(M3&gt;0,MAX(FT_PH),0)</f>
        <v>69.731200000000001</v>
      </c>
      <c r="N8" s="52">
        <f ca="1">IF(M3&gt;0,ROUND(M8,1),0)</f>
        <v>69.7</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5</v>
      </c>
      <c r="X8" s="23">
        <f>90*X7</f>
        <v>4.5</v>
      </c>
      <c r="Y8" s="75">
        <f t="shared" si="3"/>
        <v>26.89802238185375</v>
      </c>
      <c r="Z8" s="52"/>
      <c r="AB8" s="1">
        <v>50</v>
      </c>
      <c r="AC8" s="1">
        <v>60</v>
      </c>
      <c r="AD8" s="1">
        <f t="shared" si="7"/>
        <v>1</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2.52156</v>
      </c>
      <c r="H9" s="50">
        <f>IF(FT!B9&lt;&gt;"",FT!B9*100,"")</f>
        <v>67.441199999999995</v>
      </c>
      <c r="I9" s="50">
        <f t="shared" si="2"/>
        <v>1</v>
      </c>
      <c r="J9" t="str">
        <f>IF(FT!B9&lt;&gt;"",FT!E9,"")</f>
        <v>0 [2.838310]</v>
      </c>
      <c r="K9">
        <f>IF(FT!B9&lt;&gt;"",IF(FT!C9&lt;&gt;"",FT!C9,F9/$M$3*$M$4),"")</f>
        <v>2.8383099999999999</v>
      </c>
      <c r="L9" t="s">
        <v>222</v>
      </c>
      <c r="M9" s="74">
        <f ca="1">IF(M3&gt;0,IF(COUNT(FT_E)&gt;0,AVERAGE(FT_E),0),0)</f>
        <v>1.9734783838383836</v>
      </c>
      <c r="N9" s="365">
        <f ca="1">IF(M3&gt;0,IF(COUNT(FT_PH)&gt;0,AVERAGE(FT_PH),0),0)</f>
        <v>54.693910101010111</v>
      </c>
      <c r="P9">
        <f t="shared" si="10"/>
        <v>6</v>
      </c>
      <c r="Q9">
        <f t="shared" si="12"/>
        <v>0</v>
      </c>
      <c r="R9">
        <f t="shared" si="13"/>
        <v>0</v>
      </c>
      <c r="S9">
        <f t="array" ref="S9">MAX(IF(ft_nq=P9,row_n))</f>
        <v>0</v>
      </c>
      <c r="T9">
        <f t="shared" si="11"/>
        <v>1</v>
      </c>
      <c r="V9">
        <f ca="1">IF(X9=1,IF(M3=0,0,IF(M9&lt;1,1,IF(M9&lt;2.5,2,IF(M9&lt;4,3,4)))),IF(M3=0,0,IF(M5&lt;1,1,IF(M5&lt;2.5,2,IF(M5&lt;4,3,4)))))</f>
        <v>2</v>
      </c>
      <c r="W9">
        <f ca="1">IF(X9=1,IF(M3=0,0,IF(N9&lt;20,5,IF(N9&lt;40,4,IF(N9&lt;60,3,IF(N9&lt;=80,2,1))))),IF(M3=0,0,IF(M7&lt;20,5,IF(M7&lt;40,4,IF(M7&lt;60,3,IF(M7&lt;=80,2,1))))))</f>
        <v>3</v>
      </c>
      <c r="X9">
        <v>2</v>
      </c>
      <c r="Y9" s="75">
        <f t="shared" si="3"/>
        <v>26.7458240137058</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0.62370963963145531</v>
      </c>
      <c r="D10" s="50">
        <f>IF(hist!$D$2&gt;0,hist!B10/hist!$D$2,0)</f>
        <v>0.43818040466845148</v>
      </c>
      <c r="E10" s="50">
        <f t="shared" si="1"/>
        <v>6.3640932711193118E-5</v>
      </c>
      <c r="F10">
        <f t="shared" si="6"/>
        <v>8</v>
      </c>
      <c r="G10" s="50">
        <f>IF(FT!A10&lt;&gt;"",FT!A10*10,"")</f>
        <v>2.5175999999999998</v>
      </c>
      <c r="H10" s="50">
        <f>IF(FT!B10&lt;&gt;"",FT!B10*100,"")</f>
        <v>66.912899999999993</v>
      </c>
      <c r="I10" s="50">
        <f t="shared" si="2"/>
        <v>1</v>
      </c>
      <c r="J10" t="str">
        <f>IF(FT!B10&lt;&gt;"",FT!E10,"")</f>
        <v>0 [3.237136]</v>
      </c>
      <c r="K10">
        <f>IF(FT!B10&lt;&gt;"",IF(FT!C10&lt;&gt;"",FT!C10,F10/$M$3*$M$4),"")</f>
        <v>3.2371400000000001</v>
      </c>
      <c r="M10">
        <v>2</v>
      </c>
      <c r="P10">
        <f t="shared" si="10"/>
        <v>7</v>
      </c>
      <c r="Q10">
        <f t="shared" si="12"/>
        <v>0</v>
      </c>
      <c r="R10">
        <f t="shared" si="13"/>
        <v>0</v>
      </c>
      <c r="S10">
        <f t="array" ref="S10">MAX(IF(ft_nq=P10,row_n))</f>
        <v>0</v>
      </c>
      <c r="T10">
        <f t="shared" si="11"/>
        <v>1</v>
      </c>
      <c r="V10" t="s">
        <v>215</v>
      </c>
      <c r="X10" s="71" t="s">
        <v>270</v>
      </c>
      <c r="Y10" s="75">
        <f t="shared" si="3"/>
        <v>26.578050524308864</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2.5121199999999999</v>
      </c>
      <c r="H11" s="50">
        <f>IF(FT!B11&lt;&gt;"",FT!B11*100,"")</f>
        <v>66.360900000000001</v>
      </c>
      <c r="I11" s="50">
        <f t="shared" si="2"/>
        <v>1</v>
      </c>
      <c r="J11" t="str">
        <f>IF(FT!B11&lt;&gt;"",FT!E11,"")</f>
        <v>0 [3.650726]</v>
      </c>
      <c r="K11">
        <f>IF(FT!B11&lt;&gt;"",IF(FT!C11&lt;&gt;"",FT!C11,F11/$M$3*$M$4),"")</f>
        <v>3.6507299999999998</v>
      </c>
      <c r="M11" s="49">
        <f>MAX(IF(ft_nq=1,row_n))</f>
        <v>0</v>
      </c>
      <c r="P11">
        <f t="shared" si="10"/>
        <v>8</v>
      </c>
      <c r="Q11">
        <f t="shared" si="12"/>
        <v>0</v>
      </c>
      <c r="R11">
        <f t="shared" si="13"/>
        <v>0</v>
      </c>
      <c r="S11">
        <f t="array" ref="S11">MAX(IF(ft_nq=P11,row_n))</f>
        <v>0</v>
      </c>
      <c r="T11">
        <f t="shared" si="11"/>
        <v>1</v>
      </c>
      <c r="V11" s="71" t="s">
        <v>216</v>
      </c>
      <c r="W11" s="23">
        <f>FT!H11*100</f>
        <v>48.9756</v>
      </c>
      <c r="Y11" s="75">
        <f t="shared" si="3"/>
        <v>26.416293807620658</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2.5028600000000001</v>
      </c>
      <c r="H12" s="50">
        <f>IF(FT!B12&lt;&gt;"",FT!B12*100,"")</f>
        <v>65.812200000000004</v>
      </c>
      <c r="I12" s="50">
        <f t="shared" si="2"/>
        <v>1</v>
      </c>
      <c r="J12" t="str">
        <f>IF(FT!B12&lt;&gt;"",FT!E12,"")</f>
        <v>0 [4.050012]</v>
      </c>
      <c r="K12">
        <f>IF(FT!B12&lt;&gt;"",IF(FT!C12&lt;&gt;"",FT!C12,F12/$M$3*$M$4),"")</f>
        <v>4.0500100000000003</v>
      </c>
      <c r="M12">
        <f>M11+1</f>
        <v>1</v>
      </c>
      <c r="P12">
        <f t="shared" si="10"/>
        <v>9</v>
      </c>
      <c r="Q12">
        <f t="shared" si="12"/>
        <v>0</v>
      </c>
      <c r="R12">
        <f t="shared" si="13"/>
        <v>0</v>
      </c>
      <c r="S12">
        <f t="array" ref="S12">MAX(IF(ft_nq=P12,row_n))</f>
        <v>0</v>
      </c>
      <c r="T12">
        <f t="shared" si="11"/>
        <v>1</v>
      </c>
      <c r="V12" s="71" t="s">
        <v>217</v>
      </c>
      <c r="W12" s="23">
        <f>FT!H12*100</f>
        <v>69.731200000000001</v>
      </c>
      <c r="Y12" s="75">
        <f t="shared" si="3"/>
        <v>26.294798750229738</v>
      </c>
      <c r="AB12" s="1">
        <v>90</v>
      </c>
      <c r="AC12" s="1">
        <v>100</v>
      </c>
      <c r="AD12" s="1">
        <f t="shared" si="7"/>
        <v>0</v>
      </c>
      <c r="AE12" s="1">
        <f t="shared" si="8"/>
        <v>0</v>
      </c>
      <c r="AF12" s="431">
        <f>AE3</f>
        <v>1</v>
      </c>
      <c r="AG12" s="114">
        <f t="shared" si="9"/>
        <v>0</v>
      </c>
      <c r="AH12" s="108">
        <f t="shared" si="9"/>
        <v>0</v>
      </c>
      <c r="AI12" s="108">
        <f t="shared" si="4"/>
        <v>0</v>
      </c>
      <c r="AJ12" s="108">
        <f t="shared" si="4"/>
        <v>0</v>
      </c>
      <c r="AK12" s="109">
        <f t="shared" si="4"/>
        <v>0</v>
      </c>
      <c r="AL12" s="114">
        <f t="shared" si="4"/>
        <v>1</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0.74569082989476299</v>
      </c>
      <c r="D13" s="50">
        <f>IF(hist!$D$2&gt;0,hist!B13/hist!$D$2,0)</f>
        <v>0.30254702966100894</v>
      </c>
      <c r="E13" s="50">
        <f t="shared" si="1"/>
        <v>1.1522836836240688E-4</v>
      </c>
      <c r="F13">
        <f t="shared" si="6"/>
        <v>11</v>
      </c>
      <c r="G13" s="50">
        <f>IF(FT!A13&lt;&gt;"",FT!A13*10,"")</f>
        <v>2.49125</v>
      </c>
      <c r="H13" s="50">
        <f>IF(FT!B13&lt;&gt;"",FT!B13*100,"")</f>
        <v>65.241</v>
      </c>
      <c r="I13" s="50">
        <f t="shared" si="2"/>
        <v>1</v>
      </c>
      <c r="J13" t="str">
        <f>IF(FT!B13&lt;&gt;"",FT!E13,"")</f>
        <v>0 [4.457268]</v>
      </c>
      <c r="K13">
        <f>IF(FT!B13&lt;&gt;"",IF(FT!C13&lt;&gt;"",FT!C13,F13/$M$3*$M$4),"")</f>
        <v>4.4572700000000003</v>
      </c>
      <c r="M13" s="49">
        <f t="array" ref="M13">MAX(IF(ft_nq=2,row_n))</f>
        <v>0</v>
      </c>
      <c r="P13">
        <f t="shared" si="10"/>
        <v>10</v>
      </c>
      <c r="Q13">
        <f t="shared" si="12"/>
        <v>0</v>
      </c>
      <c r="R13">
        <f t="shared" si="13"/>
        <v>0</v>
      </c>
      <c r="S13">
        <f t="array" ref="S13">MAX(IF(ft_nq=P13,row_n))</f>
        <v>0</v>
      </c>
      <c r="T13">
        <f t="shared" si="11"/>
        <v>1</v>
      </c>
      <c r="V13" s="71" t="s">
        <v>219</v>
      </c>
      <c r="W13">
        <f>FT!H13</f>
        <v>66</v>
      </c>
      <c r="Y13" s="75">
        <f t="shared" si="3"/>
        <v>26.188058203712995</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2.4798899999999997</v>
      </c>
      <c r="H14" s="50">
        <f>IF(FT!B14&lt;&gt;"",FT!B14*100,"")</f>
        <v>64.645099999999999</v>
      </c>
      <c r="I14" s="50">
        <f t="shared" si="2"/>
        <v>1</v>
      </c>
      <c r="J14" t="str">
        <f>IF(FT!B14&lt;&gt;"",FT!E14,"")</f>
        <v>0 [4.878054]</v>
      </c>
      <c r="K14">
        <f>IF(FT!B14&lt;&gt;"",IF(FT!C14&lt;&gt;"",FT!C14,F14/$M$3*$M$4),"")</f>
        <v>4.87805</v>
      </c>
      <c r="M14">
        <f>M13+1</f>
        <v>1</v>
      </c>
      <c r="P14">
        <f t="shared" si="10"/>
        <v>11</v>
      </c>
      <c r="Q14">
        <f t="shared" si="12"/>
        <v>0</v>
      </c>
      <c r="R14">
        <f t="shared" si="13"/>
        <v>0</v>
      </c>
      <c r="S14">
        <f t="array" ref="S14">MAX(IF(ft_nq=P14,row_n))</f>
        <v>0</v>
      </c>
      <c r="T14">
        <f t="shared" si="11"/>
        <v>1</v>
      </c>
      <c r="V14" s="71" t="s">
        <v>221</v>
      </c>
      <c r="W14">
        <f>FT!H14</f>
        <v>1</v>
      </c>
      <c r="Y14" s="75">
        <f t="shared" si="3"/>
        <v>26.067728810552083</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0.96742960692718516</v>
      </c>
      <c r="D15" s="50">
        <f>IF(hist!$D$2&gt;0,hist!B15/hist!$D$2,0)</f>
        <v>0.21886870840348016</v>
      </c>
      <c r="E15" s="50">
        <f t="shared" si="1"/>
        <v>1.6938471460455832E-4</v>
      </c>
      <c r="F15">
        <f t="shared" si="6"/>
        <v>13</v>
      </c>
      <c r="G15" s="50">
        <f>IF(FT!A15&lt;&gt;"",FT!A15*10,"")</f>
        <v>2.4689199999999998</v>
      </c>
      <c r="H15" s="50">
        <f>IF(FT!B15&lt;&gt;"",FT!B15*100,"")</f>
        <v>64.008299999999991</v>
      </c>
      <c r="I15" s="50">
        <f t="shared" si="2"/>
        <v>1</v>
      </c>
      <c r="J15" t="str">
        <f>IF(FT!B15&lt;&gt;"",FT!E15,"")</f>
        <v>0 [5.265513]</v>
      </c>
      <c r="K15">
        <f>IF(FT!B15&lt;&gt;"",IF(FT!C15&lt;&gt;"",FT!C15,F15/$M$3*$M$4),"")</f>
        <v>5.2655099999999999</v>
      </c>
      <c r="M15">
        <f t="array" ref="M15">MAX(IF(ft_nq=3,row_n))</f>
        <v>0</v>
      </c>
      <c r="P15">
        <f t="shared" si="10"/>
        <v>12</v>
      </c>
      <c r="Q15">
        <f t="shared" si="12"/>
        <v>0</v>
      </c>
      <c r="R15">
        <f t="shared" si="13"/>
        <v>0</v>
      </c>
      <c r="S15">
        <f t="array" ref="S15">MAX(IF(ft_nq=P15,row_n))</f>
        <v>0</v>
      </c>
      <c r="T15">
        <f t="shared" si="11"/>
        <v>1</v>
      </c>
      <c r="V15" s="23">
        <f>FT!G15*10</f>
        <v>1.8182200000000002</v>
      </c>
      <c r="W15" s="23">
        <f>FT!H15*100</f>
        <v>48.9756</v>
      </c>
      <c r="Y15" s="75">
        <f t="shared" si="3"/>
        <v>25.925627399834745</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v>
      </c>
      <c r="E16" s="50">
        <f t="shared" si="1"/>
        <v>2.0472057137382575E-4</v>
      </c>
      <c r="F16">
        <f t="shared" si="6"/>
        <v>14</v>
      </c>
      <c r="G16" s="50">
        <f>IF(FT!A16&lt;&gt;"",FT!A16*10,"")</f>
        <v>2.45932</v>
      </c>
      <c r="H16" s="50">
        <f>IF(FT!B16&lt;&gt;"",FT!B16*100,"")</f>
        <v>63.476100000000002</v>
      </c>
      <c r="I16" s="50">
        <f t="shared" si="2"/>
        <v>1</v>
      </c>
      <c r="J16" t="str">
        <f>IF(FT!B16&lt;&gt;"",FT!E16,"")</f>
        <v>0 [5.687591]</v>
      </c>
      <c r="K16">
        <f>IF(FT!B16&lt;&gt;"",IF(FT!C16&lt;&gt;"",FT!C16,F16/$M$3*$M$4),"")</f>
        <v>5.6875900000000001</v>
      </c>
      <c r="M16">
        <f>M15+1</f>
        <v>1</v>
      </c>
      <c r="P16">
        <f t="shared" si="10"/>
        <v>13</v>
      </c>
      <c r="Q16">
        <f t="shared" si="12"/>
        <v>0</v>
      </c>
      <c r="R16">
        <f t="shared" si="13"/>
        <v>0</v>
      </c>
      <c r="S16">
        <f t="array" ref="S16">MAX(IF(ft_nq=P16,row_n))</f>
        <v>0</v>
      </c>
      <c r="T16">
        <f t="shared" si="11"/>
        <v>1</v>
      </c>
      <c r="V16" s="23">
        <f>FT!G16*10</f>
        <v>2.5600399999999999</v>
      </c>
      <c r="W16" s="23">
        <f>FT!H16*100</f>
        <v>69.731200000000001</v>
      </c>
      <c r="Y16" s="75">
        <f t="shared" si="3"/>
        <v>25.810427272579414</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심리적 불편함이 증가하여 정서상태가 나빠진다. 에너지 소모량이 낮다. 대사정보(Metabolic Information) 변화량이 감소한다. 대사과정의 엔트로피가 악화되어 불안정성이 증가한다.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2.4466399999999999</v>
      </c>
      <c r="H17" s="50">
        <f>IF(FT!B17&lt;&gt;"",FT!B17*100,"")</f>
        <v>62.903200000000005</v>
      </c>
      <c r="I17" s="50">
        <f t="shared" si="2"/>
        <v>1</v>
      </c>
      <c r="J17" t="str">
        <f>IF(FT!B17&lt;&gt;"",FT!E17,"")</f>
        <v>0 [6.081274]</v>
      </c>
      <c r="K17">
        <f>IF(FT!B17&lt;&gt;"",IF(FT!C17&lt;&gt;"",FT!C17,F17/$M$3*$M$4),"")</f>
        <v>6.08127</v>
      </c>
      <c r="M17">
        <f>M3+1</f>
        <v>100</v>
      </c>
      <c r="P17">
        <f t="shared" si="10"/>
        <v>14</v>
      </c>
      <c r="Q17">
        <f t="shared" si="12"/>
        <v>0</v>
      </c>
      <c r="R17">
        <f t="shared" si="13"/>
        <v>0</v>
      </c>
      <c r="S17">
        <f t="array" ref="S17">MAX(IF(ft_nq=P17,row_n))</f>
        <v>0</v>
      </c>
      <c r="T17">
        <f t="shared" si="11"/>
        <v>1</v>
      </c>
      <c r="V17" t="s">
        <v>1522</v>
      </c>
      <c r="Y17" s="75">
        <f t="shared" si="3"/>
        <v>25.710034986757353</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0.95917703815976307</v>
      </c>
      <c r="D18" s="50">
        <f>IF(hist!$D$2&gt;0,hist!B18/hist!$D$2,0)</f>
        <v>0.16701331819529661</v>
      </c>
      <c r="E18" s="50">
        <f t="shared" si="1"/>
        <v>2.9716369761879154E-4</v>
      </c>
      <c r="F18">
        <f t="shared" si="6"/>
        <v>16</v>
      </c>
      <c r="G18" s="50">
        <f>IF(FT!A18&lt;&gt;"",FT!A18*10,"")</f>
        <v>2.4329200000000002</v>
      </c>
      <c r="H18" s="50">
        <f>IF(FT!B18&lt;&gt;"",FT!B18*100,"")</f>
        <v>62.314</v>
      </c>
      <c r="I18" s="50">
        <f t="shared" si="2"/>
        <v>1</v>
      </c>
      <c r="J18" t="str">
        <f>IF(FT!B18&lt;&gt;"",FT!E18,"")</f>
        <v>0 [6.485513]</v>
      </c>
      <c r="K18">
        <f>IF(FT!B18&lt;&gt;"",IF(FT!C18&lt;&gt;"",FT!C18,F18/$M$3*$M$4),"")</f>
        <v>6.4855099999999997</v>
      </c>
      <c r="P18">
        <f t="shared" si="10"/>
        <v>15</v>
      </c>
      <c r="Q18">
        <f t="shared" si="12"/>
        <v>0</v>
      </c>
      <c r="R18">
        <f t="shared" si="13"/>
        <v>0</v>
      </c>
      <c r="S18">
        <f t="array" ref="S18">MAX(IF(ft_nq=P18,row_n))</f>
        <v>0</v>
      </c>
      <c r="T18">
        <f t="shared" si="11"/>
        <v>1</v>
      </c>
      <c r="V18" s="288">
        <f>M!B18*100</f>
        <v>68.367400000000004</v>
      </c>
      <c r="W18" s="287">
        <f>100-M!B19*100</f>
        <v>24.668500000000009</v>
      </c>
      <c r="X18" t="str">
        <f>"(" &amp; ROUND(V18,1) &amp; " , " &amp; ROUND(100-W18,1) &amp; ")"</f>
        <v>(68.4 , 75.3)</v>
      </c>
      <c r="Y18" s="75">
        <f t="shared" si="3"/>
        <v>25.612843825526525</v>
      </c>
      <c r="Z18">
        <f>M!B18*100</f>
        <v>68.367400000000004</v>
      </c>
      <c r="AA18">
        <f>100-M!B19*100</f>
        <v>24.668500000000009</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0</v>
      </c>
      <c r="E19" s="50">
        <f t="shared" si="1"/>
        <v>3.5689688220270742E-4</v>
      </c>
      <c r="F19">
        <f t="shared" si="6"/>
        <v>17</v>
      </c>
      <c r="G19" s="50">
        <f>IF(FT!A19&lt;&gt;"",FT!A19*10,"")</f>
        <v>2.4179500000000003</v>
      </c>
      <c r="H19" s="50">
        <f>IF(FT!B19&lt;&gt;"",FT!B19*100,"")</f>
        <v>61.698099999999997</v>
      </c>
      <c r="I19" s="50">
        <f t="shared" si="2"/>
        <v>1</v>
      </c>
      <c r="J19" t="str">
        <f>IF(FT!B19&lt;&gt;"",FT!E19,"")</f>
        <v>0 [6.890333]</v>
      </c>
      <c r="K19">
        <f>IF(FT!B19&lt;&gt;"",IF(FT!C19&lt;&gt;"",FT!C19,F19/$M$3*$M$4),"")</f>
        <v>6.8903299999999996</v>
      </c>
      <c r="P19">
        <f t="shared" si="10"/>
        <v>16</v>
      </c>
      <c r="Q19">
        <f t="shared" si="12"/>
        <v>0</v>
      </c>
      <c r="R19">
        <f t="shared" si="13"/>
        <v>0</v>
      </c>
      <c r="S19">
        <f t="array" ref="S19">MAX(IF(ft_nq=P19,row_n))</f>
        <v>0</v>
      </c>
      <c r="T19">
        <f t="shared" si="11"/>
        <v>1</v>
      </c>
      <c r="V19" t="s">
        <v>1521</v>
      </c>
      <c r="Y19" s="75">
        <f t="shared" si="3"/>
        <v>25.516698029322356</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v>
      </c>
      <c r="E20" s="50">
        <f t="shared" si="1"/>
        <v>4.2773652004581729E-4</v>
      </c>
      <c r="F20">
        <f t="shared" si="6"/>
        <v>18</v>
      </c>
      <c r="G20" s="50">
        <f>IF(FT!A20&lt;&gt;"",FT!A20*10,"")</f>
        <v>2.4021699999999999</v>
      </c>
      <c r="H20" s="50">
        <f>IF(FT!B20&lt;&gt;"",FT!B20*100,"")</f>
        <v>61.043499999999995</v>
      </c>
      <c r="I20" s="50">
        <f t="shared" si="2"/>
        <v>1</v>
      </c>
      <c r="J20" t="str">
        <f>IF(FT!B20&lt;&gt;"",FT!E20,"")</f>
        <v>0 [7.311231]</v>
      </c>
      <c r="K20">
        <f>IF(FT!B20&lt;&gt;"",IF(FT!C20&lt;&gt;"",FT!C20,F20/$M$3*$M$4),"")</f>
        <v>7.3112300000000001</v>
      </c>
      <c r="P20">
        <f t="shared" si="10"/>
        <v>17</v>
      </c>
      <c r="Q20">
        <f t="shared" si="12"/>
        <v>0</v>
      </c>
      <c r="R20">
        <f t="shared" si="13"/>
        <v>0</v>
      </c>
      <c r="S20">
        <f t="array" ref="S20">MAX(IF(ft_nq=P20,row_n))</f>
        <v>0</v>
      </c>
      <c r="T20">
        <f t="shared" si="11"/>
        <v>1</v>
      </c>
      <c r="V20" s="56">
        <v>50</v>
      </c>
      <c r="W20">
        <v>50</v>
      </c>
      <c r="Y20" s="75">
        <f t="shared" si="3"/>
        <v>25.411815150468119</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0.89694807958039069</v>
      </c>
      <c r="D21" s="50">
        <f>IF(hist!$D$2&gt;0,hist!B21/hist!$D$2,0)</f>
        <v>0.12993418257230685</v>
      </c>
      <c r="E21" s="50">
        <f t="shared" si="1"/>
        <v>5.1155989191839816E-4</v>
      </c>
      <c r="F21">
        <f t="shared" si="6"/>
        <v>19</v>
      </c>
      <c r="G21" s="50">
        <f>IF(FT!A21&lt;&gt;"",FT!A21*10,"")</f>
        <v>2.3853299999999997</v>
      </c>
      <c r="H21" s="50">
        <f>IF(FT!B21&lt;&gt;"",FT!B21*100,"")</f>
        <v>60.388399999999997</v>
      </c>
      <c r="I21" s="50">
        <f t="shared" si="2"/>
        <v>1</v>
      </c>
      <c r="J21" t="str">
        <f>IF(FT!B21&lt;&gt;"",FT!E21,"")</f>
        <v>0 [7.702485]</v>
      </c>
      <c r="K21">
        <f>IF(FT!B21&lt;&gt;"",IF(FT!C21&lt;&gt;"",FT!C21,F21/$M$3*$M$4),"")</f>
        <v>7.7024800000000004</v>
      </c>
      <c r="P21">
        <f t="shared" si="10"/>
        <v>18</v>
      </c>
      <c r="Q21">
        <f t="shared" si="12"/>
        <v>0</v>
      </c>
      <c r="R21">
        <f t="shared" si="13"/>
        <v>0</v>
      </c>
      <c r="S21">
        <f t="array" ref="S21">MAX(IF(ft_nq=P21,row_n))</f>
        <v>0</v>
      </c>
      <c r="T21">
        <f t="shared" si="11"/>
        <v>1</v>
      </c>
      <c r="V21" s="288">
        <f>Measurement!DK17*100</f>
        <v>51.667101582259555</v>
      </c>
      <c r="W21" s="287">
        <f>'R3'!I3</f>
        <v>7.9100323359193352</v>
      </c>
      <c r="X21" t="str">
        <f>"(" &amp; ROUND(V21,1) &amp; " , " &amp; ROUND(W21,1) &amp; ")" &amp; CHAR(10) &amp; AR26</f>
        <v>(51.7 , 7.9)
나른한</v>
      </c>
      <c r="Y21" s="75">
        <f t="shared" si="3"/>
        <v>25.316580934294208</v>
      </c>
      <c r="AA21">
        <f>100-M!B19*100</f>
        <v>24.668500000000009</v>
      </c>
      <c r="AC21">
        <f>'R3'!I3</f>
        <v>7.9100323359193352</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0</v>
      </c>
      <c r="D22" s="50">
        <f>IF(hist!$D$2&gt;0,hist!B22/hist!$D$2,0)</f>
        <v>0</v>
      </c>
      <c r="E22" s="50">
        <f t="shared" si="1"/>
        <v>6.1052467266546498E-4</v>
      </c>
      <c r="F22">
        <f t="shared" si="6"/>
        <v>20</v>
      </c>
      <c r="G22" s="50">
        <f>IF(FT!A22&lt;&gt;"",FT!A22*10,"")</f>
        <v>2.3685999999999998</v>
      </c>
      <c r="H22" s="50">
        <f>IF(FT!B22&lt;&gt;"",FT!B22*100,"")</f>
        <v>59.738500000000002</v>
      </c>
      <c r="I22" s="50">
        <f t="shared" si="2"/>
        <v>1</v>
      </c>
      <c r="J22" t="str">
        <f>IF(FT!B22&lt;&gt;"",FT!E22,"")</f>
        <v>0 [8.118923]</v>
      </c>
      <c r="K22">
        <f>IF(FT!B22&lt;&gt;"",IF(FT!C22&lt;&gt;"",FT!C22,F22/$M$3*$M$4),"")</f>
        <v>8.1189199999999992</v>
      </c>
      <c r="P22">
        <f t="shared" si="10"/>
        <v>19</v>
      </c>
      <c r="Q22">
        <f t="shared" si="12"/>
        <v>0</v>
      </c>
      <c r="R22">
        <f t="shared" si="13"/>
        <v>0</v>
      </c>
      <c r="S22">
        <f t="array" ref="S22">MAX(IF(ft_nq=P22,row_n))</f>
        <v>0</v>
      </c>
      <c r="T22">
        <f t="shared" si="11"/>
        <v>1</v>
      </c>
      <c r="V22" s="300">
        <f>X23</f>
        <v>90</v>
      </c>
      <c r="W22" s="300">
        <f>X23</f>
        <v>90</v>
      </c>
      <c r="X22" t="s">
        <v>1188</v>
      </c>
      <c r="Y22" s="75">
        <f t="shared" si="3"/>
        <v>25.221016634298746</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0.77020468856832747</v>
      </c>
      <c r="D23" s="50">
        <f>IF(hist!$D$2&gt;0,hist!B23/hist!$D$2,0)</f>
        <v>0.10379717875814734</v>
      </c>
      <c r="E23" s="50">
        <f t="shared" si="1"/>
        <v>7.2710399246906645E-4</v>
      </c>
      <c r="F23">
        <f t="shared" si="6"/>
        <v>21</v>
      </c>
      <c r="G23" s="50">
        <f>IF(FT!A23&lt;&gt;"",FT!A23*10,"")</f>
        <v>2.3512399999999998</v>
      </c>
      <c r="H23" s="50">
        <f>IF(FT!B23&lt;&gt;"",FT!B23*100,"")</f>
        <v>59.088499999999996</v>
      </c>
      <c r="I23" s="50">
        <f t="shared" si="2"/>
        <v>1</v>
      </c>
      <c r="J23" t="str">
        <f>IF(FT!B23&lt;&gt;"",FT!E23,"")</f>
        <v>0 [8.544559]</v>
      </c>
      <c r="K23">
        <f>IF(FT!B23&lt;&gt;"",IF(FT!C23&lt;&gt;"",FT!C23,F23/$M$3*$M$4),"")</f>
        <v>8.5445600000000006</v>
      </c>
      <c r="P23">
        <f t="shared" si="10"/>
        <v>20</v>
      </c>
      <c r="Q23">
        <f t="shared" si="12"/>
        <v>0</v>
      </c>
      <c r="R23">
        <f t="shared" si="13"/>
        <v>0</v>
      </c>
      <c r="S23">
        <f t="array" ref="S23">MAX(IF(ft_nq=P23,row_n))</f>
        <v>0</v>
      </c>
      <c r="T23">
        <f t="shared" si="11"/>
        <v>1</v>
      </c>
      <c r="V23" s="300">
        <f>100-X23</f>
        <v>10</v>
      </c>
      <c r="W23" s="300">
        <f>X23</f>
        <v>90</v>
      </c>
      <c r="X23">
        <v>90</v>
      </c>
      <c r="Y23" s="75">
        <f t="shared" si="3"/>
        <v>25.130782055426074</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0</v>
      </c>
      <c r="D24" s="50">
        <f>IF(hist!$D$2&gt;0,hist!B24/hist!$D$2,0)</f>
        <v>0</v>
      </c>
      <c r="E24" s="50">
        <f t="shared" si="1"/>
        <v>8.6412469495482391E-4</v>
      </c>
      <c r="F24">
        <f t="shared" si="6"/>
        <v>22</v>
      </c>
      <c r="G24" s="50">
        <f>IF(FT!A24&lt;&gt;"",FT!A24*10,"")</f>
        <v>2.3313299999999999</v>
      </c>
      <c r="H24" s="50">
        <f>IF(FT!B24&lt;&gt;"",FT!B24*100,"")</f>
        <v>58.386099999999999</v>
      </c>
      <c r="I24" s="50">
        <f t="shared" si="2"/>
        <v>1</v>
      </c>
      <c r="J24" t="str">
        <f>IF(FT!B24&lt;&gt;"",FT!E24,"")</f>
        <v>0 [8.931040]</v>
      </c>
      <c r="K24">
        <f>IF(FT!B24&lt;&gt;"",IF(FT!C24&lt;&gt;"",FT!C24,F24/$M$3*$M$4),"")</f>
        <v>8.9310399999999994</v>
      </c>
      <c r="P24">
        <f t="shared" si="10"/>
        <v>21</v>
      </c>
      <c r="Q24">
        <f t="shared" si="12"/>
        <v>0</v>
      </c>
      <c r="R24">
        <f t="shared" si="13"/>
        <v>0</v>
      </c>
      <c r="S24">
        <f t="array" ref="S24">MAX(IF(ft_nq=P24,row_n))</f>
        <v>0</v>
      </c>
      <c r="T24">
        <f t="shared" si="11"/>
        <v>1</v>
      </c>
      <c r="V24" s="300">
        <f>100-X23</f>
        <v>10</v>
      </c>
      <c r="W24" s="300">
        <f>100-X23</f>
        <v>10</v>
      </c>
      <c r="Y24" s="75">
        <f t="shared" si="3"/>
        <v>25.044116448550827</v>
      </c>
      <c r="AQ24">
        <v>1</v>
      </c>
      <c r="AR24" s="443" t="str">
        <f t="shared" si="15"/>
        <v/>
      </c>
      <c r="AS24" s="444" t="str">
        <f t="shared" si="14"/>
        <v/>
      </c>
      <c r="AT24" s="444" t="str">
        <f t="shared" si="14"/>
        <v/>
      </c>
      <c r="AU24" s="444" t="str">
        <f t="shared" si="14"/>
        <v/>
      </c>
      <c r="AV24" s="445" t="str">
        <f t="shared" si="14"/>
        <v/>
      </c>
      <c r="AW24" s="444" t="str">
        <f t="shared" si="14"/>
        <v>나른한</v>
      </c>
      <c r="AX24" s="444" t="str">
        <f t="shared" si="14"/>
        <v/>
      </c>
      <c r="AY24" s="444" t="str">
        <f t="shared" si="14"/>
        <v/>
      </c>
      <c r="AZ24" s="444" t="str">
        <f t="shared" si="14"/>
        <v/>
      </c>
      <c r="BA24" s="445" t="str">
        <f t="shared" si="14"/>
        <v/>
      </c>
      <c r="CB24" s="114" t="str">
        <f>IF(W8=1,CJ16,IF(W8=2,CK16,IF(W8=3,CL16,IF(W8=4,CM16,IF(W8=5,CN16,IF(W8=6,CO16,IF(W8=7,CP16,IF(W8=8,CQ16,""))))))))</f>
        <v>3</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f>IF(FT!A25&lt;&gt;"",FT!A25*10,"")</f>
        <v>2.3102300000000002</v>
      </c>
      <c r="H25" s="50">
        <f>IF(FT!B25&lt;&gt;"",FT!B25*100,"")</f>
        <v>57.710099999999997</v>
      </c>
      <c r="I25" s="50">
        <f t="shared" si="2"/>
        <v>1</v>
      </c>
      <c r="J25" t="str">
        <f>IF(FT!B25&lt;&gt;"",FT!E25,"")</f>
        <v>0 [9.352931]</v>
      </c>
      <c r="K25">
        <f>IF(FT!B25&lt;&gt;"",IF(FT!C25&lt;&gt;"",FT!C25,F25/$M$3*$M$4),"")</f>
        <v>9.3529300000000006</v>
      </c>
      <c r="P25">
        <f t="shared" si="10"/>
        <v>22</v>
      </c>
      <c r="Q25">
        <f t="shared" si="12"/>
        <v>0</v>
      </c>
      <c r="R25">
        <f t="shared" si="13"/>
        <v>0</v>
      </c>
      <c r="S25">
        <f t="array" ref="S25">MAX(IF(ft_nq=P25,row_n))</f>
        <v>0</v>
      </c>
      <c r="T25">
        <f t="shared" si="11"/>
        <v>1</v>
      </c>
      <c r="V25" s="300">
        <f>X23</f>
        <v>90</v>
      </c>
      <c r="W25" s="300">
        <f>100-X23</f>
        <v>10</v>
      </c>
      <c r="Y25" s="75">
        <f t="shared" si="3"/>
        <v>24.980240062677737</v>
      </c>
    </row>
    <row r="26" spans="1:120">
      <c r="A26" s="50">
        <f t="shared" si="5"/>
        <v>24</v>
      </c>
      <c r="B26" s="50">
        <f t="shared" si="0"/>
        <v>0.46337976470588232</v>
      </c>
      <c r="C26" s="50">
        <f>IF(FH!$C$2&gt;0,FH!A26/FH!$C$2,0)</f>
        <v>0.72923828694650172</v>
      </c>
      <c r="D26" s="50">
        <f>IF(hist!$D$2&gt;0,hist!B26/hist!$D$2,0)</f>
        <v>8.4039361600907164E-2</v>
      </c>
      <c r="E26" s="50">
        <f t="shared" si="1"/>
        <v>1.2128188079122912E-3</v>
      </c>
      <c r="F26">
        <f t="shared" si="6"/>
        <v>24</v>
      </c>
      <c r="G26" s="50">
        <f>IF(FT!A26&lt;&gt;"",FT!A26*10,"")</f>
        <v>2.2881499999999999</v>
      </c>
      <c r="H26" s="50">
        <f>IF(FT!B26&lt;&gt;"",FT!B26*100,"")</f>
        <v>57.032299999999999</v>
      </c>
      <c r="I26" s="50">
        <f t="shared" si="2"/>
        <v>1</v>
      </c>
      <c r="J26" t="str">
        <f>IF(FT!B26&lt;&gt;"",FT!E26,"")</f>
        <v>0 [9.753749]</v>
      </c>
      <c r="K26">
        <f>IF(FT!B26&lt;&gt;"",IF(FT!C26&lt;&gt;"",FT!C26,F26/$M$3*$M$4),"")</f>
        <v>9.7537500000000001</v>
      </c>
      <c r="P26">
        <f t="shared" si="10"/>
        <v>23</v>
      </c>
      <c r="Q26">
        <f t="shared" si="12"/>
        <v>0</v>
      </c>
      <c r="R26">
        <f t="shared" si="13"/>
        <v>0</v>
      </c>
      <c r="S26">
        <f t="array" ref="S26">MAX(IF(ft_nq=P26,row_n))</f>
        <v>0</v>
      </c>
      <c r="T26">
        <f t="shared" si="11"/>
        <v>1</v>
      </c>
      <c r="V26" s="300">
        <f>X23</f>
        <v>90</v>
      </c>
      <c r="W26" s="300">
        <f>X23</f>
        <v>90</v>
      </c>
      <c r="Y26" s="75">
        <f t="shared" si="3"/>
        <v>24.925070471778511</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나른한</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나른한</v>
      </c>
    </row>
    <row r="27" spans="1:120">
      <c r="A27" s="50">
        <f t="shared" si="5"/>
        <v>25</v>
      </c>
      <c r="B27" s="50">
        <f t="shared" si="0"/>
        <v>0.48268725490196074</v>
      </c>
      <c r="C27" s="50">
        <f>IF(FH!$C$2&gt;0,FH!A27/FH!$C$2,0)</f>
        <v>0</v>
      </c>
      <c r="D27" s="50">
        <f>IF(hist!$D$2&gt;0,hist!B27/hist!$D$2,0)</f>
        <v>0</v>
      </c>
      <c r="E27" s="50">
        <f t="shared" si="1"/>
        <v>1.4323051140600783E-3</v>
      </c>
      <c r="F27">
        <f t="shared" si="6"/>
        <v>25</v>
      </c>
      <c r="G27" s="50">
        <f>IF(FT!A27&lt;&gt;"",FT!A27*10,"")</f>
        <v>2.2649400000000002</v>
      </c>
      <c r="H27" s="50">
        <f>IF(FT!B27&lt;&gt;"",FT!B27*100,"")</f>
        <v>56.364499999999992</v>
      </c>
      <c r="I27" s="50">
        <f t="shared" si="2"/>
        <v>1</v>
      </c>
      <c r="J27" t="str">
        <f>IF(FT!B27&lt;&gt;"",FT!E27,"")</f>
        <v>0 [10.145007]</v>
      </c>
      <c r="K27">
        <f>IF(FT!B27&lt;&gt;"",IF(FT!C27&lt;&gt;"",FT!C27,F27/$M$3*$M$4),"")</f>
        <v>10.145</v>
      </c>
      <c r="P27">
        <f t="shared" si="10"/>
        <v>24</v>
      </c>
      <c r="Q27">
        <f t="shared" si="12"/>
        <v>0</v>
      </c>
      <c r="R27">
        <f t="shared" si="13"/>
        <v>0</v>
      </c>
      <c r="S27">
        <f t="array" ref="S27">MAX(IF(ft_nq=P27,row_n))</f>
        <v>0</v>
      </c>
      <c r="T27">
        <f t="shared" si="11"/>
        <v>1</v>
      </c>
      <c r="V27" s="288">
        <v>60</v>
      </c>
      <c r="W27" s="288">
        <v>60</v>
      </c>
      <c r="X27" t="s">
        <v>1189</v>
      </c>
      <c r="Y27" s="75">
        <f t="shared" si="3"/>
        <v>24.885648184940877</v>
      </c>
      <c r="AS27" t="s">
        <v>2144</v>
      </c>
    </row>
    <row r="28" spans="1:120">
      <c r="A28" s="50">
        <f t="shared" si="5"/>
        <v>26</v>
      </c>
      <c r="B28" s="50">
        <f t="shared" si="0"/>
        <v>0.50199474509803921</v>
      </c>
      <c r="C28" s="50">
        <f>IF(FH!$C$2&gt;0,FH!A28/FH!$C$2,0)</f>
        <v>0.80525180853657952</v>
      </c>
      <c r="D28" s="50">
        <f>IF(hist!$D$2&gt;0,hist!B28/hist!$D$2,0)</f>
        <v>6.8764723853772733E-2</v>
      </c>
      <c r="E28" s="50">
        <f t="shared" si="1"/>
        <v>1.6879584006191061E-3</v>
      </c>
      <c r="F28">
        <f t="shared" si="6"/>
        <v>26</v>
      </c>
      <c r="G28" s="50">
        <f>IF(FT!A28&lt;&gt;"",FT!A28*10,"")</f>
        <v>2.2392799999999999</v>
      </c>
      <c r="H28" s="50">
        <f>IF(FT!B28&lt;&gt;"",FT!B28*100,"")</f>
        <v>55.7134</v>
      </c>
      <c r="I28" s="50">
        <f t="shared" si="2"/>
        <v>1</v>
      </c>
      <c r="J28" t="str">
        <f>IF(FT!B28&lt;&gt;"",FT!E28,"")</f>
        <v>0 [10.550259]</v>
      </c>
      <c r="K28">
        <f>IF(FT!B28&lt;&gt;"",IF(FT!C28&lt;&gt;"",FT!C28,F28/$M$3*$M$4),"")</f>
        <v>10.5503</v>
      </c>
      <c r="V28" s="288">
        <v>40</v>
      </c>
      <c r="W28" s="288">
        <v>60</v>
      </c>
      <c r="Y28" s="75">
        <f t="shared" si="3"/>
        <v>24.880050730591975</v>
      </c>
    </row>
    <row r="29" spans="1:120">
      <c r="A29" s="50">
        <f t="shared" si="5"/>
        <v>27</v>
      </c>
      <c r="B29" s="50">
        <f t="shared" si="0"/>
        <v>0.52130223529411757</v>
      </c>
      <c r="C29" s="50">
        <f>IF(FH!$C$2&gt;0,FH!A29/FH!$C$2,0)</f>
        <v>0</v>
      </c>
      <c r="D29" s="50">
        <f>IF(hist!$D$2&gt;0,hist!B29/hist!$D$2,0)</f>
        <v>0</v>
      </c>
      <c r="E29" s="50">
        <f t="shared" si="1"/>
        <v>1.9850640005883292E-3</v>
      </c>
      <c r="F29">
        <f t="shared" si="6"/>
        <v>27</v>
      </c>
      <c r="G29" s="50">
        <f>IF(FT!A29&lt;&gt;"",FT!A29*10,"")</f>
        <v>2.2104499999999998</v>
      </c>
      <c r="H29" s="50">
        <f>IF(FT!B29&lt;&gt;"",FT!B29*100,"")</f>
        <v>55.082299999999996</v>
      </c>
      <c r="I29" s="50">
        <f t="shared" si="2"/>
        <v>1</v>
      </c>
      <c r="J29" t="str">
        <f>IF(FT!B29&lt;&gt;"",FT!E29,"")</f>
        <v>0 [10.963921]</v>
      </c>
      <c r="K29">
        <f>IF(FT!B29&lt;&gt;"",IF(FT!C29&lt;&gt;"",FT!C29,F29/$M$3*$M$4),"")</f>
        <v>10.963900000000001</v>
      </c>
      <c r="V29" s="288">
        <v>40</v>
      </c>
      <c r="W29" s="288">
        <v>40</v>
      </c>
      <c r="Y29" s="75">
        <f t="shared" si="3"/>
        <v>24.919043633649256</v>
      </c>
    </row>
    <row r="30" spans="1:120">
      <c r="A30" s="50">
        <f t="shared" si="5"/>
        <v>28</v>
      </c>
      <c r="B30" s="50">
        <f t="shared" si="0"/>
        <v>0.54060972549019604</v>
      </c>
      <c r="C30" s="50">
        <f>IF(FH!$C$2&gt;0,FH!A30/FH!$C$2,0)</f>
        <v>0</v>
      </c>
      <c r="D30" s="50">
        <f>IF(hist!$D$2&gt;0,hist!B30/hist!$D$2,0)</f>
        <v>0</v>
      </c>
      <c r="E30" s="50">
        <f t="shared" si="1"/>
        <v>2.3295598087524259E-3</v>
      </c>
      <c r="F30">
        <f t="shared" si="6"/>
        <v>28</v>
      </c>
      <c r="G30" s="50">
        <f>IF(FT!A30&lt;&gt;"",FT!A30*10,"")</f>
        <v>2.1774299999999998</v>
      </c>
      <c r="H30" s="50">
        <f>IF(FT!B30&lt;&gt;"",FT!B30*100,"")</f>
        <v>54.505800000000008</v>
      </c>
      <c r="I30" s="50">
        <f t="shared" si="2"/>
        <v>1</v>
      </c>
      <c r="J30" t="str">
        <f>IF(FT!B30&lt;&gt;"",FT!E30,"")</f>
        <v>0 [11.389826]</v>
      </c>
      <c r="K30">
        <f>IF(FT!B30&lt;&gt;"",IF(FT!C30&lt;&gt;"",FT!C30,F30/$M$3*$M$4),"")</f>
        <v>11.389799999999999</v>
      </c>
      <c r="V30" s="288">
        <v>60</v>
      </c>
      <c r="W30" s="288">
        <v>40</v>
      </c>
      <c r="Y30" s="75">
        <f t="shared" si="3"/>
        <v>25.032170953830899</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0.82539553519773168</v>
      </c>
      <c r="D31" s="50">
        <f>IF(hist!$D$2&gt;0,hist!B31/hist!$D$2,0)</f>
        <v>5.8573493996722494E-2</v>
      </c>
      <c r="E31" s="50">
        <f t="shared" si="1"/>
        <v>2.728096910809098E-3</v>
      </c>
      <c r="F31">
        <f t="shared" si="6"/>
        <v>29</v>
      </c>
      <c r="G31" s="50">
        <f>IF(FT!A31&lt;&gt;"",FT!A31*10,"")</f>
        <v>2.1398000000000001</v>
      </c>
      <c r="H31" s="50">
        <f>IF(FT!B31&lt;&gt;"",FT!B31*100,"")</f>
        <v>53.978000000000002</v>
      </c>
      <c r="I31" s="50">
        <f t="shared" si="2"/>
        <v>1</v>
      </c>
      <c r="J31" t="str">
        <f>IF(FT!B31&lt;&gt;"",FT!E31,"")</f>
        <v>0 [11.774903]</v>
      </c>
      <c r="K31">
        <f>IF(FT!B31&lt;&gt;"",IF(FT!C31&lt;&gt;"",FT!C31,F31/$M$3*$M$4),"")</f>
        <v>11.774900000000001</v>
      </c>
      <c r="V31" s="288">
        <v>60</v>
      </c>
      <c r="W31" s="288">
        <v>60</v>
      </c>
      <c r="Y31" s="75">
        <f t="shared" si="3"/>
        <v>25.225722030096268</v>
      </c>
      <c r="CB31" t="str">
        <f ca="1">IF(W8=1,CB33,IF(W8=2,CB34,IF(W8=3,CB35,IF(W8=4,CB36,IF(W8=5,CB37,IF(W8=6,CB38,IF(W8=7,CB39,IF(W8=8,CB40,""))))))))</f>
        <v>심리적으로 편안하지만 심리적 정보가 감소할 가능성이 있다. 에너지 대사량이 보통이며 감소하고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0</v>
      </c>
      <c r="D32" s="50">
        <f>IF(hist!$D$2&gt;0,hist!B32/hist!$D$2,0)</f>
        <v>0</v>
      </c>
      <c r="E32" s="50">
        <f t="shared" si="1"/>
        <v>3.1881026775092587E-3</v>
      </c>
      <c r="F32">
        <f t="shared" si="6"/>
        <v>30</v>
      </c>
      <c r="G32" s="50">
        <f>IF(FT!A32&lt;&gt;"",FT!A32*10,"")</f>
        <v>2.0978599999999998</v>
      </c>
      <c r="H32" s="50">
        <f>IF(FT!B32&lt;&gt;"",FT!B32*100,"")</f>
        <v>53.543099999999995</v>
      </c>
      <c r="I32" s="50">
        <f t="shared" si="2"/>
        <v>1</v>
      </c>
      <c r="J32" t="str">
        <f>IF(FT!B32&lt;&gt;"",FT!E32,"")</f>
        <v>0 [12.181066]</v>
      </c>
      <c r="K32">
        <f>IF(FT!B32&lt;&gt;"",IF(FT!C32&lt;&gt;"",FT!C32,F32/$M$3*$M$4),"")</f>
        <v>12.181100000000001</v>
      </c>
      <c r="Y32" s="75">
        <f t="shared" si="3"/>
        <v>25.522723155977996</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0.72418920663456798</v>
      </c>
      <c r="D33" s="50">
        <f>IF(hist!$D$2&gt;0,hist!B33/hist!$D$2,0)</f>
        <v>5.0032450649910798E-2</v>
      </c>
      <c r="E33" s="50">
        <f t="shared" si="1"/>
        <v>3.7178458896922669E-3</v>
      </c>
      <c r="F33">
        <f t="shared" si="6"/>
        <v>31</v>
      </c>
      <c r="G33" s="50">
        <f>IF(FT!A33&lt;&gt;"",FT!A33*10,"")</f>
        <v>2.0508000000000002</v>
      </c>
      <c r="H33" s="50">
        <f>IF(FT!B33&lt;&gt;"",FT!B33*100,"")</f>
        <v>53.219899999999996</v>
      </c>
      <c r="I33" s="50">
        <f t="shared" si="2"/>
        <v>1</v>
      </c>
      <c r="J33" t="str">
        <f>IF(FT!B33&lt;&gt;"",FT!E33,"")</f>
        <v>0 [12.580438]</v>
      </c>
      <c r="K33">
        <f>IF(FT!B33&lt;&gt;"",IF(FT!C33&lt;&gt;"",FT!C33,F33/$M$3*$M$4),"")</f>
        <v>12.580399999999999</v>
      </c>
      <c r="W33" s="23">
        <f>FH_info!G2</f>
        <v>0.50248899999999996</v>
      </c>
      <c r="Y33" s="75">
        <f t="shared" si="3"/>
        <v>25.950799687926658</v>
      </c>
      <c r="CA33" t="s">
        <v>949</v>
      </c>
      <c r="CB33" s="110" t="str">
        <f ca="1">IF(W9=0,"",IF(W9=1,IF(V9=1,CK33,IF(V9=2,CL33,IF(V9=3,CM33,IF(V9=4,CN33,"")))),IF(W9=2,IF(V9=1,CK36,IF(V9=2,CL36,IF(V9=3,CM36,IF(V9=4,CN36,"")))),IF(W9=3,IF(V9=1,CK40,IF(V9=2,CL40,IF(V9=3,CM40,IF(V9=4,CN40,"")))),IF(W9=4,IF(V9=1,CK43,IF(V9=2,CL43,IF(V9=3,CM43,IF(V9=4,CN43,"")))),IF(W9=5,IF(V9=1,CK46,IF(V9=2,CL46,IF(V9=3,CM46,IF(V9=4,CN46,""))))))))))</f>
        <v xml:space="preserve">심리적 편안함이 증가하고 안정된 정서 상태이다. 에너지 대사량이 보통이며 증가하고 있다. </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0</v>
      </c>
      <c r="E34" s="50">
        <f t="shared" si="1"/>
        <v>4.3265033530746552E-3</v>
      </c>
      <c r="F34">
        <f t="shared" si="6"/>
        <v>32</v>
      </c>
      <c r="G34" s="50">
        <f>IF(FT!A34&lt;&gt;"",FT!A34*10,"")</f>
        <v>1.9977200000000002</v>
      </c>
      <c r="H34" s="50">
        <f>IF(FT!B34&lt;&gt;"",FT!B34*100,"")</f>
        <v>53.061999999999998</v>
      </c>
      <c r="I34" s="50">
        <f t="shared" si="2"/>
        <v>1</v>
      </c>
      <c r="J34" t="str">
        <f>IF(FT!B34&lt;&gt;"",FT!E34,"")</f>
        <v>0 [13.010377]</v>
      </c>
      <c r="K34">
        <f>IF(FT!B34&lt;&gt;"",IF(FT!C34&lt;&gt;"",FT!C34,F34/$M$3*$M$4),"")</f>
        <v>13.010400000000001</v>
      </c>
      <c r="V34" t="s">
        <v>1253</v>
      </c>
      <c r="W34" s="23">
        <f>IF(FH_info!G2&lt;&gt;0,(1-FH_info!G2)*100,0)</f>
        <v>49.751100000000001</v>
      </c>
      <c r="X34" t="s">
        <v>1054</v>
      </c>
      <c r="Y34" s="75">
        <f t="shared" si="3"/>
        <v>26.561279859039303</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안정된 정서 상태이다. 에너지 대사량이 보통이며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0</v>
      </c>
      <c r="E35" s="50">
        <f t="shared" si="1"/>
        <v>5.0242273461788027E-3</v>
      </c>
      <c r="F35">
        <f t="shared" si="6"/>
        <v>33</v>
      </c>
      <c r="G35" s="50">
        <f>IF(FT!A35&lt;&gt;"",FT!A35*10,"")</f>
        <v>1.9386999999999999</v>
      </c>
      <c r="H35" s="50">
        <f>IF(FT!B35&lt;&gt;"",FT!B35*100,"")</f>
        <v>53.136300000000006</v>
      </c>
      <c r="I35" s="50">
        <f t="shared" si="2"/>
        <v>1</v>
      </c>
      <c r="J35" t="str">
        <f>IF(FT!B35&lt;&gt;"",FT!E35,"")</f>
        <v>0 [13.402310]</v>
      </c>
      <c r="K35">
        <f>IF(FT!B35&lt;&gt;"",IF(FT!C35&lt;&gt;"",FT!C35,F35/$M$3*$M$4),"")</f>
        <v>13.4023</v>
      </c>
      <c r="V35" s="52">
        <f>IF(V36&gt;3,100,V36/3*100)</f>
        <v>29.799266666666668</v>
      </c>
      <c r="W35" s="23">
        <f>IF(FH_info!G2*1&lt;&gt;0,(1-NORMSDIST((FH_info!G2*1-0.5308)/0.1538))*100,0)</f>
        <v>57.302336660950026</v>
      </c>
      <c r="X35" t="s">
        <v>1053</v>
      </c>
      <c r="Y35" s="75">
        <f t="shared" si="3"/>
        <v>27.408211688244705</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안정된 상태이다. 심리적 정보가 감소할 가능성이 있다. 에너지 대사량이 보통이며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0.82132184540060338</v>
      </c>
      <c r="D36" s="50">
        <f>IF(hist!$D$2&gt;0,hist!B36/hist!$D$2,0)</f>
        <v>4.3332062884989433E-2</v>
      </c>
      <c r="E36" s="50">
        <f t="shared" si="1"/>
        <v>5.8222131217928776E-3</v>
      </c>
      <c r="F36">
        <f t="shared" si="6"/>
        <v>34</v>
      </c>
      <c r="G36" s="50">
        <f>IF(FT!A36&lt;&gt;"",FT!A36*10,"")</f>
        <v>1.8747400000000001</v>
      </c>
      <c r="H36" s="50">
        <f>IF(FT!B36&lt;&gt;"",FT!B36*100,"")</f>
        <v>53.4285</v>
      </c>
      <c r="I36" s="50">
        <f t="shared" si="2"/>
        <v>1</v>
      </c>
      <c r="J36" t="str">
        <f>IF(FT!B36&lt;&gt;"",FT!E36,"")</f>
        <v>0 [13.800237]</v>
      </c>
      <c r="K36">
        <f>IF(FT!B36&lt;&gt;"",IF(FT!C36&lt;&gt;"",FT!C36,F36/$M$3*$M$4),"")</f>
        <v>13.8002</v>
      </c>
      <c r="R36" s="71" t="s">
        <v>2215</v>
      </c>
      <c r="S36" t="s">
        <v>1251</v>
      </c>
      <c r="U36" t="s">
        <v>386</v>
      </c>
      <c r="V36" s="495">
        <f>FH_info!F2*1</f>
        <v>0.89397800000000005</v>
      </c>
      <c r="W36" s="495">
        <f>IF(W34&gt;=60,30/40*(W34-60)+70,IF(W34&gt;=35,35/25*(W34-35)+35,IF(W34&gt;=0,W34,0)))</f>
        <v>55.651539999999997</v>
      </c>
      <c r="X36" s="23" t="s">
        <v>388</v>
      </c>
      <c r="Y36" s="75">
        <f t="shared" si="3"/>
        <v>28.499151882394358</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안정된 상태이다. 심리적 정보가 감소할 가능성이 있다. 에너지 대사량이 보통이고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0</v>
      </c>
      <c r="E37" s="50">
        <f t="shared" si="1"/>
        <v>6.7327655530882088E-3</v>
      </c>
      <c r="F37">
        <f t="shared" si="6"/>
        <v>35</v>
      </c>
      <c r="G37" s="50">
        <f>IF(FT!A37&lt;&gt;"",FT!A37*10,"")</f>
        <v>1.8189500000000001</v>
      </c>
      <c r="H37" s="50">
        <f>IF(FT!B37&lt;&gt;"",FT!B37*100,"")</f>
        <v>53.689200000000007</v>
      </c>
      <c r="I37" s="50">
        <f t="shared" si="2"/>
        <v>1</v>
      </c>
      <c r="J37" t="str">
        <f>IF(FT!B37&lt;&gt;"",FT!E37,"")</f>
        <v>0 [14.200162]</v>
      </c>
      <c r="K37">
        <f>IF(FT!B37&lt;&gt;"",IF(FT!C37&lt;&gt;"",FT!C37,F37/$M$3*$M$4),"")</f>
        <v>14.200200000000001</v>
      </c>
      <c r="R37" s="71" t="s">
        <v>2222</v>
      </c>
      <c r="S37" t="s">
        <v>2216</v>
      </c>
      <c r="U37" t="s">
        <v>458</v>
      </c>
      <c r="V37" s="130" t="str">
        <f>IF(V36&gt;=2.5,"v","")</f>
        <v/>
      </c>
      <c r="W37" s="130" t="str">
        <f>IF(W36&gt;=60,"v","")</f>
        <v/>
      </c>
      <c r="Y37" s="75">
        <f t="shared" si="3"/>
        <v>29.516589241045661</v>
      </c>
      <c r="CA37" t="s">
        <v>953</v>
      </c>
      <c r="CB37" s="113" t="str">
        <f ca="1">IF(W9=0,"",IF(W9=1,IF(V9=1,DA33,IF(V9=2,DB33,IF(V9=3,DC33,IF(V9=4,DD33,"")))),IF(W9=2,IF(V9=1,DA36,IF(V9=2,DB36,IF(V9=3,DC36,IF(V9=4,DD36,"")))),IF(W9=3,IF(V9=1,DA40,IF(V9=2,DB40,IF(V9=3,DC40,IF(V9=4,DD40,"")))),IF(W9=4,IF(V9=1,DA43,IF(V9=2,DB43,IF(V9=3,DC43,IF(V9=4,DD43,"")))),IF(W9=5,IF(V9=1,DA46,IF(V9=2,DB46,IF(V9=3,DC46,IF(V9=4,DD46,""))))))))))</f>
        <v>심리적으로 편안하지만 심리적 정보가 감소할 가능성이 있다. 에너지 대사량이 보통이며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0</v>
      </c>
      <c r="E38" s="50">
        <f t="shared" si="1"/>
        <v>7.7693638815859913E-3</v>
      </c>
      <c r="F38">
        <f t="shared" si="6"/>
        <v>36</v>
      </c>
      <c r="G38" s="50">
        <f>IF(FT!A38&lt;&gt;"",FT!A38*10,"")</f>
        <v>1.78088</v>
      </c>
      <c r="H38" s="50">
        <f>IF(FT!B38&lt;&gt;"",FT!B38*100,"")</f>
        <v>53.729700000000001</v>
      </c>
      <c r="I38" s="50">
        <f t="shared" si="2"/>
        <v>1</v>
      </c>
      <c r="J38" t="str">
        <f>IF(FT!B38&lt;&gt;"",FT!E38,"")</f>
        <v>0 [14.611312]</v>
      </c>
      <c r="K38">
        <f>IF(FT!B38&lt;&gt;"",IF(FT!C38&lt;&gt;"",FT!C38,F38/$M$3*$M$4),"")</f>
        <v>14.6113</v>
      </c>
      <c r="U38" t="s">
        <v>460</v>
      </c>
      <c r="V38" s="130" t="str">
        <f>IF(V36&gt;=1,IF(V36&lt;2.5,"v",""),"")</f>
        <v/>
      </c>
      <c r="W38" s="130" t="str">
        <f>IF(W36*1&gt;35,IF(W36&lt;60,"v",""),"")</f>
        <v>v</v>
      </c>
      <c r="Y38" s="75">
        <f t="shared" si="3"/>
        <v>30.1703090606891</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편안한 상태이다. 에너지 대사량이 보통이며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0.87816224951828126</v>
      </c>
      <c r="D39" s="50">
        <f>IF(hist!$D$2&gt;0,hist!B39/hist!$D$2,0)</f>
        <v>3.7635095861687423E-2</v>
      </c>
      <c r="E39" s="50">
        <f t="shared" si="1"/>
        <v>8.946723387532881E-3</v>
      </c>
      <c r="F39">
        <f t="shared" si="6"/>
        <v>37</v>
      </c>
      <c r="G39" s="50">
        <f>IF(FT!A39&lt;&gt;"",FT!A39*10,"")</f>
        <v>1.7589399999999999</v>
      </c>
      <c r="H39" s="50">
        <f>IF(FT!B39&lt;&gt;"",FT!B39*100,"")</f>
        <v>53.611899999999999</v>
      </c>
      <c r="I39" s="50">
        <f t="shared" si="2"/>
        <v>1</v>
      </c>
      <c r="J39" t="str">
        <f>IF(FT!B39&lt;&gt;"",FT!E39,"")</f>
        <v>0 [15.033981]</v>
      </c>
      <c r="K39">
        <f>IF(FT!B39&lt;&gt;"",IF(FT!C39&lt;&gt;"",FT!C39,F39/$M$3*$M$4),"")</f>
        <v>15.034000000000001</v>
      </c>
      <c r="U39" t="s">
        <v>462</v>
      </c>
      <c r="V39" s="131" t="str">
        <f>IF(V36&lt;1,"v","")</f>
        <v>v</v>
      </c>
      <c r="W39" s="130" t="str">
        <f>IF(W36&lt;=35,"v","")</f>
        <v/>
      </c>
      <c r="Y39" s="75">
        <f t="shared" si="3"/>
        <v>30.479663888478289</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 xml:space="preserve">심리적 편안함이 증가하는 정서 상태이다. 에너지 대사량이 보통이며 감소하고 안정되어 있다. </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0</v>
      </c>
      <c r="E40" s="50">
        <f t="shared" si="1"/>
        <v>1.0280852666259267E-2</v>
      </c>
      <c r="F40">
        <f t="shared" si="6"/>
        <v>38</v>
      </c>
      <c r="G40" s="50">
        <f>IF(FT!A40&lt;&gt;"",FT!A40*10,"")</f>
        <v>1.7475799999999999</v>
      </c>
      <c r="H40" s="50">
        <f>IF(FT!B40&lt;&gt;"",FT!B40*100,"")</f>
        <v>53.564799999999998</v>
      </c>
      <c r="I40" s="50">
        <f t="shared" si="2"/>
        <v>1</v>
      </c>
      <c r="J40" t="str">
        <f>IF(FT!B40&lt;&gt;"",FT!E40,"")</f>
        <v>0 [15.433277]</v>
      </c>
      <c r="K40">
        <f>IF(FT!B40&lt;&gt;"",IF(FT!C40&lt;&gt;"",FT!C40,F40/$M$3*$M$4),"")</f>
        <v>15.433299999999999</v>
      </c>
      <c r="V40" s="287" t="str">
        <f>IF(V36&lt;1,lang!B231,IF(V36&lt;2.5,lang!B230,lang!B229))</f>
        <v>낮 음</v>
      </c>
      <c r="W40" s="287" t="str">
        <f>IF(W36&lt;=35,lang!B242,IF(W36&lt;60,lang!B241,lang!B240))</f>
        <v>보 통</v>
      </c>
      <c r="X40" t="s">
        <v>1055</v>
      </c>
      <c r="Y40" s="75">
        <f t="shared" si="3"/>
        <v>30.650842879868161</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 xml:space="preserve">심리적 편안함이 증가하는 정서 상태이다. 에너지 대사량이 적으며 거의 변화가 없는 안정된 상태이다. </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0.91354884363629407</v>
      </c>
      <c r="D41" s="50">
        <f>IF(hist!$D$2&gt;0,hist!B41/hist!$D$2,0)</f>
        <v>3.3052252909851428E-2</v>
      </c>
      <c r="E41" s="50">
        <f t="shared" si="1"/>
        <v>1.1789105059485654E-2</v>
      </c>
      <c r="F41">
        <f t="shared" si="6"/>
        <v>39</v>
      </c>
      <c r="G41" s="50">
        <f>IF(FT!A41&lt;&gt;"",FT!A41*10,"")</f>
        <v>1.7401900000000001</v>
      </c>
      <c r="H41" s="50">
        <f>IF(FT!B41&lt;&gt;"",FT!B41*100,"")</f>
        <v>53.435500000000005</v>
      </c>
      <c r="I41" s="50">
        <f t="shared" si="2"/>
        <v>1</v>
      </c>
      <c r="J41" t="str">
        <f>IF(FT!B41&lt;&gt;"",FT!E41,"")</f>
        <v>0 [15.840436]</v>
      </c>
      <c r="K41">
        <f>IF(FT!B41&lt;&gt;"",IF(FT!C41&lt;&gt;"",FT!C41,F41/$M$3*$M$4),"")</f>
        <v>15.840400000000001</v>
      </c>
      <c r="V41" t="s">
        <v>2216</v>
      </c>
      <c r="W41" s="287" t="s">
        <v>2154</v>
      </c>
      <c r="X41" t="s">
        <v>1056</v>
      </c>
      <c r="Y41" s="75">
        <f t="shared" si="3"/>
        <v>30.706704440319736</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v>
      </c>
      <c r="D42" s="50">
        <f>IF(hist!$D$2&gt;0,hist!B42/hist!$D$2,0)</f>
        <v>0</v>
      </c>
      <c r="E42" s="50">
        <f t="shared" si="1"/>
        <v>1.3490222661407885E-2</v>
      </c>
      <c r="F42">
        <f t="shared" si="6"/>
        <v>40</v>
      </c>
      <c r="G42" s="50">
        <f>IF(FT!A42&lt;&gt;"",FT!A42*10,"")</f>
        <v>1.7343600000000001</v>
      </c>
      <c r="H42" s="50">
        <f>IF(FT!B42&lt;&gt;"",FT!B42*100,"")</f>
        <v>53.121799999999993</v>
      </c>
      <c r="I42" s="50">
        <f t="shared" si="2"/>
        <v>1</v>
      </c>
      <c r="J42" t="str">
        <f>IF(FT!B42&lt;&gt;"",FT!E42,"")</f>
        <v>0 [16.260066]</v>
      </c>
      <c r="K42">
        <f>IF(FT!B42&lt;&gt;"",IF(FT!C42&lt;&gt;"",FT!C42,F42/$M$3*$M$4),"")</f>
        <v>16.260100000000001</v>
      </c>
      <c r="U42" t="s">
        <v>464</v>
      </c>
      <c r="V42" t="s">
        <v>273</v>
      </c>
      <c r="Y42" s="75">
        <f t="shared" si="3"/>
        <v>30.62905048548167</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v>
      </c>
      <c r="D43" s="50">
        <f>IF(hist!$D$2&gt;0,hist!B43/hist!$D$2,0)</f>
        <v>0</v>
      </c>
      <c r="E43" s="50">
        <f t="shared" si="1"/>
        <v>1.5404371199186006E-2</v>
      </c>
      <c r="F43">
        <f t="shared" si="6"/>
        <v>41</v>
      </c>
      <c r="G43" s="50">
        <f>IF(FT!A43&lt;&gt;"",FT!A43*10,"")</f>
        <v>1.7314699999999998</v>
      </c>
      <c r="H43" s="50">
        <f>IF(FT!B43&lt;&gt;"",FT!B43*100,"")</f>
        <v>52.786000000000001</v>
      </c>
      <c r="I43" s="50">
        <f t="shared" si="2"/>
        <v>1</v>
      </c>
      <c r="J43" t="str">
        <f>IF(FT!B43&lt;&gt;"",FT!E43,"")</f>
        <v>0 [16.656268]</v>
      </c>
      <c r="K43">
        <f>IF(FT!B43&lt;&gt;"",IF(FT!C43&lt;&gt;"",FT!C43,F43/$M$3*$M$4),"")</f>
        <v>16.656300000000002</v>
      </c>
      <c r="V43" s="287" t="str">
        <f>IF(M!B17="","",IF(W43&lt;5,CJ4,IF(W43&lt;10,CK4,IF(W43&lt;30,CL4,IF(W43&lt;40,CM4,CN4)))))</f>
        <v>보통</v>
      </c>
      <c r="W43" s="287">
        <f>IF(M!B17="","",M!B17*1)</f>
        <v>25.353300000000001</v>
      </c>
      <c r="Y43" s="75">
        <f t="shared" si="3"/>
        <v>30.486234240269834</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0.93422807881537862</v>
      </c>
      <c r="D44" s="50">
        <f>IF(hist!$D$2&gt;0,hist!B44/hist!$D$2,0)</f>
        <v>2.9450663852349773E-2</v>
      </c>
      <c r="E44" s="50">
        <f t="shared" si="1"/>
        <v>1.7553163979956189E-2</v>
      </c>
      <c r="F44">
        <f t="shared" si="6"/>
        <v>42</v>
      </c>
      <c r="G44" s="50">
        <f>IF(FT!A44&lt;&gt;"",FT!A44*10,"")</f>
        <v>1.73281</v>
      </c>
      <c r="H44" s="50">
        <f>IF(FT!B44&lt;&gt;"",FT!B44*100,"")</f>
        <v>52.433300000000003</v>
      </c>
      <c r="I44" s="50">
        <f t="shared" si="2"/>
        <v>1</v>
      </c>
      <c r="J44" t="str">
        <f>IF(FT!B44&lt;&gt;"",FT!E44,"")</f>
        <v>0 [17.048626]</v>
      </c>
      <c r="K44">
        <f>IF(FT!B44&lt;&gt;"",IF(FT!C44&lt;&gt;"",FT!C44,F44/$M$3*$M$4),"")</f>
        <v>17.0486</v>
      </c>
      <c r="V44" s="287" t="str">
        <f>IF(M!B17="","",IF(W43&lt;5,CJ5,IF(W43&lt;10,CK5,IF(W43&lt;30,CL5,IF(W43&lt;40,CM5,CN5)))))</f>
        <v>감정변화가 안정된 정상적인 상태</v>
      </c>
      <c r="Y44" s="75">
        <f t="shared" si="3"/>
        <v>30.259116694848256</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v>
      </c>
      <c r="D45" s="50">
        <f>IF(hist!$D$2&gt;0,hist!B45/hist!$D$2,0)</f>
        <v>0</v>
      </c>
      <c r="E45" s="50">
        <f t="shared" si="1"/>
        <v>1.9959673005733064E-2</v>
      </c>
      <c r="F45">
        <f t="shared" si="6"/>
        <v>43</v>
      </c>
      <c r="G45" s="50">
        <f>IF(FT!A45&lt;&gt;"",FT!A45*10,"")</f>
        <v>1.73891</v>
      </c>
      <c r="H45" s="50">
        <f>IF(FT!B45&lt;&gt;"",FT!B45*100,"")</f>
        <v>52.035299999999992</v>
      </c>
      <c r="I45" s="50">
        <f t="shared" si="2"/>
        <v>1</v>
      </c>
      <c r="J45" t="str">
        <f>IF(FT!B45&lt;&gt;"",FT!E45,"")</f>
        <v>0 [17.454971]</v>
      </c>
      <c r="K45">
        <f>IF(FT!B45&lt;&gt;"",IF(FT!C45&lt;&gt;"",FT!C45,F45/$M$3*$M$4),"")</f>
        <v>17.454999999999998</v>
      </c>
      <c r="V45" s="287">
        <f>IF(M!B17="","",IF(W43&lt;5,CJ3,IF(W43&lt;10,CK3,IF(W43&lt;30,CL3,IF(W43&lt;40,CM3,CN3)))))</f>
        <v>3</v>
      </c>
      <c r="Y45" s="75">
        <f t="shared" si="3"/>
        <v>29.924090378455464</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0.81612454398102763</v>
      </c>
      <c r="D46" s="50">
        <f>IF(hist!$D$2&gt;0,hist!B46/hist!$D$2,0)</f>
        <v>2.648477895758786E-2</v>
      </c>
      <c r="E46" s="50">
        <f t="shared" si="1"/>
        <v>2.2648425287834031E-2</v>
      </c>
      <c r="F46">
        <f t="shared" si="6"/>
        <v>44</v>
      </c>
      <c r="G46" s="50">
        <f>IF(FT!A46&lt;&gt;"",FT!A46*10,"")</f>
        <v>1.7462</v>
      </c>
      <c r="H46" s="50">
        <f>IF(FT!B46&lt;&gt;"",FT!B46*100,"")</f>
        <v>51.642999999999994</v>
      </c>
      <c r="I46" s="50">
        <f t="shared" si="2"/>
        <v>1</v>
      </c>
      <c r="J46" t="str">
        <f>IF(FT!B46&lt;&gt;"",FT!E46,"")</f>
        <v>0 [17.861386]</v>
      </c>
      <c r="K46">
        <f>IF(FT!B46&lt;&gt;"",IF(FT!C46&lt;&gt;"",FT!C46,F46/$M$3*$M$4),"")</f>
        <v>17.8614</v>
      </c>
      <c r="Y46" s="75">
        <f t="shared" si="3"/>
        <v>29.574504638643909</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v>
      </c>
      <c r="D47" s="50">
        <f>IF(hist!$D$2&gt;0,hist!B47/hist!$D$2,0)</f>
        <v>0</v>
      </c>
      <c r="E47" s="50">
        <f t="shared" si="1"/>
        <v>2.5645382348152414E-2</v>
      </c>
      <c r="F47">
        <f t="shared" si="6"/>
        <v>45</v>
      </c>
      <c r="G47" s="50">
        <f>IF(FT!A47&lt;&gt;"",FT!A47*10,"")</f>
        <v>1.7543900000000001</v>
      </c>
      <c r="H47" s="50">
        <f>IF(FT!B47&lt;&gt;"",FT!B47*100,"")</f>
        <v>51.305199999999992</v>
      </c>
      <c r="I47" s="50">
        <f t="shared" si="2"/>
        <v>1</v>
      </c>
      <c r="J47" t="str">
        <f>IF(FT!B47&lt;&gt;"",FT!E47,"")</f>
        <v>0 [18.276638]</v>
      </c>
      <c r="K47">
        <f>IF(FT!B47&lt;&gt;"",IF(FT!C47&lt;&gt;"",FT!C47,F47/$M$3*$M$4),"")</f>
        <v>18.276599999999998</v>
      </c>
      <c r="Y47" s="75">
        <f t="shared" si="3"/>
        <v>29.243896739037496</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0</v>
      </c>
      <c r="E48" s="50">
        <f t="shared" si="1"/>
        <v>2.8977900880193828E-2</v>
      </c>
      <c r="F48">
        <f t="shared" si="6"/>
        <v>46</v>
      </c>
      <c r="G48" s="50">
        <f>IF(FT!A48&lt;&gt;"",FT!A48*10,"")</f>
        <v>1.7625599999999999</v>
      </c>
      <c r="H48" s="50">
        <f>IF(FT!B48&lt;&gt;"",FT!B48*100,"")</f>
        <v>51.012199999999993</v>
      </c>
      <c r="I48" s="50">
        <f t="shared" si="2"/>
        <v>1</v>
      </c>
      <c r="J48" t="str">
        <f>IF(FT!B48&lt;&gt;"",FT!E48,"")</f>
        <v>0 [18.674102]</v>
      </c>
      <c r="K48">
        <f>IF(FT!B48&lt;&gt;"",IF(FT!C48&lt;&gt;"",FT!C48,F48/$M$3*$M$4),"")</f>
        <v>18.674099999999999</v>
      </c>
      <c r="Y48" s="75">
        <f t="shared" si="3"/>
        <v>28.942106935366738</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0.79578956427775671</v>
      </c>
      <c r="D49" s="50">
        <f>IF(hist!$D$2&gt;0,hist!B49/hist!$D$2,0)</f>
        <v>2.3678360093147017E-2</v>
      </c>
      <c r="E49" s="50">
        <f t="shared" si="1"/>
        <v>3.267467256268837E-2</v>
      </c>
      <c r="F49">
        <f t="shared" si="6"/>
        <v>47</v>
      </c>
      <c r="G49" s="50">
        <f>IF(FT!A49&lt;&gt;"",FT!A49*10,"")</f>
        <v>1.7731300000000001</v>
      </c>
      <c r="H49" s="50">
        <f>IF(FT!B49&lt;&gt;"",FT!B49*100,"")</f>
        <v>50.729100000000003</v>
      </c>
      <c r="I49" s="50">
        <f t="shared" si="2"/>
        <v>1</v>
      </c>
      <c r="J49" t="str">
        <f>IF(FT!B49&lt;&gt;"",FT!E49,"")</f>
        <v>0 [19.091811]</v>
      </c>
      <c r="K49">
        <f>IF(FT!B49&lt;&gt;"",IF(FT!C49&lt;&gt;"",FT!C49,F49/$M$3*$M$4),"")</f>
        <v>19.091799999999999</v>
      </c>
      <c r="Y49" s="75">
        <f t="shared" si="3"/>
        <v>28.609915798616008</v>
      </c>
    </row>
    <row r="50" spans="1:25">
      <c r="A50" s="50">
        <f t="shared" si="5"/>
        <v>48</v>
      </c>
      <c r="B50" s="50">
        <f t="shared" si="0"/>
        <v>0.92675952941176465</v>
      </c>
      <c r="C50" s="50">
        <f>IF(FH!$C$2&gt;0,FH!A50/FH!$C$2,0)</f>
        <v>0</v>
      </c>
      <c r="D50" s="50">
        <f>IF(hist!$D$2&gt;0,hist!B50/hist!$D$2,0)</f>
        <v>0</v>
      </c>
      <c r="E50" s="50">
        <f t="shared" si="1"/>
        <v>3.6765641077056453E-2</v>
      </c>
      <c r="F50">
        <f t="shared" si="6"/>
        <v>48</v>
      </c>
      <c r="G50" s="50">
        <f>IF(FT!A50&lt;&gt;"",FT!A50*10,"")</f>
        <v>1.78234</v>
      </c>
      <c r="H50" s="50">
        <f>IF(FT!B50&lt;&gt;"",FT!B50*100,"")</f>
        <v>50.448300000000003</v>
      </c>
      <c r="I50" s="50">
        <f t="shared" si="2"/>
        <v>1</v>
      </c>
      <c r="J50" t="str">
        <f>IF(FT!B50&lt;&gt;"",FT!E50,"")</f>
        <v>0 [19.489288]</v>
      </c>
      <c r="K50">
        <f>IF(FT!B50&lt;&gt;"",IF(FT!C50&lt;&gt;"",FT!C50,F50/$M$3*$M$4),"")</f>
        <v>19.4893</v>
      </c>
      <c r="V50" t="s">
        <v>1427</v>
      </c>
      <c r="Y50" s="75">
        <f t="shared" si="3"/>
        <v>28.304532244128506</v>
      </c>
    </row>
    <row r="51" spans="1:25">
      <c r="A51" s="50">
        <f t="shared" si="5"/>
        <v>49</v>
      </c>
      <c r="B51" s="50">
        <f t="shared" si="0"/>
        <v>0.94606701960784312</v>
      </c>
      <c r="C51" s="50">
        <f>IF(FH!$C$2&gt;0,FH!A51/FH!$C$2,0)</f>
        <v>0.860978163683916</v>
      </c>
      <c r="D51" s="50">
        <f>IF(hist!$D$2&gt;0,hist!B51/hist!$D$2,0)</f>
        <v>2.0712475198385101E-2</v>
      </c>
      <c r="E51" s="50">
        <f t="shared" si="1"/>
        <v>4.1281894481002994E-2</v>
      </c>
      <c r="F51">
        <f t="shared" si="6"/>
        <v>49</v>
      </c>
      <c r="G51" s="50">
        <f>IF(FT!A51&lt;&gt;"",FT!A51*10,"")</f>
        <v>1.7923</v>
      </c>
      <c r="H51" s="50">
        <f>IF(FT!B51&lt;&gt;"",FT!B51*100,"")</f>
        <v>50.232500000000002</v>
      </c>
      <c r="I51" s="50">
        <f t="shared" si="2"/>
        <v>1</v>
      </c>
      <c r="J51" t="str">
        <f>IF(FT!B51&lt;&gt;"",FT!E51,"")</f>
        <v>0 [19.890972]</v>
      </c>
      <c r="K51">
        <f>IF(FT!B51&lt;&gt;"",IF(FT!C51&lt;&gt;"",FT!C51,F51/$M$3*$M$4),"")</f>
        <v>19.890999999999998</v>
      </c>
      <c r="V51" s="56">
        <v>50</v>
      </c>
      <c r="W51">
        <v>50</v>
      </c>
      <c r="Y51" s="75">
        <f t="shared" si="3"/>
        <v>28.026837025051609</v>
      </c>
    </row>
    <row r="52" spans="1:25">
      <c r="A52" s="50">
        <f t="shared" si="5"/>
        <v>50</v>
      </c>
      <c r="B52" s="50">
        <f t="shared" si="0"/>
        <v>0.96537450980392148</v>
      </c>
      <c r="C52" s="50">
        <f>IF(FH!$C$2&gt;0,FH!A52/FH!$C$2,0)</f>
        <v>0</v>
      </c>
      <c r="D52" s="50">
        <f>IF(hist!$D$2&gt;0,hist!B52/hist!$D$2,0)</f>
        <v>0</v>
      </c>
      <c r="E52" s="50">
        <f t="shared" si="1"/>
        <v>4.6255531237579778E-2</v>
      </c>
      <c r="F52">
        <f t="shared" si="6"/>
        <v>50</v>
      </c>
      <c r="G52" s="50">
        <f>IF(FT!A52&lt;&gt;"",FT!A52*10,"")</f>
        <v>1.8016699999999999</v>
      </c>
      <c r="H52" s="50">
        <f>IF(FT!B52&lt;&gt;"",FT!B52*100,"")</f>
        <v>50.086600000000004</v>
      </c>
      <c r="I52" s="50">
        <f t="shared" si="2"/>
        <v>1</v>
      </c>
      <c r="J52" t="str">
        <f>IF(FT!B52&lt;&gt;"",FT!E52,"")</f>
        <v>0 [20.323718]</v>
      </c>
      <c r="K52">
        <f>IF(FT!B52&lt;&gt;"",IF(FT!C52&lt;&gt;"",FT!C52,F52/$M$3*$M$4),"")</f>
        <v>20.323699999999999</v>
      </c>
      <c r="V52" s="288">
        <f>Measurement!DK17*100</f>
        <v>51.667101582259555</v>
      </c>
      <c r="W52" s="303">
        <f ca="1">100-N9</f>
        <v>45.306089898989889</v>
      </c>
      <c r="X52" t="str">
        <f ca="1">"(" &amp; ROUND(V52,1) &amp; " , " &amp; ROUND(100-W52,1) &amp; ")"</f>
        <v>(51.7 , 54.7)</v>
      </c>
      <c r="Y52" s="75">
        <f t="shared" si="3"/>
        <v>27.800096577064615</v>
      </c>
    </row>
    <row r="53" spans="1:25">
      <c r="A53" s="50">
        <f t="shared" si="5"/>
        <v>51</v>
      </c>
      <c r="B53" s="50">
        <f t="shared" si="0"/>
        <v>0.98468199999999995</v>
      </c>
      <c r="C53" s="50">
        <f>IF(FH!$C$2&gt;0,FH!A53/FH!$C$2,0)</f>
        <v>0</v>
      </c>
      <c r="D53" s="50">
        <f>IF(hist!$D$2&gt;0,hist!B53/hist!$D$2,0)</f>
        <v>0</v>
      </c>
      <c r="E53" s="50">
        <f t="shared" si="1"/>
        <v>5.1719498395171357E-2</v>
      </c>
      <c r="F53">
        <f t="shared" si="6"/>
        <v>51</v>
      </c>
      <c r="G53" s="50">
        <f>IF(FT!A53&lt;&gt;"",FT!A53*10,"")</f>
        <v>1.8092299999999999</v>
      </c>
      <c r="H53" s="50">
        <f>IF(FT!B53&lt;&gt;"",FT!B53*100,"")</f>
        <v>49.9587</v>
      </c>
      <c r="I53" s="50">
        <f t="shared" si="2"/>
        <v>1</v>
      </c>
      <c r="J53" t="str">
        <f>IF(FT!B53&lt;&gt;"",FT!E53,"")</f>
        <v>0 [20.710218]</v>
      </c>
      <c r="K53">
        <f>IF(FT!B53&lt;&gt;"",IF(FT!C53&lt;&gt;"",FT!C53,F53/$M$3*$M$4),"")</f>
        <v>20.7102</v>
      </c>
      <c r="Y53" s="75">
        <f t="shared" si="3"/>
        <v>27.613238781138939</v>
      </c>
    </row>
    <row r="54" spans="1:25">
      <c r="A54" s="50">
        <f t="shared" si="5"/>
        <v>52</v>
      </c>
      <c r="B54" s="50">
        <f t="shared" si="0"/>
        <v>1.0039894901960784</v>
      </c>
      <c r="C54" s="50">
        <f>IF(FH!$C$2&gt;0,FH!A54/FH!$C$2,0)</f>
        <v>1</v>
      </c>
      <c r="D54" s="50">
        <f>IF(hist!$D$2&gt;0,hist!B54/hist!$D$2,0)</f>
        <v>1.850412485537823E-2</v>
      </c>
      <c r="E54" s="50">
        <f t="shared" si="1"/>
        <v>5.7707400661275575E-2</v>
      </c>
      <c r="F54">
        <f t="shared" si="6"/>
        <v>52</v>
      </c>
      <c r="G54" s="50">
        <f>IF(FT!A54&lt;&gt;"",FT!A54*10,"")</f>
        <v>1.81748</v>
      </c>
      <c r="H54" s="50">
        <f>IF(FT!B54&lt;&gt;"",FT!B54*100,"")</f>
        <v>49.831800000000001</v>
      </c>
      <c r="I54" s="50">
        <f t="shared" si="2"/>
        <v>1</v>
      </c>
      <c r="J54" t="str">
        <f>IF(FT!B54&lt;&gt;"",FT!E54,"")</f>
        <v>0 [21.105220]</v>
      </c>
      <c r="K54">
        <f>IF(FT!B54&lt;&gt;"",IF(FT!C54&lt;&gt;"",FT!C54,F54/$M$3*$M$4),"")</f>
        <v>21.1052</v>
      </c>
      <c r="Y54" s="75">
        <f t="shared" si="3"/>
        <v>27.41807337632326</v>
      </c>
    </row>
    <row r="55" spans="1:25">
      <c r="A55" s="50">
        <f t="shared" si="5"/>
        <v>53</v>
      </c>
      <c r="B55" s="50">
        <f t="shared" si="0"/>
        <v>1.0232969803921568</v>
      </c>
      <c r="C55" s="50">
        <f>IF(FH!$C$2&gt;0,FH!A55/FH!$C$2,0)</f>
        <v>0</v>
      </c>
      <c r="D55" s="50">
        <f>IF(hist!$D$2&gt;0,hist!B55/hist!$D$2,0)</f>
        <v>0</v>
      </c>
      <c r="E55" s="50">
        <f t="shared" si="1"/>
        <v>6.4253279413069811E-2</v>
      </c>
      <c r="F55">
        <f t="shared" si="6"/>
        <v>53</v>
      </c>
      <c r="G55" s="50">
        <f>IF(FT!A55&lt;&gt;"",FT!A55*10,"")</f>
        <v>1.8259800000000002</v>
      </c>
      <c r="H55" s="50">
        <f>IF(FT!B55&lt;&gt;"",FT!B55*100,"")</f>
        <v>49.657400000000003</v>
      </c>
      <c r="I55" s="50">
        <f t="shared" si="2"/>
        <v>1</v>
      </c>
      <c r="J55" t="str">
        <f>IF(FT!B55&lt;&gt;"",FT!E55,"")</f>
        <v>0 [21.537298]</v>
      </c>
      <c r="K55">
        <f>IF(FT!B55&lt;&gt;"",IF(FT!C55&lt;&gt;"",FT!C55,F55/$M$3*$M$4),"")</f>
        <v>21.537299999999998</v>
      </c>
      <c r="Y55" s="75">
        <f t="shared" si="3"/>
        <v>27.194930941193221</v>
      </c>
    </row>
    <row r="56" spans="1:25" ht="16.5" customHeight="1">
      <c r="A56" s="50">
        <f t="shared" si="5"/>
        <v>54</v>
      </c>
      <c r="B56" s="50">
        <f t="shared" si="0"/>
        <v>1.0426044705882351</v>
      </c>
      <c r="C56" s="50">
        <f>IF(FH!$C$2&gt;0,FH!A56/FH!$C$2,0)</f>
        <v>0</v>
      </c>
      <c r="D56" s="50">
        <f>IF(hist!$D$2&gt;0,hist!B56/hist!$D$2,0)</f>
        <v>0</v>
      </c>
      <c r="E56" s="50">
        <f t="shared" si="1"/>
        <v>7.1391361040987644E-2</v>
      </c>
      <c r="F56">
        <f t="shared" si="6"/>
        <v>54</v>
      </c>
      <c r="G56" s="50">
        <f>IF(FT!A56&lt;&gt;"",FT!A56*10,"")</f>
        <v>1.8332499999999998</v>
      </c>
      <c r="H56" s="50">
        <f>IF(FT!B56&lt;&gt;"",FT!B56*100,"")</f>
        <v>49.523400000000002</v>
      </c>
      <c r="I56" s="50">
        <f t="shared" si="2"/>
        <v>1</v>
      </c>
      <c r="J56" t="str">
        <f>IF(FT!B56&lt;&gt;"",FT!E56,"")</f>
        <v>0 [21.918654]</v>
      </c>
      <c r="K56">
        <f>IF(FT!B56&lt;&gt;"",IF(FT!C56&lt;&gt;"",FT!C56,F56/$M$3*$M$4),"")</f>
        <v>21.918700000000001</v>
      </c>
      <c r="Y56" s="75">
        <f t="shared" si="3"/>
        <v>27.013991545070233</v>
      </c>
    </row>
    <row r="57" spans="1:25">
      <c r="A57" s="50">
        <f t="shared" si="5"/>
        <v>55</v>
      </c>
      <c r="B57" s="50">
        <f t="shared" si="0"/>
        <v>1.0619119607843137</v>
      </c>
      <c r="C57" s="50">
        <f>IF(FH!$C$2&gt;0,FH!A57/FH!$C$2,0)</f>
        <v>0.88937445911249025</v>
      </c>
      <c r="D57" s="50">
        <f>IF(hist!$D$2&gt;0,hist!B57/hist!$D$2,0)</f>
        <v>1.3502642665643674E-2</v>
      </c>
      <c r="E57" s="50">
        <f t="shared" si="1"/>
        <v>7.9155774427132328E-2</v>
      </c>
      <c r="F57">
        <f t="shared" si="6"/>
        <v>55</v>
      </c>
      <c r="G57" s="50">
        <f>IF(FT!A57&lt;&gt;"",FT!A57*10,"")</f>
        <v>1.8349899999999999</v>
      </c>
      <c r="H57" s="50">
        <f>IF(FT!B57&lt;&gt;"",FT!B57*100,"")</f>
        <v>49.350200000000001</v>
      </c>
      <c r="I57" s="50">
        <f t="shared" si="2"/>
        <v>1</v>
      </c>
      <c r="J57" t="str">
        <f>IF(FT!B57&lt;&gt;"",FT!E57,"")</f>
        <v>0 [22.342330]</v>
      </c>
      <c r="K57">
        <f>IF(FT!B57&lt;&gt;"",IF(FT!C57&lt;&gt;"",FT!C57,F57/$M$3*$M$4),"")</f>
        <v>22.342300000000002</v>
      </c>
      <c r="Y57" s="75">
        <f t="shared" si="3"/>
        <v>26.893988523098219</v>
      </c>
    </row>
    <row r="58" spans="1:25">
      <c r="A58" s="50">
        <f t="shared" si="5"/>
        <v>56</v>
      </c>
      <c r="B58" s="50">
        <f t="shared" si="0"/>
        <v>1.0812194509803921</v>
      </c>
      <c r="C58" s="50">
        <f>IF(FH!$C$2&gt;0,FH!A58/FH!$C$2,0)</f>
        <v>0</v>
      </c>
      <c r="D58" s="50">
        <f>IF(hist!$D$2&gt;0,hist!B58/hist!$D$2,0)</f>
        <v>0</v>
      </c>
      <c r="E58" s="50">
        <f t="shared" si="1"/>
        <v>8.7580237816371004E-2</v>
      </c>
      <c r="F58">
        <f t="shared" si="6"/>
        <v>56</v>
      </c>
      <c r="G58" s="50">
        <f>IF(FT!A58&lt;&gt;"",FT!A58*10,"")</f>
        <v>1.8358300000000001</v>
      </c>
      <c r="H58" s="50">
        <f>IF(FT!B58&lt;&gt;"",FT!B58*100,"")</f>
        <v>49.229199999999999</v>
      </c>
      <c r="I58" s="50">
        <f t="shared" si="2"/>
        <v>1</v>
      </c>
      <c r="J58" t="str">
        <f>IF(FT!B58&lt;&gt;"",FT!E58,"")</f>
        <v>0 [22.739673]</v>
      </c>
      <c r="K58">
        <f>IF(FT!B58&lt;&gt;"",IF(FT!C58&lt;&gt;"",FT!C58,F58/$M$3*$M$4),"")</f>
        <v>22.739699999999999</v>
      </c>
      <c r="Y58" s="75">
        <f t="shared" si="3"/>
        <v>26.815772702265459</v>
      </c>
    </row>
    <row r="59" spans="1:25" ht="16.5" customHeight="1">
      <c r="A59" s="50">
        <f t="shared" si="5"/>
        <v>57</v>
      </c>
      <c r="B59" s="50">
        <f t="shared" si="0"/>
        <v>1.1005269411764707</v>
      </c>
      <c r="C59" s="50">
        <f>IF(FH!$C$2&gt;0,FH!A59/FH!$C$2,0)</f>
        <v>0.85554179596169189</v>
      </c>
      <c r="D59" s="50">
        <f>IF(hist!$D$2&gt;0,hist!B59/hist!$D$2,0)</f>
        <v>1.0964255020589097E-2</v>
      </c>
      <c r="E59" s="50">
        <f t="shared" si="1"/>
        <v>9.6697715841044085E-2</v>
      </c>
      <c r="F59">
        <f t="shared" si="6"/>
        <v>57</v>
      </c>
      <c r="G59" s="50">
        <f>IF(FT!A59&lt;&gt;"",FT!A59*10,"")</f>
        <v>1.8356700000000001</v>
      </c>
      <c r="H59" s="50">
        <f>IF(FT!B59&lt;&gt;"",FT!B59*100,"")</f>
        <v>49.162800000000004</v>
      </c>
      <c r="I59" s="50">
        <f t="shared" si="2"/>
        <v>1</v>
      </c>
      <c r="J59" t="str">
        <f>IF(FT!B59&lt;&gt;"",FT!E59,"")</f>
        <v>0 [23.155606]</v>
      </c>
      <c r="K59">
        <f>IF(FT!B59&lt;&gt;"",IF(FT!C59&lt;&gt;"",FT!C59,F59/$M$3*$M$4),"")</f>
        <v>23.1556</v>
      </c>
      <c r="Y59" s="75">
        <f t="shared" si="3"/>
        <v>26.781937930020103</v>
      </c>
    </row>
    <row r="60" spans="1:25">
      <c r="A60" s="50">
        <f t="shared" si="5"/>
        <v>58</v>
      </c>
      <c r="B60" s="50">
        <f t="shared" si="0"/>
        <v>1.119834431372549</v>
      </c>
      <c r="C60" s="50">
        <f>IF(FH!$C$2&gt;0,FH!A60/FH!$C$2,0)</f>
        <v>0</v>
      </c>
      <c r="D60" s="50">
        <f>IF(hist!$D$2&gt;0,hist!B60/hist!$D$2,0)</f>
        <v>0</v>
      </c>
      <c r="E60" s="50">
        <f t="shared" si="1"/>
        <v>0.10654004800566955</v>
      </c>
      <c r="F60">
        <f t="shared" si="6"/>
        <v>58</v>
      </c>
      <c r="G60" s="50">
        <f>IF(FT!A60&lt;&gt;"",FT!A60*10,"")</f>
        <v>1.8340999999999998</v>
      </c>
      <c r="H60" s="50">
        <f>IF(FT!B60&lt;&gt;"",FT!B60*100,"")</f>
        <v>49.134499999999996</v>
      </c>
      <c r="I60" s="50">
        <f t="shared" si="2"/>
        <v>1</v>
      </c>
      <c r="J60" t="str">
        <f>IF(FT!B60&lt;&gt;"",FT!E60,"")</f>
        <v>0 [23.555874]</v>
      </c>
      <c r="K60">
        <f>IF(FT!B60&lt;&gt;"",IF(FT!C60&lt;&gt;"",FT!C60,F60/$M$3*$M$4),"")</f>
        <v>23.555900000000001</v>
      </c>
      <c r="Y60" s="75">
        <f t="shared" si="3"/>
        <v>26.789433509623247</v>
      </c>
    </row>
    <row r="61" spans="1:25">
      <c r="A61" s="50">
        <f t="shared" si="5"/>
        <v>59</v>
      </c>
      <c r="B61" s="50">
        <f t="shared" si="0"/>
        <v>1.1391419215686274</v>
      </c>
      <c r="C61" s="50">
        <f>IF(FH!$C$2&gt;0,FH!A61/FH!$C$2,0)</f>
        <v>0</v>
      </c>
      <c r="D61" s="50">
        <f>IF(hist!$D$2&gt;0,hist!B61/hist!$D$2,0)</f>
        <v>0</v>
      </c>
      <c r="E61" s="50">
        <f t="shared" si="1"/>
        <v>0.11713755051961068</v>
      </c>
      <c r="F61">
        <f t="shared" si="6"/>
        <v>59</v>
      </c>
      <c r="G61" s="50">
        <f>IF(FT!A61&lt;&gt;"",FT!A61*10,"")</f>
        <v>1.8338199999999998</v>
      </c>
      <c r="H61" s="50">
        <f>IF(FT!B61&lt;&gt;"",FT!B61*100,"")</f>
        <v>49.09</v>
      </c>
      <c r="I61" s="50">
        <f t="shared" si="2"/>
        <v>1</v>
      </c>
      <c r="J61" t="str">
        <f>IF(FT!B61&lt;&gt;"",FT!E61,"")</f>
        <v>0 [23.966662]</v>
      </c>
      <c r="K61">
        <f>IF(FT!B61&lt;&gt;"",IF(FT!C61&lt;&gt;"",FT!C61,F61/$M$3*$M$4),"")</f>
        <v>23.966699999999999</v>
      </c>
      <c r="Y61" s="75">
        <f t="shared" si="3"/>
        <v>26.769257615251231</v>
      </c>
    </row>
    <row r="62" spans="1:25">
      <c r="A62" s="50">
        <f t="shared" si="5"/>
        <v>60</v>
      </c>
      <c r="B62" s="50">
        <f t="shared" si="0"/>
        <v>1.1584494117647057</v>
      </c>
      <c r="C62" s="50">
        <f>IF(FH!$C$2&gt;0,FH!A62/FH!$C$2,0)</f>
        <v>0.94393417070290264</v>
      </c>
      <c r="D62" s="50">
        <f>IF(hist!$D$2&gt;0,hist!B62/hist!$D$2,0)</f>
        <v>8.851139213408115E-3</v>
      </c>
      <c r="E62" s="50">
        <f t="shared" si="1"/>
        <v>0.12851859397574797</v>
      </c>
      <c r="F62">
        <f t="shared" si="6"/>
        <v>60</v>
      </c>
      <c r="G62" s="50">
        <f>IF(FT!A62&lt;&gt;"",FT!A62*10,"")</f>
        <v>1.83249</v>
      </c>
      <c r="H62" s="50">
        <f>IF(FT!B62&lt;&gt;"",FT!B62*100,"")</f>
        <v>49.046599999999998</v>
      </c>
      <c r="I62" s="50">
        <f t="shared" si="2"/>
        <v>1</v>
      </c>
      <c r="J62" t="str">
        <f>IF(FT!B62&lt;&gt;"",FT!E62,"")</f>
        <v>0 [24.366587]</v>
      </c>
      <c r="K62">
        <f>IF(FT!B62&lt;&gt;"",IF(FT!C62&lt;&gt;"",FT!C62,F62/$M$3*$M$4),"")</f>
        <v>24.366599999999998</v>
      </c>
      <c r="Y62" s="75">
        <f t="shared" si="3"/>
        <v>26.765002810383685</v>
      </c>
    </row>
    <row r="63" spans="1:25" ht="16.5" customHeight="1">
      <c r="A63" s="50">
        <f t="shared" si="5"/>
        <v>61</v>
      </c>
      <c r="B63" s="50">
        <f t="shared" si="0"/>
        <v>1.1777569019607843</v>
      </c>
      <c r="C63" s="50">
        <f>IF(FH!$C$2&gt;0,FH!A63/FH!$C$2,0)</f>
        <v>0</v>
      </c>
      <c r="D63" s="50">
        <f>IF(hist!$D$2&gt;0,hist!B63/hist!$D$2,0)</f>
        <v>0</v>
      </c>
      <c r="E63" s="50">
        <f t="shared" si="1"/>
        <v>0.14070916000263489</v>
      </c>
      <c r="F63">
        <f t="shared" si="6"/>
        <v>61</v>
      </c>
      <c r="G63" s="50">
        <f>IF(FT!A63&lt;&gt;"",FT!A63*10,"")</f>
        <v>1.8306900000000002</v>
      </c>
      <c r="H63" s="50">
        <f>IF(FT!B63&lt;&gt;"",FT!B63*100,"")</f>
        <v>49.039500000000004</v>
      </c>
      <c r="I63" s="50">
        <f t="shared" si="2"/>
        <v>1</v>
      </c>
      <c r="J63" t="str">
        <f>IF(FT!B63&lt;&gt;"",FT!E63,"")</f>
        <v>0 [24.767502]</v>
      </c>
      <c r="K63">
        <f>IF(FT!B63&lt;&gt;"",IF(FT!C63&lt;&gt;"",FT!C63,F63/$M$3*$M$4),"")</f>
        <v>24.767499999999998</v>
      </c>
      <c r="Y63" s="75">
        <f t="shared" si="3"/>
        <v>26.787440801009456</v>
      </c>
    </row>
    <row r="64" spans="1:25">
      <c r="A64" s="50">
        <f t="shared" si="5"/>
        <v>62</v>
      </c>
      <c r="B64" s="50">
        <f t="shared" si="0"/>
        <v>1.1970643921568627</v>
      </c>
      <c r="C64" s="50">
        <f>IF(FH!$C$2&gt;0,FH!A64/FH!$C$2,0)</f>
        <v>0.95714019326119903</v>
      </c>
      <c r="D64" s="50">
        <f>IF(hist!$D$2&gt;0,hist!B64/hist!$D$2,0)</f>
        <v>6.5652703581929074E-3</v>
      </c>
      <c r="E64" s="50">
        <f t="shared" si="1"/>
        <v>0.15373238065593908</v>
      </c>
      <c r="F64">
        <f t="shared" si="6"/>
        <v>62</v>
      </c>
      <c r="G64" s="50">
        <f>IF(FT!A64&lt;&gt;"",FT!A64*10,"")</f>
        <v>1.82901</v>
      </c>
      <c r="H64" s="50">
        <f>IF(FT!B64&lt;&gt;"",FT!B64*100,"")</f>
        <v>49.030499999999996</v>
      </c>
      <c r="I64" s="50">
        <f t="shared" si="2"/>
        <v>1</v>
      </c>
      <c r="J64" t="str">
        <f>IF(FT!B64&lt;&gt;"",FT!E64,"")</f>
        <v>0 [25.175056]</v>
      </c>
      <c r="K64">
        <f>IF(FT!B64&lt;&gt;"",IF(FT!C64&lt;&gt;"",FT!C64,F64/$M$3*$M$4),"")</f>
        <v>25.1751</v>
      </c>
      <c r="Y64" s="75">
        <f t="shared" si="3"/>
        <v>26.807125166073448</v>
      </c>
    </row>
    <row r="65" spans="1:25">
      <c r="A65" s="50">
        <f t="shared" si="5"/>
        <v>63</v>
      </c>
      <c r="B65" s="50">
        <f t="shared" si="0"/>
        <v>1.216371882352941</v>
      </c>
      <c r="C65" s="50">
        <f>IF(FH!$C$2&gt;0,FH!A65/FH!$C$2,0)</f>
        <v>0</v>
      </c>
      <c r="D65" s="50">
        <f>IF(hist!$D$2&gt;0,hist!B65/hist!$D$2,0)</f>
        <v>0</v>
      </c>
      <c r="E65" s="50">
        <f t="shared" si="1"/>
        <v>0.1676080649504367</v>
      </c>
      <c r="F65">
        <f t="shared" si="6"/>
        <v>63</v>
      </c>
      <c r="G65" s="50">
        <f>IF(FT!A65&lt;&gt;"",FT!A65*10,"")</f>
        <v>1.82717</v>
      </c>
      <c r="H65" s="50">
        <f>IF(FT!B65&lt;&gt;"",FT!B65*100,"")</f>
        <v>49.005800000000001</v>
      </c>
      <c r="I65" s="50">
        <f t="shared" si="2"/>
        <v>1</v>
      </c>
      <c r="J65" t="str">
        <f>IF(FT!B65&lt;&gt;"",FT!E65,"")</f>
        <v>0 [25.578932]</v>
      </c>
      <c r="K65">
        <f>IF(FT!B65&lt;&gt;"",IF(FT!C65&lt;&gt;"",FT!C65,F65/$M$3*$M$4),"")</f>
        <v>25.578900000000001</v>
      </c>
      <c r="Y65" s="75">
        <f t="shared" si="3"/>
        <v>26.820602352271546</v>
      </c>
    </row>
    <row r="66" spans="1:25" ht="16.5" customHeight="1">
      <c r="A66" s="50">
        <f t="shared" si="5"/>
        <v>64</v>
      </c>
      <c r="B66" s="50">
        <f t="shared" si="0"/>
        <v>1.2356793725490196</v>
      </c>
      <c r="C66" s="50">
        <f>IF(FH!$C$2&gt;0,FH!A66/FH!$C$2,0)</f>
        <v>0</v>
      </c>
      <c r="D66" s="50">
        <f>IF(hist!$D$2&gt;0,hist!B66/hist!$D$2,0)</f>
        <v>0</v>
      </c>
      <c r="E66" s="50">
        <f t="shared" si="1"/>
        <v>0.18235221755357003</v>
      </c>
      <c r="F66">
        <f t="shared" si="6"/>
        <v>64</v>
      </c>
      <c r="G66" s="50">
        <f>IF(FT!A66&lt;&gt;"",FT!A66*10,"")</f>
        <v>1.8238099999999999</v>
      </c>
      <c r="H66" s="50">
        <f>IF(FT!B66&lt;&gt;"",FT!B66*100,"")</f>
        <v>48.994199999999999</v>
      </c>
      <c r="I66" s="50">
        <f t="shared" si="2"/>
        <v>1</v>
      </c>
      <c r="J66" t="str">
        <f>IF(FT!B66&lt;&gt;"",FT!E66,"")</f>
        <v>0 [25.995128]</v>
      </c>
      <c r="K66">
        <f>IF(FT!B66&lt;&gt;"",IF(FT!C66&lt;&gt;"",FT!C66,F66/$M$3*$M$4),"")</f>
        <v>25.995100000000001</v>
      </c>
      <c r="Y66" s="75">
        <f t="shared" si="3"/>
        <v>26.863653560403773</v>
      </c>
    </row>
    <row r="67" spans="1:25">
      <c r="A67" s="50">
        <f t="shared" si="5"/>
        <v>65</v>
      </c>
      <c r="B67" s="50">
        <f t="shared" ref="B67:B130" si="16">A67/255*$M$2</f>
        <v>1.254986862745098</v>
      </c>
      <c r="C67" s="50">
        <f>IF(FH!$C$2&gt;0,FH!A67/FH!$C$2,0)</f>
        <v>0.8170951531697801</v>
      </c>
      <c r="D67" s="50">
        <f>IF(hist!$D$2&gt;0,hist!B67/hist!$D$2,0)</f>
        <v>5.092287719656057E-3</v>
      </c>
      <c r="E67" s="50">
        <f t="shared" ref="E67:E130" si="17">NORMDIST(B67,2,0.421,FALSE)</f>
        <v>0.19797655525187485</v>
      </c>
      <c r="F67">
        <f t="shared" si="6"/>
        <v>65</v>
      </c>
      <c r="G67" s="50">
        <f>IF(FT!A67&lt;&gt;"",FT!A67*10,"")</f>
        <v>1.8182200000000002</v>
      </c>
      <c r="H67" s="50">
        <f>IF(FT!B67&lt;&gt;"",FT!B67*100,"")</f>
        <v>48.9756</v>
      </c>
      <c r="I67" s="50">
        <f t="shared" ref="I67:I130" si="18">(IF(G67&lt;&gt;"",1,""))</f>
        <v>1</v>
      </c>
      <c r="J67" t="str">
        <f>IF(FT!B67&lt;&gt;"",FT!E67,"")</f>
        <v>0 [26.401477]</v>
      </c>
      <c r="K67">
        <f>IF(FT!B67&lt;&gt;"",IF(FT!C67&lt;&gt;"",FT!C67,F67/$M$3*$M$4),"")</f>
        <v>26.401499999999999</v>
      </c>
      <c r="Y67" s="75">
        <f t="shared" ref="Y67:Y130" si="19">IF(I67=1,H67/G67,"")</f>
        <v>26.93601434369878</v>
      </c>
    </row>
    <row r="68" spans="1:25">
      <c r="A68" s="50">
        <f t="shared" ref="A68:A131" si="20">A67+1</f>
        <v>66</v>
      </c>
      <c r="B68" s="50">
        <f t="shared" si="16"/>
        <v>1.2742943529411765</v>
      </c>
      <c r="C68" s="50">
        <f>IF(FH!$C$2&gt;0,FH!A68/FH!$C$2,0)</f>
        <v>0</v>
      </c>
      <c r="D68" s="50">
        <f>IF(hist!$D$2&gt;0,hist!B68/hist!$D$2,0)</f>
        <v>0</v>
      </c>
      <c r="E68" s="50">
        <f t="shared" si="17"/>
        <v>0.21448802734800915</v>
      </c>
      <c r="F68">
        <f t="shared" ref="F68:F131" si="21">F67+1</f>
        <v>66</v>
      </c>
      <c r="G68" s="50">
        <f>IF(FT!A68&lt;&gt;"",FT!A68*10,"")</f>
        <v>1.8139099999999999</v>
      </c>
      <c r="H68" s="50">
        <f>IF(FT!B68&lt;&gt;"",FT!B68*100,"")</f>
        <v>48.982500000000002</v>
      </c>
      <c r="I68" s="50">
        <f t="shared" si="18"/>
        <v>1</v>
      </c>
      <c r="J68" t="str">
        <f>IF(FT!B68&lt;&gt;"",FT!E68,"")</f>
        <v>0 [26.812358]</v>
      </c>
      <c r="K68">
        <f>IF(FT!B68&lt;&gt;"",IF(FT!C68&lt;&gt;"",FT!C68,F68/$M$3*$M$4),"")</f>
        <v>26.8124</v>
      </c>
      <c r="Y68" s="75">
        <f t="shared" si="19"/>
        <v>27.003820476208855</v>
      </c>
    </row>
    <row r="69" spans="1:25" ht="16.5" customHeight="1">
      <c r="A69" s="50">
        <f t="shared" si="20"/>
        <v>67</v>
      </c>
      <c r="B69" s="50">
        <f t="shared" si="16"/>
        <v>1.2936018431372549</v>
      </c>
      <c r="C69" s="50">
        <f>IF(FH!$C$2&gt;0,FH!A69/FH!$C$2,0)</f>
        <v>0.820786336882671</v>
      </c>
      <c r="D69" s="50">
        <f>IF(hist!$D$2&gt;0,hist!B69/hist!$D$2,0)</f>
        <v>4.323691562021584E-3</v>
      </c>
      <c r="E69" s="50">
        <f t="shared" si="17"/>
        <v>0.23188834663388441</v>
      </c>
      <c r="F69">
        <f t="shared" si="21"/>
        <v>67</v>
      </c>
      <c r="G69" s="50">
        <f>IF(FT!A69&lt;&gt;"",FT!A69*10,"")</f>
        <v>1.8092299999999999</v>
      </c>
      <c r="H69" s="50">
        <f>IF(FT!B69&lt;&gt;"",FT!B69*100,"")</f>
        <v>49.031599999999997</v>
      </c>
      <c r="I69" s="50">
        <f t="shared" si="18"/>
        <v>1</v>
      </c>
      <c r="J69" t="str">
        <f>IF(FT!B69&lt;&gt;"",FT!E69,"")</f>
        <v>0 [27.199324]</v>
      </c>
      <c r="K69">
        <f>IF(FT!B69&lt;&gt;"",IF(FT!C69&lt;&gt;"",FT!C69,F69/$M$3*$M$4),"")</f>
        <v>27.199300000000001</v>
      </c>
      <c r="Y69" s="75">
        <f t="shared" si="19"/>
        <v>27.100810842181481</v>
      </c>
    </row>
    <row r="70" spans="1:25">
      <c r="A70" s="50">
        <f t="shared" si="20"/>
        <v>68</v>
      </c>
      <c r="B70" s="50">
        <f t="shared" si="16"/>
        <v>1.3129093333333333</v>
      </c>
      <c r="C70" s="50">
        <f>IF(FH!$C$2&gt;0,FH!A70/FH!$C$2,0)</f>
        <v>0</v>
      </c>
      <c r="D70" s="50">
        <f>IF(hist!$D$2&gt;0,hist!B70/hist!$D$2,0)</f>
        <v>0</v>
      </c>
      <c r="E70" s="50">
        <f t="shared" si="17"/>
        <v>0.25017353799973491</v>
      </c>
      <c r="F70">
        <f t="shared" si="21"/>
        <v>68</v>
      </c>
      <c r="G70" s="50">
        <f>IF(FT!A70&lt;&gt;"",FT!A70*10,"")</f>
        <v>1.8032500000000002</v>
      </c>
      <c r="H70" s="50">
        <f>IF(FT!B70&lt;&gt;"",FT!B70*100,"")</f>
        <v>49.138500000000001</v>
      </c>
      <c r="I70" s="50">
        <f t="shared" si="18"/>
        <v>1</v>
      </c>
      <c r="J70" t="str">
        <f>IF(FT!B70&lt;&gt;"",FT!E70,"")</f>
        <v>0 [27.629803]</v>
      </c>
      <c r="K70">
        <f>IF(FT!B70&lt;&gt;"",IF(FT!C70&lt;&gt;"",FT!C70,F70/$M$3*$M$4),"")</f>
        <v>27.629799999999999</v>
      </c>
      <c r="Y70" s="75">
        <f t="shared" si="19"/>
        <v>27.249965340357683</v>
      </c>
    </row>
    <row r="71" spans="1:25">
      <c r="A71" s="50">
        <f t="shared" si="20"/>
        <v>69</v>
      </c>
      <c r="B71" s="50">
        <f t="shared" si="16"/>
        <v>1.3322168235294116</v>
      </c>
      <c r="C71" s="50">
        <f>IF(FH!$C$2&gt;0,FH!A71/FH!$C$2,0)</f>
        <v>0</v>
      </c>
      <c r="D71" s="50">
        <f>IF(hist!$D$2&gt;0,hist!B71/hist!$D$2,0)</f>
        <v>0</v>
      </c>
      <c r="E71" s="50">
        <f t="shared" si="17"/>
        <v>0.26933351206527567</v>
      </c>
      <c r="F71">
        <f t="shared" si="21"/>
        <v>69</v>
      </c>
      <c r="G71" s="50">
        <f>IF(FT!A71&lt;&gt;"",FT!A71*10,"")</f>
        <v>1.79752</v>
      </c>
      <c r="H71" s="50">
        <f>IF(FT!B71&lt;&gt;"",FT!B71*100,"")</f>
        <v>49.272199999999998</v>
      </c>
      <c r="I71" s="50">
        <f t="shared" si="18"/>
        <v>1</v>
      </c>
      <c r="J71" t="str">
        <f>IF(FT!B71&lt;&gt;"",FT!E71,"")</f>
        <v>0 [28.016314]</v>
      </c>
      <c r="K71">
        <f>IF(FT!B71&lt;&gt;"",IF(FT!C71&lt;&gt;"",FT!C71,F71/$M$3*$M$4),"")</f>
        <v>28.016300000000001</v>
      </c>
      <c r="Y71" s="75">
        <f t="shared" si="19"/>
        <v>27.411211001824736</v>
      </c>
    </row>
    <row r="72" spans="1:25">
      <c r="A72" s="50">
        <f t="shared" si="20"/>
        <v>70</v>
      </c>
      <c r="B72" s="50">
        <f t="shared" si="16"/>
        <v>1.3515243137254902</v>
      </c>
      <c r="C72" s="50">
        <f>IF(FH!$C$2&gt;0,FH!A72/FH!$C$2,0)</f>
        <v>0.69496574179883042</v>
      </c>
      <c r="D72" s="50">
        <f>IF(hist!$D$2&gt;0,hist!B72/hist!$D$2,0)</f>
        <v>3.7234194465169505E-3</v>
      </c>
      <c r="E72" s="50">
        <f t="shared" si="17"/>
        <v>0.28935167144361945</v>
      </c>
      <c r="F72">
        <f t="shared" si="21"/>
        <v>70</v>
      </c>
      <c r="G72" s="50">
        <f>IF(FT!A72&lt;&gt;"",FT!A72*10,"")</f>
        <v>1.7911600000000001</v>
      </c>
      <c r="H72" s="50">
        <f>IF(FT!B72&lt;&gt;"",FT!B72*100,"")</f>
        <v>49.413499999999999</v>
      </c>
      <c r="I72" s="50">
        <f t="shared" si="18"/>
        <v>1</v>
      </c>
      <c r="J72" t="str">
        <f>IF(FT!B72&lt;&gt;"",FT!E72,"")</f>
        <v>0 [28.417992]</v>
      </c>
      <c r="K72">
        <f>IF(FT!B72&lt;&gt;"",IF(FT!C72&lt;&gt;"",FT!C72,F72/$M$3*$M$4),"")</f>
        <v>28.417999999999999</v>
      </c>
      <c r="Y72" s="75">
        <f t="shared" si="19"/>
        <v>27.58742937537685</v>
      </c>
    </row>
    <row r="73" spans="1:25">
      <c r="A73" s="50">
        <f t="shared" si="20"/>
        <v>71</v>
      </c>
      <c r="B73" s="50">
        <f t="shared" si="16"/>
        <v>1.3708318039215686</v>
      </c>
      <c r="C73" s="50">
        <f>IF(FH!$C$2&gt;0,FH!A73/FH!$C$2,0)</f>
        <v>0</v>
      </c>
      <c r="D73" s="50">
        <f>IF(hist!$D$2&gt;0,hist!B73/hist!$D$2,0)</f>
        <v>0</v>
      </c>
      <c r="E73" s="50">
        <f t="shared" si="17"/>
        <v>0.31020455735853475</v>
      </c>
      <c r="F73">
        <f t="shared" si="21"/>
        <v>71</v>
      </c>
      <c r="G73" s="50">
        <f>IF(FT!A73&lt;&gt;"",FT!A73*10,"")</f>
        <v>1.78392</v>
      </c>
      <c r="H73" s="50">
        <f>IF(FT!B73&lt;&gt;"",FT!B73*100,"")</f>
        <v>49.57</v>
      </c>
      <c r="I73" s="50">
        <f t="shared" si="18"/>
        <v>1</v>
      </c>
      <c r="J73" t="str">
        <f>IF(FT!B73&lt;&gt;"",FT!E73,"")</f>
        <v>0 [28.848380]</v>
      </c>
      <c r="K73">
        <f>IF(FT!B73&lt;&gt;"",IF(FT!C73&lt;&gt;"",FT!C73,F73/$M$3*$M$4),"")</f>
        <v>28.848400000000002</v>
      </c>
      <c r="Y73" s="75">
        <f t="shared" si="19"/>
        <v>27.787120498677073</v>
      </c>
    </row>
    <row r="74" spans="1:25">
      <c r="A74" s="50">
        <f t="shared" si="20"/>
        <v>72</v>
      </c>
      <c r="B74" s="50">
        <f t="shared" si="16"/>
        <v>1.3901392941176469</v>
      </c>
      <c r="C74" s="50">
        <f>IF(FH!$C$2&gt;0,FH!A74/FH!$C$2,0)</f>
        <v>0</v>
      </c>
      <c r="D74" s="50">
        <f>IF(hist!$D$2&gt;0,hist!B74/hist!$D$2,0)</f>
        <v>0</v>
      </c>
      <c r="E74" s="50">
        <f t="shared" si="17"/>
        <v>0.33186154431964909</v>
      </c>
      <c r="F74">
        <f t="shared" si="21"/>
        <v>72</v>
      </c>
      <c r="G74" s="50">
        <f>IF(FT!A74&lt;&gt;"",FT!A74*10,"")</f>
        <v>1.7767299999999999</v>
      </c>
      <c r="H74" s="50">
        <f>IF(FT!B74&lt;&gt;"",FT!B74*100,"")</f>
        <v>49.728999999999999</v>
      </c>
      <c r="I74" s="50">
        <f t="shared" si="18"/>
        <v>1</v>
      </c>
      <c r="J74" t="str">
        <f>IF(FT!B74&lt;&gt;"",FT!E74,"")</f>
        <v>0 [29.238886]</v>
      </c>
      <c r="K74">
        <f>IF(FT!B74&lt;&gt;"",IF(FT!C74&lt;&gt;"",FT!C74,F74/$M$3*$M$4),"")</f>
        <v>29.238900000000001</v>
      </c>
      <c r="Y74" s="75">
        <f t="shared" si="19"/>
        <v>27.989058551383721</v>
      </c>
    </row>
    <row r="75" spans="1:25">
      <c r="A75" s="50">
        <f t="shared" si="20"/>
        <v>73</v>
      </c>
      <c r="B75" s="50">
        <f t="shared" si="16"/>
        <v>1.4094467843137253</v>
      </c>
      <c r="C75" s="50">
        <f>IF(FH!$C$2&gt;0,FH!A75/FH!$C$2,0)</f>
        <v>0.67598865869460234</v>
      </c>
      <c r="D75" s="50">
        <f>IF(hist!$D$2&gt;0,hist!B75/hist!$D$2,0)</f>
        <v>2.7155915167562713E-3</v>
      </c>
      <c r="E75" s="50">
        <f t="shared" si="17"/>
        <v>0.35428459040885235</v>
      </c>
      <c r="F75">
        <f t="shared" si="21"/>
        <v>73</v>
      </c>
      <c r="G75" s="50">
        <f>IF(FT!A75&lt;&gt;"",FT!A75*10,"")</f>
        <v>1.7686099999999998</v>
      </c>
      <c r="H75" s="50">
        <f>IF(FT!B75&lt;&gt;"",FT!B75*100,"")</f>
        <v>49.897300000000001</v>
      </c>
      <c r="I75" s="50">
        <f t="shared" si="18"/>
        <v>1</v>
      </c>
      <c r="J75" t="str">
        <f>IF(FT!B75&lt;&gt;"",FT!E75,"")</f>
        <v>0 [29.639453]</v>
      </c>
      <c r="K75">
        <f>IF(FT!B75&lt;&gt;"",IF(FT!C75&lt;&gt;"",FT!C75,F75/$M$3*$M$4),"")</f>
        <v>29.639500000000002</v>
      </c>
      <c r="Y75" s="75">
        <f t="shared" si="19"/>
        <v>28.212720724184532</v>
      </c>
    </row>
    <row r="76" spans="1:25">
      <c r="A76" s="50">
        <f t="shared" si="20"/>
        <v>74</v>
      </c>
      <c r="B76" s="50">
        <f t="shared" si="16"/>
        <v>1.4287542745098039</v>
      </c>
      <c r="C76" s="50">
        <f>IF(FH!$C$2&gt;0,FH!A76/FH!$C$2,0)</f>
        <v>0</v>
      </c>
      <c r="D76" s="50">
        <f>IF(hist!$D$2&gt;0,hist!B76/hist!$D$2,0)</f>
        <v>0</v>
      </c>
      <c r="E76" s="50">
        <f t="shared" si="17"/>
        <v>0.37742805043724159</v>
      </c>
      <c r="F76">
        <f t="shared" si="21"/>
        <v>74</v>
      </c>
      <c r="G76" s="50">
        <f>IF(FT!A76&lt;&gt;"",FT!A76*10,"")</f>
        <v>1.75987</v>
      </c>
      <c r="H76" s="50">
        <f>IF(FT!B76&lt;&gt;"",FT!B76*100,"")</f>
        <v>50.034599999999998</v>
      </c>
      <c r="I76" s="50">
        <f t="shared" si="18"/>
        <v>1</v>
      </c>
      <c r="J76" t="str">
        <f>IF(FT!B76&lt;&gt;"",FT!E76,"")</f>
        <v>0 [30.065624]</v>
      </c>
      <c r="K76">
        <f>IF(FT!B76&lt;&gt;"",IF(FT!C76&lt;&gt;"",FT!C76,F76/$M$3*$M$4),"")</f>
        <v>30.0656</v>
      </c>
      <c r="Y76" s="75">
        <f t="shared" si="19"/>
        <v>28.430850005966349</v>
      </c>
    </row>
    <row r="77" spans="1:25">
      <c r="A77" s="50">
        <f t="shared" si="20"/>
        <v>75</v>
      </c>
      <c r="B77" s="50">
        <f t="shared" si="16"/>
        <v>1.4480617647058822</v>
      </c>
      <c r="C77" s="50">
        <f>IF(FH!$C$2&gt;0,FH!A77/FH!$C$2,0)</f>
        <v>0.57603981888336897</v>
      </c>
      <c r="D77" s="50">
        <f>IF(hist!$D$2&gt;0,hist!B77/hist!$D$2,0)</f>
        <v>1.9647113827393524E-3</v>
      </c>
      <c r="E77" s="50">
        <f t="shared" si="17"/>
        <v>0.40123855879074211</v>
      </c>
      <c r="F77">
        <f t="shared" si="21"/>
        <v>75</v>
      </c>
      <c r="G77" s="50">
        <f>IF(FT!A77&lt;&gt;"",FT!A77*10,"")</f>
        <v>1.7519100000000001</v>
      </c>
      <c r="H77" s="50">
        <f>IF(FT!B77&lt;&gt;"",FT!B77*100,"")</f>
        <v>50.087000000000003</v>
      </c>
      <c r="I77" s="50">
        <f t="shared" si="18"/>
        <v>1</v>
      </c>
      <c r="J77" t="str">
        <f>IF(FT!B77&lt;&gt;"",FT!E77,"")</f>
        <v>0 [30.456156]</v>
      </c>
      <c r="K77">
        <f>IF(FT!B77&lt;&gt;"",IF(FT!C77&lt;&gt;"",FT!C77,F77/$M$3*$M$4),"")</f>
        <v>30.456199999999999</v>
      </c>
      <c r="Y77" s="75">
        <f t="shared" si="19"/>
        <v>28.589938980883723</v>
      </c>
    </row>
    <row r="78" spans="1:25" ht="16.5" customHeight="1">
      <c r="A78" s="50">
        <f t="shared" si="20"/>
        <v>76</v>
      </c>
      <c r="B78" s="50">
        <f t="shared" si="16"/>
        <v>1.4673692549019606</v>
      </c>
      <c r="C78" s="50">
        <f>IF(FH!$C$2&gt;0,FH!A78/FH!$C$2,0)</f>
        <v>0</v>
      </c>
      <c r="D78" s="50">
        <f>IF(hist!$D$2&gt;0,hist!B78/hist!$D$2,0)</f>
        <v>0</v>
      </c>
      <c r="E78" s="50">
        <f t="shared" si="17"/>
        <v>0.42565498819227687</v>
      </c>
      <c r="F78">
        <f t="shared" si="21"/>
        <v>76</v>
      </c>
      <c r="G78" s="50">
        <f>IF(FT!A78&lt;&gt;"",FT!A78*10,"")</f>
        <v>1.74474</v>
      </c>
      <c r="H78" s="50">
        <f>IF(FT!B78&lt;&gt;"",FT!B78*100,"")</f>
        <v>50.154699999999998</v>
      </c>
      <c r="I78" s="50">
        <f t="shared" si="18"/>
        <v>1</v>
      </c>
      <c r="J78" t="str">
        <f>IF(FT!B78&lt;&gt;"",FT!E78,"")</f>
        <v>0 [30.860758]</v>
      </c>
      <c r="K78">
        <f>IF(FT!B78&lt;&gt;"",IF(FT!C78&lt;&gt;"",FT!C78,F78/$M$3*$M$4),"")</f>
        <v>30.860800000000001</v>
      </c>
      <c r="Y78" s="75">
        <f t="shared" si="19"/>
        <v>28.746231530199342</v>
      </c>
    </row>
    <row r="79" spans="1:25" ht="16.5" customHeight="1">
      <c r="A79" s="50">
        <f t="shared" si="20"/>
        <v>77</v>
      </c>
      <c r="B79" s="50">
        <f t="shared" si="16"/>
        <v>1.4866767450980389</v>
      </c>
      <c r="C79" s="50">
        <f>IF(FH!$C$2&gt;0,FH!A79/FH!$C$2,0)</f>
        <v>0</v>
      </c>
      <c r="D79" s="50">
        <f>IF(hist!$D$2&gt;0,hist!B79/hist!$D$2,0)</f>
        <v>0</v>
      </c>
      <c r="E79" s="50">
        <f t="shared" si="17"/>
        <v>0.45060848987028718</v>
      </c>
      <c r="F79">
        <f t="shared" si="21"/>
        <v>77</v>
      </c>
      <c r="G79" s="50">
        <f>IF(FT!A79&lt;&gt;"",FT!A79*10,"")</f>
        <v>1.7357400000000001</v>
      </c>
      <c r="H79" s="50">
        <f>IF(FT!B79&lt;&gt;"",FT!B79*100,"")</f>
        <v>50.252699999999997</v>
      </c>
      <c r="I79" s="50">
        <f t="shared" si="18"/>
        <v>1</v>
      </c>
      <c r="J79" t="str">
        <f>IF(FT!B79&lt;&gt;"",FT!E79,"")</f>
        <v>0 [31.264421]</v>
      </c>
      <c r="K79">
        <f>IF(FT!B79&lt;&gt;"",IF(FT!C79&lt;&gt;"",FT!C79,F79/$M$3*$M$4),"")</f>
        <v>31.264399999999998</v>
      </c>
      <c r="Y79" s="75">
        <f t="shared" si="19"/>
        <v>28.951743924781358</v>
      </c>
    </row>
    <row r="80" spans="1:25" ht="16.5" customHeight="1">
      <c r="A80" s="50">
        <f t="shared" si="20"/>
        <v>78</v>
      </c>
      <c r="B80" s="50">
        <f t="shared" si="16"/>
        <v>1.5059842352941177</v>
      </c>
      <c r="C80" s="50">
        <f>IF(FH!$C$2&gt;0,FH!A80/FH!$C$2,0)</f>
        <v>0.54963255509282938</v>
      </c>
      <c r="D80" s="50">
        <f>IF(hist!$D$2&gt;0,hist!B80/hist!$D$2,0)</f>
        <v>1.7210506047087575E-3</v>
      </c>
      <c r="E80" s="50">
        <f t="shared" si="17"/>
        <v>0.47602261974213655</v>
      </c>
      <c r="F80">
        <f t="shared" si="21"/>
        <v>78</v>
      </c>
      <c r="G80" s="50">
        <f>IF(FT!A80&lt;&gt;"",FT!A80*10,"")</f>
        <v>1.72482</v>
      </c>
      <c r="H80" s="50">
        <f>IF(FT!B80&lt;&gt;"",FT!B80*100,"")</f>
        <v>50.377799999999993</v>
      </c>
      <c r="I80" s="50">
        <f t="shared" si="18"/>
        <v>1</v>
      </c>
      <c r="J80" t="str">
        <f>IF(FT!B80&lt;&gt;"",FT!E80,"")</f>
        <v>0 [31.680750]</v>
      </c>
      <c r="K80">
        <f>IF(FT!B80&lt;&gt;"",IF(FT!C80&lt;&gt;"",FT!C80,F80/$M$3*$M$4),"")</f>
        <v>31.680700000000002</v>
      </c>
      <c r="Y80" s="75">
        <f t="shared" si="19"/>
        <v>29.207569485511527</v>
      </c>
    </row>
    <row r="81" spans="1:25" ht="16.5" customHeight="1">
      <c r="A81" s="50">
        <f t="shared" si="20"/>
        <v>79</v>
      </c>
      <c r="B81" s="50">
        <f t="shared" si="16"/>
        <v>1.5252917254901961</v>
      </c>
      <c r="C81" s="50">
        <f>IF(FH!$C$2&gt;0,FH!A81/FH!$C$2,0)</f>
        <v>0</v>
      </c>
      <c r="D81" s="50">
        <f>IF(hist!$D$2&gt;0,hist!B81/hist!$D$2,0)</f>
        <v>0</v>
      </c>
      <c r="E81" s="50">
        <f t="shared" si="17"/>
        <v>0.50181355420441476</v>
      </c>
      <c r="F81">
        <f t="shared" si="21"/>
        <v>79</v>
      </c>
      <c r="G81" s="50">
        <f>IF(FT!A81&lt;&gt;"",FT!A81*10,"")</f>
        <v>1.71387</v>
      </c>
      <c r="H81" s="50">
        <f>IF(FT!B81&lt;&gt;"",FT!B81*100,"")</f>
        <v>50.5244</v>
      </c>
      <c r="I81" s="50">
        <f t="shared" si="18"/>
        <v>1</v>
      </c>
      <c r="J81" t="str">
        <f>IF(FT!B81&lt;&gt;"",FT!E81,"")</f>
        <v>0 [32.082592]</v>
      </c>
      <c r="K81">
        <f>IF(FT!B81&lt;&gt;"",IF(FT!C81&lt;&gt;"",FT!C81,F81/$M$3*$M$4),"")</f>
        <v>32.082599999999999</v>
      </c>
      <c r="Y81" s="75">
        <f t="shared" si="19"/>
        <v>29.479715497674853</v>
      </c>
    </row>
    <row r="82" spans="1:25" ht="16.5" customHeight="1">
      <c r="A82" s="50">
        <f t="shared" si="20"/>
        <v>80</v>
      </c>
      <c r="B82" s="50">
        <f t="shared" si="16"/>
        <v>1.5445992156862745</v>
      </c>
      <c r="C82" s="50">
        <f>IF(FH!$C$2&gt;0,FH!A82/FH!$C$2,0)</f>
        <v>0.45672565229240675</v>
      </c>
      <c r="D82" s="50">
        <f>IF(hist!$D$2&gt;0,hist!B82/hist!$D$2,0)</f>
        <v>1.0100315238313355E-3</v>
      </c>
      <c r="E82" s="50">
        <f t="shared" si="17"/>
        <v>0.52789039798181625</v>
      </c>
      <c r="F82">
        <f t="shared" si="21"/>
        <v>80</v>
      </c>
      <c r="G82" s="50">
        <f>IF(FT!A82&lt;&gt;"",FT!A82*10,"")</f>
        <v>1.7116899999999999</v>
      </c>
      <c r="H82" s="50">
        <f>IF(FT!B82&lt;&gt;"",FT!B82*100,"")</f>
        <v>50.7455</v>
      </c>
      <c r="I82" s="50">
        <f t="shared" si="18"/>
        <v>1</v>
      </c>
      <c r="J82" t="str">
        <f>IF(FT!B82&lt;&gt;"",FT!E82,"")</f>
        <v>0 [32.502123]</v>
      </c>
      <c r="K82">
        <f>IF(FT!B82&lt;&gt;"",IF(FT!C82&lt;&gt;"",FT!C82,F82/$M$3*$M$4),"")</f>
        <v>32.502099999999999</v>
      </c>
      <c r="Y82" s="75">
        <f t="shared" si="19"/>
        <v>29.64643130473392</v>
      </c>
    </row>
    <row r="83" spans="1:25" ht="16.5" customHeight="1">
      <c r="A83" s="50">
        <f t="shared" si="20"/>
        <v>81</v>
      </c>
      <c r="B83" s="50">
        <f t="shared" si="16"/>
        <v>1.5639067058823528</v>
      </c>
      <c r="C83" s="50">
        <f>IF(FH!$C$2&gt;0,FH!A83/FH!$C$2,0)</f>
        <v>0</v>
      </c>
      <c r="D83" s="50">
        <f>IF(hist!$D$2&gt;0,hist!B83/hist!$D$2,0)</f>
        <v>0</v>
      </c>
      <c r="E83" s="50">
        <f t="shared" si="17"/>
        <v>0.55415558523681419</v>
      </c>
      <c r="F83">
        <f t="shared" si="21"/>
        <v>81</v>
      </c>
      <c r="G83" s="50">
        <f>IF(FT!A83&lt;&gt;"",FT!A83*10,"")</f>
        <v>1.7100499999999998</v>
      </c>
      <c r="H83" s="50">
        <f>IF(FT!B83&lt;&gt;"",FT!B83*100,"")</f>
        <v>50.946499999999993</v>
      </c>
      <c r="I83" s="50">
        <f t="shared" si="18"/>
        <v>1</v>
      </c>
      <c r="J83" t="str">
        <f>IF(FT!B83&lt;&gt;"",FT!E83,"")</f>
        <v>0 [32.890805]</v>
      </c>
      <c r="K83">
        <f>IF(FT!B83&lt;&gt;"",IF(FT!C83&lt;&gt;"",FT!C83,F83/$M$3*$M$4),"")</f>
        <v>32.890799999999999</v>
      </c>
      <c r="Y83" s="75">
        <f t="shared" si="19"/>
        <v>29.792403730885059</v>
      </c>
    </row>
    <row r="84" spans="1:25" ht="16.5" customHeight="1">
      <c r="A84" s="50">
        <f t="shared" si="20"/>
        <v>82</v>
      </c>
      <c r="B84" s="50">
        <f t="shared" si="16"/>
        <v>1.5832141960784314</v>
      </c>
      <c r="C84" s="50">
        <f>IF(FH!$C$2&gt;0,FH!A84/FH!$C$2,0)</f>
        <v>0</v>
      </c>
      <c r="D84" s="50">
        <f>IF(hist!$D$2&gt;0,hist!B84/hist!$D$2,0)</f>
        <v>0</v>
      </c>
      <c r="E84" s="50">
        <f t="shared" si="17"/>
        <v>0.58050537380185485</v>
      </c>
      <c r="F84">
        <f t="shared" si="21"/>
        <v>82</v>
      </c>
      <c r="G84" s="50">
        <f>IF(FT!A84&lt;&gt;"",FT!A84*10,"")</f>
        <v>1.70964</v>
      </c>
      <c r="H84" s="50">
        <f>IF(FT!B84&lt;&gt;"",FT!B84*100,"")</f>
        <v>51.1</v>
      </c>
      <c r="I84" s="50">
        <f t="shared" si="18"/>
        <v>1</v>
      </c>
      <c r="J84" t="str">
        <f>IF(FT!B84&lt;&gt;"",FT!E84,"")</f>
        <v>0 [33.301103]</v>
      </c>
      <c r="K84">
        <f>IF(FT!B84&lt;&gt;"",IF(FT!C84&lt;&gt;"",FT!C84,F84/$M$3*$M$4),"")</f>
        <v>33.301099999999998</v>
      </c>
      <c r="Y84" s="75">
        <f t="shared" si="19"/>
        <v>29.889333426920288</v>
      </c>
    </row>
    <row r="85" spans="1:25" ht="16.5" customHeight="1">
      <c r="A85" s="50">
        <f t="shared" si="20"/>
        <v>83</v>
      </c>
      <c r="B85" s="50">
        <f t="shared" si="16"/>
        <v>1.6025216862745097</v>
      </c>
      <c r="C85" s="50">
        <f>IF(FH!$C$2&gt;0,FH!A85/FH!$C$2,0)</f>
        <v>0.3902728702778428</v>
      </c>
      <c r="D85" s="50">
        <f>IF(hist!$D$2&gt;0,hist!B85/hist!$D$2,0)</f>
        <v>8.4613648760588508E-4</v>
      </c>
      <c r="E85" s="50">
        <f t="shared" si="17"/>
        <v>0.60683043098510137</v>
      </c>
      <c r="F85">
        <f t="shared" si="21"/>
        <v>83</v>
      </c>
      <c r="G85" s="50">
        <f>IF(FT!A85&lt;&gt;"",FT!A85*10,"")</f>
        <v>1.7098100000000001</v>
      </c>
      <c r="H85" s="50">
        <f>IF(FT!B85&lt;&gt;"",FT!B85*100,"")</f>
        <v>51.242900000000006</v>
      </c>
      <c r="I85" s="50">
        <f t="shared" si="18"/>
        <v>1</v>
      </c>
      <c r="J85" t="str">
        <f>IF(FT!B85&lt;&gt;"",FT!E85,"")</f>
        <v>0 [33.712647]</v>
      </c>
      <c r="K85">
        <f>IF(FT!B85&lt;&gt;"",IF(FT!C85&lt;&gt;"",FT!C85,F85/$M$3*$M$4),"")</f>
        <v>33.712600000000002</v>
      </c>
      <c r="Y85" s="75">
        <f t="shared" si="19"/>
        <v>29.969938180265647</v>
      </c>
    </row>
    <row r="86" spans="1:25" ht="16.5" customHeight="1">
      <c r="A86" s="50">
        <f t="shared" si="20"/>
        <v>84</v>
      </c>
      <c r="B86" s="50">
        <f t="shared" si="16"/>
        <v>1.6218291764705881</v>
      </c>
      <c r="C86" s="50">
        <f>IF(FH!$C$2&gt;0,FH!A86/FH!$C$2,0)</f>
        <v>0</v>
      </c>
      <c r="D86" s="50">
        <f>IF(hist!$D$2&gt;0,hist!B86/hist!$D$2,0)</f>
        <v>0</v>
      </c>
      <c r="E86" s="50">
        <f t="shared" si="17"/>
        <v>0.63301650794355879</v>
      </c>
      <c r="F86">
        <f t="shared" si="21"/>
        <v>84</v>
      </c>
      <c r="G86" s="50">
        <f>IF(FT!A86&lt;&gt;"",FT!A86*10,"")</f>
        <v>1.70913</v>
      </c>
      <c r="H86" s="50">
        <f>IF(FT!B86&lt;&gt;"",FT!B86*100,"")</f>
        <v>51.426499999999997</v>
      </c>
      <c r="I86" s="50">
        <f t="shared" si="18"/>
        <v>1</v>
      </c>
      <c r="J86" t="str">
        <f>IF(FT!B86&lt;&gt;"",FT!E86,"")</f>
        <v>0 [34.123779]</v>
      </c>
      <c r="K86">
        <f>IF(FT!B86&lt;&gt;"",IF(FT!C86&lt;&gt;"",FT!C86,F86/$M$3*$M$4),"")</f>
        <v>34.123800000000003</v>
      </c>
      <c r="Y86" s="75">
        <f t="shared" si="19"/>
        <v>30.089285191881249</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f>IF(FT!A87&lt;&gt;"",FT!A87*10,"")</f>
        <v>1.70905</v>
      </c>
      <c r="H87" s="50">
        <f>IF(FT!B87&lt;&gt;"",FT!B87*100,"")</f>
        <v>51.605800000000002</v>
      </c>
      <c r="I87" s="50">
        <f t="shared" si="18"/>
        <v>1</v>
      </c>
      <c r="J87" t="str">
        <f>IF(FT!B87&lt;&gt;"",FT!E87,"")</f>
        <v>0 [34.525113]</v>
      </c>
      <c r="K87">
        <f>IF(FT!B87&lt;&gt;"",IF(FT!C87&lt;&gt;"",FT!C87,F87/$M$3*$M$4),"")</f>
        <v>34.525100000000002</v>
      </c>
      <c r="Y87" s="75">
        <f t="shared" si="19"/>
        <v>30.195605745882219</v>
      </c>
    </row>
    <row r="88" spans="1:25" ht="16.5" customHeight="1">
      <c r="A88" s="50">
        <f t="shared" si="20"/>
        <v>86</v>
      </c>
      <c r="B88" s="50">
        <f t="shared" si="16"/>
        <v>1.660444156862745</v>
      </c>
      <c r="C88" s="50">
        <f>IF(FH!$C$2&gt;0,FH!A88/FH!$C$2,0)</f>
        <v>0.24256145199309576</v>
      </c>
      <c r="D88" s="50">
        <f>IF(hist!$D$2&gt;0,hist!B88/hist!$D$2,0)</f>
        <v>7.9076300491949102E-4</v>
      </c>
      <c r="E88" s="50">
        <f t="shared" si="17"/>
        <v>0.68449477392463509</v>
      </c>
      <c r="F88">
        <f t="shared" si="21"/>
        <v>86</v>
      </c>
      <c r="G88" s="50">
        <f>IF(FT!A88&lt;&gt;"",FT!A88*10,"")</f>
        <v>1.7103299999999999</v>
      </c>
      <c r="H88" s="50">
        <f>IF(FT!B88&lt;&gt;"",FT!B88*100,"")</f>
        <v>51.762</v>
      </c>
      <c r="I88" s="50">
        <f t="shared" si="18"/>
        <v>1</v>
      </c>
      <c r="J88" t="str">
        <f>IF(FT!B88&lt;&gt;"",FT!E88,"")</f>
        <v>0 [34.923178]</v>
      </c>
      <c r="K88">
        <f>IF(FT!B88&lt;&gt;"",IF(FT!C88&lt;&gt;"",FT!C88,F88/$M$3*$M$4),"")</f>
        <v>34.923200000000001</v>
      </c>
      <c r="Y88" s="75">
        <f t="shared" si="19"/>
        <v>30.264334952903827</v>
      </c>
    </row>
    <row r="89" spans="1:25" ht="16.5" customHeight="1">
      <c r="A89" s="50">
        <f t="shared" si="20"/>
        <v>87</v>
      </c>
      <c r="B89" s="50">
        <f t="shared" si="16"/>
        <v>1.6797516470588234</v>
      </c>
      <c r="C89" s="50">
        <f>IF(FH!$C$2&gt;0,FH!A89/FH!$C$2,0)</f>
        <v>0</v>
      </c>
      <c r="D89" s="50">
        <f>IF(hist!$D$2&gt;0,hist!B89/hist!$D$2,0)</f>
        <v>0</v>
      </c>
      <c r="E89" s="50">
        <f t="shared" si="17"/>
        <v>0.70954109386216291</v>
      </c>
      <c r="F89">
        <f t="shared" si="21"/>
        <v>87</v>
      </c>
      <c r="G89" s="50">
        <f>IF(FT!A89&lt;&gt;"",FT!A89*10,"")</f>
        <v>1.71149</v>
      </c>
      <c r="H89" s="50">
        <f>IF(FT!B89&lt;&gt;"",FT!B89*100,"")</f>
        <v>51.958800000000004</v>
      </c>
      <c r="I89" s="50">
        <f t="shared" si="18"/>
        <v>1</v>
      </c>
      <c r="J89" t="str">
        <f>IF(FT!B89&lt;&gt;"",FT!E89,"")</f>
        <v>0 [35.328488]</v>
      </c>
      <c r="K89">
        <f>IF(FT!B89&lt;&gt;"",IF(FT!C89&lt;&gt;"",FT!C89,F89/$M$3*$M$4),"")</f>
        <v>35.328499999999998</v>
      </c>
      <c r="Y89" s="75">
        <f t="shared" si="19"/>
        <v>30.358810159568566</v>
      </c>
    </row>
    <row r="90" spans="1:25" ht="16.5" customHeight="1">
      <c r="A90" s="50">
        <f t="shared" si="20"/>
        <v>88</v>
      </c>
      <c r="B90" s="50">
        <f t="shared" si="16"/>
        <v>1.6990591372549018</v>
      </c>
      <c r="C90" s="50">
        <f>IF(FH!$C$2&gt;0,FH!A90/FH!$C$2,0)</f>
        <v>0.26076443840934843</v>
      </c>
      <c r="D90" s="50">
        <f>IF(hist!$D$2&gt;0,hist!B90/hist!$D$2,0)</f>
        <v>5.5818565053140543E-4</v>
      </c>
      <c r="E90" s="50">
        <f t="shared" si="17"/>
        <v>0.73395857202345849</v>
      </c>
      <c r="F90">
        <f t="shared" si="21"/>
        <v>88</v>
      </c>
      <c r="G90" s="50">
        <f>IF(FT!A90&lt;&gt;"",FT!A90*10,"")</f>
        <v>1.7126700000000001</v>
      </c>
      <c r="H90" s="50">
        <f>IF(FT!B90&lt;&gt;"",FT!B90*100,"")</f>
        <v>52.195400000000006</v>
      </c>
      <c r="I90" s="50">
        <f t="shared" si="18"/>
        <v>1</v>
      </c>
      <c r="J90" t="str">
        <f>IF(FT!B90&lt;&gt;"",FT!E90,"")</f>
        <v>0 [35.750427]</v>
      </c>
      <c r="K90">
        <f>IF(FT!B90&lt;&gt;"",IF(FT!C90&lt;&gt;"",FT!C90,F90/$M$3*$M$4),"")</f>
        <v>35.750399999999999</v>
      </c>
      <c r="Y90" s="75">
        <f t="shared" si="19"/>
        <v>30.476040334682107</v>
      </c>
    </row>
    <row r="91" spans="1:25" ht="16.5" customHeight="1">
      <c r="A91" s="50">
        <f t="shared" si="20"/>
        <v>89</v>
      </c>
      <c r="B91" s="50">
        <f t="shared" si="16"/>
        <v>1.7183666274509801</v>
      </c>
      <c r="C91" s="50">
        <f>IF(FH!$C$2&gt;0,FH!A91/FH!$C$2,0)</f>
        <v>0</v>
      </c>
      <c r="D91" s="50">
        <f>IF(hist!$D$2&gt;0,hist!B91/hist!$D$2,0)</f>
        <v>0</v>
      </c>
      <c r="E91" s="50">
        <f t="shared" si="17"/>
        <v>0.75762119922246229</v>
      </c>
      <c r="F91">
        <f t="shared" si="21"/>
        <v>89</v>
      </c>
      <c r="G91" s="50">
        <f>IF(FT!A91&lt;&gt;"",FT!A91*10,"")</f>
        <v>1.7158799999999998</v>
      </c>
      <c r="H91" s="50">
        <f>IF(FT!B91&lt;&gt;"",FT!B91*100,"")</f>
        <v>52.437400000000004</v>
      </c>
      <c r="I91" s="50">
        <f t="shared" si="18"/>
        <v>1</v>
      </c>
      <c r="J91" t="str">
        <f>IF(FT!B91&lt;&gt;"",FT!E91,"")</f>
        <v>0 [36.175711]</v>
      </c>
      <c r="K91">
        <f>IF(FT!B91&lt;&gt;"",IF(FT!C91&lt;&gt;"",FT!C91,F91/$M$3*$M$4),"")</f>
        <v>36.175699999999999</v>
      </c>
      <c r="Y91" s="75">
        <f t="shared" si="19"/>
        <v>30.560062475231373</v>
      </c>
    </row>
    <row r="92" spans="1:25" ht="16.5" customHeight="1">
      <c r="A92" s="50">
        <f t="shared" si="20"/>
        <v>90</v>
      </c>
      <c r="B92" s="50">
        <f t="shared" si="16"/>
        <v>1.7376741176470587</v>
      </c>
      <c r="C92" s="50">
        <f>IF(FH!$C$2&gt;0,FH!A92/FH!$C$2,0)</f>
        <v>0</v>
      </c>
      <c r="D92" s="50">
        <f>IF(hist!$D$2&gt;0,hist!B92/hist!$D$2,0)</f>
        <v>0</v>
      </c>
      <c r="E92" s="50">
        <f t="shared" si="17"/>
        <v>0.78040360499356298</v>
      </c>
      <c r="F92">
        <f t="shared" si="21"/>
        <v>90</v>
      </c>
      <c r="G92" s="50">
        <f>IF(FT!A92&lt;&gt;"",FT!A92*10,"")</f>
        <v>1.7207300000000001</v>
      </c>
      <c r="H92" s="50">
        <f>IF(FT!B92&lt;&gt;"",FT!B92*100,"")</f>
        <v>52.705500000000008</v>
      </c>
      <c r="I92" s="50">
        <f t="shared" si="18"/>
        <v>1</v>
      </c>
      <c r="J92" t="str">
        <f>IF(FT!B92&lt;&gt;"",FT!E92,"")</f>
        <v>0 [36.551015]</v>
      </c>
      <c r="K92">
        <f>IF(FT!B92&lt;&gt;"",IF(FT!C92&lt;&gt;"",FT!C92,F92/$M$3*$M$4),"")</f>
        <v>36.551000000000002</v>
      </c>
      <c r="Y92" s="75">
        <f t="shared" si="19"/>
        <v>30.629732729713556</v>
      </c>
    </row>
    <row r="93" spans="1:25" ht="16.5" customHeight="1">
      <c r="A93" s="50">
        <f t="shared" si="20"/>
        <v>91</v>
      </c>
      <c r="B93" s="50">
        <f t="shared" si="16"/>
        <v>1.7569816078431371</v>
      </c>
      <c r="C93" s="50">
        <f>IF(FH!$C$2&gt;0,FH!A93/FH!$C$2,0)</f>
        <v>0.24581370997432428</v>
      </c>
      <c r="D93" s="50">
        <f>IF(hist!$D$2&gt;0,hist!B93/hist!$D$2,0)</f>
        <v>5.0944476782005619E-4</v>
      </c>
      <c r="E93" s="50">
        <f t="shared" si="17"/>
        <v>0.80218214811433919</v>
      </c>
      <c r="F93">
        <f t="shared" si="21"/>
        <v>91</v>
      </c>
      <c r="G93" s="50">
        <f>IF(FT!A93&lt;&gt;"",FT!A93*10,"")</f>
        <v>1.7220299999999999</v>
      </c>
      <c r="H93" s="50">
        <f>IF(FT!B93&lt;&gt;"",FT!B93*100,"")</f>
        <v>52.959100000000007</v>
      </c>
      <c r="I93" s="50">
        <f t="shared" si="18"/>
        <v>1</v>
      </c>
      <c r="J93" t="str">
        <f>IF(FT!B93&lt;&gt;"",FT!E93,"")</f>
        <v>0 [36.957665]</v>
      </c>
      <c r="K93">
        <f>IF(FT!B93&lt;&gt;"",IF(FT!C93&lt;&gt;"",FT!C93,F93/$M$3*$M$4),"")</f>
        <v>36.957700000000003</v>
      </c>
      <c r="Y93" s="75">
        <f t="shared" si="19"/>
        <v>30.753877690864854</v>
      </c>
    </row>
    <row r="94" spans="1:25" ht="16.5" customHeight="1">
      <c r="A94" s="50">
        <f t="shared" si="20"/>
        <v>92</v>
      </c>
      <c r="B94" s="50">
        <f t="shared" si="16"/>
        <v>1.7762890980392154</v>
      </c>
      <c r="C94" s="50">
        <f>IF(FH!$C$2&gt;0,FH!A94/FH!$C$2,0)</f>
        <v>0</v>
      </c>
      <c r="D94" s="50">
        <f>IF(hist!$D$2&gt;0,hist!B94/hist!$D$2,0)</f>
        <v>0</v>
      </c>
      <c r="E94" s="50">
        <f t="shared" si="17"/>
        <v>0.82283602264204436</v>
      </c>
      <c r="F94">
        <f t="shared" si="21"/>
        <v>92</v>
      </c>
      <c r="G94" s="50">
        <f>IF(FT!A94&lt;&gt;"",FT!A94*10,"")</f>
        <v>1.7212700000000001</v>
      </c>
      <c r="H94" s="50">
        <f>IF(FT!B94&lt;&gt;"",FT!B94*100,"")</f>
        <v>53.150299999999994</v>
      </c>
      <c r="I94" s="50">
        <f t="shared" si="18"/>
        <v>1</v>
      </c>
      <c r="J94" t="str">
        <f>IF(FT!B94&lt;&gt;"",FT!E94,"")</f>
        <v>0 [37.362213]</v>
      </c>
      <c r="K94">
        <f>IF(FT!B94&lt;&gt;"",IF(FT!C94&lt;&gt;"",FT!C94,F94/$M$3*$M$4),"")</f>
        <v>37.362200000000001</v>
      </c>
      <c r="Y94" s="75">
        <f t="shared" si="19"/>
        <v>30.878537359043026</v>
      </c>
    </row>
    <row r="95" spans="1:25" ht="16.5" customHeight="1">
      <c r="A95" s="50">
        <f t="shared" si="20"/>
        <v>93</v>
      </c>
      <c r="B95" s="50">
        <f t="shared" si="16"/>
        <v>1.7955965882352938</v>
      </c>
      <c r="C95" s="50">
        <f>IF(FH!$C$2&gt;0,FH!A95/FH!$C$2,0)</f>
        <v>0.15902164506304178</v>
      </c>
      <c r="D95" s="50">
        <f>IF(hist!$D$2&gt;0,hist!B95/hist!$D$2,0)</f>
        <v>2.9237984297886819E-4</v>
      </c>
      <c r="E95" s="50">
        <f t="shared" si="17"/>
        <v>0.84224836579594975</v>
      </c>
      <c r="F95">
        <f t="shared" si="21"/>
        <v>93</v>
      </c>
      <c r="G95" s="50">
        <f>IF(FT!A95&lt;&gt;"",FT!A95*10,"")</f>
        <v>1.71956</v>
      </c>
      <c r="H95" s="50">
        <f>IF(FT!B95&lt;&gt;"",FT!B95*100,"")</f>
        <v>53.314999999999998</v>
      </c>
      <c r="I95" s="50">
        <f t="shared" si="18"/>
        <v>1</v>
      </c>
      <c r="J95" t="str">
        <f>IF(FT!B95&lt;&gt;"",FT!E95,"")</f>
        <v>0 [37.772458]</v>
      </c>
      <c r="K95">
        <f>IF(FT!B95&lt;&gt;"",IF(FT!C95&lt;&gt;"",FT!C95,F95/$M$3*$M$4),"")</f>
        <v>37.772500000000001</v>
      </c>
      <c r="Y95" s="75">
        <f t="shared" si="19"/>
        <v>31.005024541161692</v>
      </c>
    </row>
    <row r="96" spans="1:25" ht="16.5" customHeight="1">
      <c r="A96" s="50">
        <f t="shared" si="20"/>
        <v>94</v>
      </c>
      <c r="B96" s="50">
        <f t="shared" si="16"/>
        <v>1.8149040784313726</v>
      </c>
      <c r="C96" s="50">
        <f>IF(FH!$C$2&gt;0,FH!A96/FH!$C$2,0)</f>
        <v>0</v>
      </c>
      <c r="D96" s="50">
        <f>IF(hist!$D$2&gt;0,hist!B96/hist!$D$2,0)</f>
        <v>0</v>
      </c>
      <c r="E96" s="50">
        <f t="shared" si="17"/>
        <v>0.8603073535944562</v>
      </c>
      <c r="F96">
        <f t="shared" si="21"/>
        <v>94</v>
      </c>
      <c r="G96" s="50">
        <f>IF(FT!A96&lt;&gt;"",FT!A96*10,"")</f>
        <v>1.7141700000000002</v>
      </c>
      <c r="H96" s="50">
        <f>IF(FT!B96&lt;&gt;"",FT!B96*100,"")</f>
        <v>53.5276</v>
      </c>
      <c r="I96" s="50">
        <f t="shared" si="18"/>
        <v>1</v>
      </c>
      <c r="J96" t="str">
        <f>IF(FT!B96&lt;&gt;"",FT!E96,"")</f>
        <v>0 [38.170470]</v>
      </c>
      <c r="K96">
        <f>IF(FT!B96&lt;&gt;"",IF(FT!C96&lt;&gt;"",FT!C96,F96/$M$3*$M$4),"")</f>
        <v>38.170499999999997</v>
      </c>
      <c r="Y96" s="75">
        <f t="shared" si="19"/>
        <v>31.226541124859256</v>
      </c>
    </row>
    <row r="97" spans="1:25" ht="16.5" customHeight="1">
      <c r="A97" s="50">
        <f t="shared" si="20"/>
        <v>95</v>
      </c>
      <c r="B97" s="50">
        <f t="shared" si="16"/>
        <v>1.8342115686274509</v>
      </c>
      <c r="C97" s="50">
        <f>IF(FH!$C$2&gt;0,FH!A97/FH!$C$2,0)</f>
        <v>0</v>
      </c>
      <c r="D97" s="50">
        <f>IF(hist!$D$2&gt;0,hist!B97/hist!$D$2,0)</f>
        <v>0</v>
      </c>
      <c r="E97" s="50">
        <f t="shared" si="17"/>
        <v>0.87690726996054524</v>
      </c>
      <c r="F97">
        <f t="shared" si="21"/>
        <v>95</v>
      </c>
      <c r="G97" s="50">
        <f>IF(FT!A97&lt;&gt;"",FT!A97*10,"")</f>
        <v>1.7100199999999999</v>
      </c>
      <c r="H97" s="50">
        <f>IF(FT!B97&lt;&gt;"",FT!B97*100,"")</f>
        <v>53.663600000000002</v>
      </c>
      <c r="I97" s="50">
        <f t="shared" si="18"/>
        <v>1</v>
      </c>
      <c r="J97" t="str">
        <f>IF(FT!B97&lt;&gt;"",FT!E97,"")</f>
        <v>0 [38.586675]</v>
      </c>
      <c r="K97">
        <f>IF(FT!B97&lt;&gt;"",IF(FT!C97&lt;&gt;"",FT!C97,F97/$M$3*$M$4),"")</f>
        <v>38.5867</v>
      </c>
      <c r="Y97" s="75">
        <f t="shared" si="19"/>
        <v>31.381855182980321</v>
      </c>
    </row>
    <row r="98" spans="1:25" ht="16.5" customHeight="1">
      <c r="A98" s="50">
        <f t="shared" si="20"/>
        <v>96</v>
      </c>
      <c r="B98" s="50">
        <f t="shared" si="16"/>
        <v>1.8535190588235293</v>
      </c>
      <c r="C98" s="50">
        <f>IF(FH!$C$2&gt;0,FH!A98/FH!$C$2,0)</f>
        <v>0.11538296031021243</v>
      </c>
      <c r="D98" s="50">
        <f>IF(hist!$D$2&gt;0,hist!B98/hist!$D$2,0)</f>
        <v>2.4586437210125111E-4</v>
      </c>
      <c r="E98" s="50">
        <f t="shared" si="17"/>
        <v>0.89194953505152708</v>
      </c>
      <c r="F98">
        <f t="shared" si="21"/>
        <v>96</v>
      </c>
      <c r="G98" s="50">
        <f>IF(FT!A98&lt;&gt;"",FT!A98*10,"")</f>
        <v>1.7104600000000001</v>
      </c>
      <c r="H98" s="50">
        <f>IF(FT!B98&lt;&gt;"",FT!B98*100,"")</f>
        <v>53.6021</v>
      </c>
      <c r="I98" s="50">
        <f t="shared" si="18"/>
        <v>1</v>
      </c>
      <c r="J98" t="str">
        <f>IF(FT!B98&lt;&gt;"",FT!E98,"")</f>
        <v>0 [38.990495]</v>
      </c>
      <c r="K98">
        <f>IF(FT!B98&lt;&gt;"",IF(FT!C98&lt;&gt;"",FT!C98,F98/$M$3*$M$4),"")</f>
        <v>38.990499999999997</v>
      </c>
      <c r="Y98" s="75">
        <f t="shared" si="19"/>
        <v>31.337827251148813</v>
      </c>
    </row>
    <row r="99" spans="1:25" ht="16.5" customHeight="1">
      <c r="A99" s="50">
        <f t="shared" si="20"/>
        <v>97</v>
      </c>
      <c r="B99" s="50">
        <f t="shared" si="16"/>
        <v>1.8728265490196077</v>
      </c>
      <c r="C99" s="50">
        <f>IF(FH!$C$2&gt;0,FH!A99/FH!$C$2,0)</f>
        <v>0</v>
      </c>
      <c r="D99" s="50">
        <f>IF(hist!$D$2&gt;0,hist!B99/hist!$D$2,0)</f>
        <v>0</v>
      </c>
      <c r="E99" s="50">
        <f t="shared" si="17"/>
        <v>0.90534367885415579</v>
      </c>
      <c r="F99">
        <f t="shared" si="21"/>
        <v>97</v>
      </c>
      <c r="G99" s="50">
        <f>IF(FT!A99&lt;&gt;"",FT!A99*10,"")</f>
        <v>1.7065700000000001</v>
      </c>
      <c r="H99" s="50">
        <f>IF(FT!B99&lt;&gt;"",FT!B99*100,"")</f>
        <v>53.670700000000004</v>
      </c>
      <c r="I99" s="50">
        <f t="shared" si="18"/>
        <v>1</v>
      </c>
      <c r="J99" t="str">
        <f>IF(FT!B99&lt;&gt;"",FT!E99,"")</f>
        <v>0 [39.406529]</v>
      </c>
      <c r="K99">
        <f>IF(FT!B99&lt;&gt;"",IF(FT!C99&lt;&gt;"",FT!C99,F99/$M$3*$M$4),"")</f>
        <v>39.406500000000001</v>
      </c>
      <c r="Y99" s="75">
        <f t="shared" si="19"/>
        <v>31.44945709815595</v>
      </c>
    </row>
    <row r="100" spans="1:25" ht="16.5" customHeight="1">
      <c r="A100" s="50">
        <f t="shared" si="20"/>
        <v>98</v>
      </c>
      <c r="B100" s="50">
        <f t="shared" si="16"/>
        <v>1.8921340392156862</v>
      </c>
      <c r="C100" s="50">
        <f>IF(FH!$C$2&gt;0,FH!A100/FH!$C$2,0)</f>
        <v>0.13596417830521115</v>
      </c>
      <c r="D100" s="50">
        <f>IF(hist!$D$2&gt;0,hist!B100/hist!$D$2,0)</f>
        <v>1.5948784808413749E-4</v>
      </c>
      <c r="E100" s="50">
        <f t="shared" si="17"/>
        <v>0.91700824661412239</v>
      </c>
      <c r="F100">
        <f t="shared" si="21"/>
        <v>98</v>
      </c>
      <c r="G100" s="50">
        <f>IF(FT!A100&lt;&gt;"",FT!A100*10,"")</f>
        <v>1.6955999999999998</v>
      </c>
      <c r="H100" s="50">
        <f>IF(FT!B100&lt;&gt;"",FT!B100*100,"")</f>
        <v>54.019300000000001</v>
      </c>
      <c r="I100" s="50">
        <f t="shared" si="18"/>
        <v>1</v>
      </c>
      <c r="J100" t="str">
        <f>IF(FT!B100&lt;&gt;"",FT!E100,"")</f>
        <v>0 [39.798018]</v>
      </c>
      <c r="K100">
        <f>IF(FT!B100&lt;&gt;"",IF(FT!C100&lt;&gt;"",FT!C100,F100/$M$3*$M$4),"")</f>
        <v>39.798000000000002</v>
      </c>
      <c r="Y100" s="75">
        <f t="shared" si="19"/>
        <v>31.858516159471577</v>
      </c>
    </row>
    <row r="101" spans="1:25" ht="16.5" customHeight="1">
      <c r="A101" s="50">
        <f t="shared" si="20"/>
        <v>99</v>
      </c>
      <c r="B101" s="50">
        <f t="shared" si="16"/>
        <v>1.9114415294117646</v>
      </c>
      <c r="C101" s="50">
        <f>IF(FH!$C$2&gt;0,FH!A101/FH!$C$2,0)</f>
        <v>0</v>
      </c>
      <c r="D101" s="50">
        <f>IF(hist!$D$2&gt;0,hist!B101/hist!$D$2,0)</f>
        <v>0</v>
      </c>
      <c r="E101" s="50">
        <f t="shared" si="17"/>
        <v>0.92687162343447016</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1.930749019607843</v>
      </c>
      <c r="C102" s="50">
        <f>IF(FH!$C$2&gt;0,FH!A102/FH!$C$2,0)</f>
        <v>0</v>
      </c>
      <c r="D102" s="50">
        <f>IF(hist!$D$2&gt;0,hist!B102/hist!$D$2,0)</f>
        <v>0</v>
      </c>
      <c r="E102" s="50">
        <f t="shared" si="17"/>
        <v>0.9348727663704649</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1.9500565098039213</v>
      </c>
      <c r="C103" s="50">
        <f>IF(FH!$C$2&gt;0,FH!A103/FH!$C$2,0)</f>
        <v>0.10101459738843971</v>
      </c>
      <c r="D103" s="50">
        <f>IF(hist!$D$2&gt;0,hist!B103/hist!$D$2,0)</f>
        <v>1.3511740672846287E-4</v>
      </c>
      <c r="E103" s="50">
        <f t="shared" si="17"/>
        <v>0.94096183355357155</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1.9693639999999999</v>
      </c>
      <c r="C104" s="50">
        <f>IF(FH!$C$2&gt;0,FH!A104/FH!$C$2,0)</f>
        <v>0</v>
      </c>
      <c r="D104" s="50">
        <f>IF(hist!$D$2&gt;0,hist!B104/hist!$D$2,0)</f>
        <v>0</v>
      </c>
      <c r="E104" s="50">
        <f t="shared" si="17"/>
        <v>0.94510070127456203</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1.9886714901960783</v>
      </c>
      <c r="C105" s="50">
        <f>IF(FH!$C$2&gt;0,FH!A105/FH!$C$2,0)</f>
        <v>0</v>
      </c>
      <c r="D105" s="50">
        <f>IF(hist!$D$2&gt;0,hist!B105/hist!$D$2,0)</f>
        <v>0</v>
      </c>
      <c r="E105" s="50">
        <f t="shared" si="17"/>
        <v>0.94726336152112545</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2.0079789803921568</v>
      </c>
      <c r="C106" s="50">
        <f>IF(FH!$C$2&gt;0,FH!A106/FH!$C$2,0)</f>
        <v>8.2665780527571509E-2</v>
      </c>
      <c r="D106" s="50">
        <f>IF(hist!$D$2&gt;0,hist!B106/hist!$D$2,0)</f>
        <v>1.4175000670350771E-4</v>
      </c>
      <c r="E106" s="50">
        <f t="shared" si="17"/>
        <v>0.94743619417063019</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2.0272864705882352</v>
      </c>
      <c r="C107" s="50">
        <f>IF(FH!$C$2&gt;0,FH!A107/FH!$C$2,0)</f>
        <v>0</v>
      </c>
      <c r="D107" s="50">
        <f>IF(hist!$D$2&gt;0,hist!B107/hist!$D$2,0)</f>
        <v>0</v>
      </c>
      <c r="E107" s="50">
        <f t="shared" si="17"/>
        <v>0.94561810985265982</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2.0465939607843135</v>
      </c>
      <c r="C108" s="50">
        <f>IF(FH!$C$2&gt;0,FH!A108/FH!$C$2,0)</f>
        <v>0.10227686746642313</v>
      </c>
      <c r="D108" s="50">
        <f>IF(hist!$D$2&gt;0,hist!B108/hist!$D$2,0)</f>
        <v>1.3511740672846287E-4</v>
      </c>
      <c r="E108" s="50">
        <f t="shared" si="17"/>
        <v>0.94182056138490189</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2.0659014509803919</v>
      </c>
      <c r="C109" s="50">
        <f>IF(FH!$C$2&gt;0,FH!A109/FH!$C$2,0)</f>
        <v>0</v>
      </c>
      <c r="D109" s="50">
        <f>IF(hist!$D$2&gt;0,hist!B109/hist!$D$2,0)</f>
        <v>0</v>
      </c>
      <c r="E109" s="50">
        <f t="shared" si="17"/>
        <v>0.93606742361443052</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2.0852089411764703</v>
      </c>
      <c r="C110" s="50">
        <f>IF(FH!$C$2&gt;0,FH!A110/FH!$C$2,0)</f>
        <v>0</v>
      </c>
      <c r="D110" s="50">
        <f>IF(hist!$D$2&gt;0,hist!B110/hist!$D$2,0)</f>
        <v>0</v>
      </c>
      <c r="E110" s="50">
        <f t="shared" si="17"/>
        <v>0.92839474342807526</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2.1045164313725486</v>
      </c>
      <c r="C111" s="50">
        <f>IF(FH!$C$2&gt;0,FH!A111/FH!$C$2,0)</f>
        <v>6.5142698676050811E-2</v>
      </c>
      <c r="D111" s="50">
        <f>IF(hist!$D$2&gt;0,hist!B111/hist!$D$2,0)</f>
        <v>1.6169144215479384E-4</v>
      </c>
      <c r="E111" s="50">
        <f t="shared" si="17"/>
        <v>0.91885036359395089</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2.1238239215686274</v>
      </c>
      <c r="C112" s="50">
        <f>IF(FH!$C$2&gt;0,FH!A112/FH!$C$2,0)</f>
        <v>0</v>
      </c>
      <c r="D112" s="50">
        <f>IF(hist!$D$2&gt;0,hist!B112/hist!$D$2,0)</f>
        <v>0</v>
      </c>
      <c r="E112" s="50">
        <f t="shared" si="17"/>
        <v>0.90749342592567261</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2.1431314117647058</v>
      </c>
      <c r="C113" s="50">
        <f>IF(FH!$C$2&gt;0,FH!A113/FH!$C$2,0)</f>
        <v>5.1744944943030495E-2</v>
      </c>
      <c r="D113" s="50">
        <f>IF(hist!$D$2&gt;0,hist!B113/hist!$D$2,0)</f>
        <v>1.1517597127717672E-4</v>
      </c>
      <c r="E113" s="50">
        <f t="shared" si="17"/>
        <v>0.8943937609872501</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2.1624389019607841</v>
      </c>
      <c r="C114" s="50">
        <f>IF(FH!$C$2&gt;0,FH!A114/FH!$C$2,0)</f>
        <v>0</v>
      </c>
      <c r="D114" s="50">
        <f>IF(hist!$D$2&gt;0,hist!B114/hist!$D$2,0)</f>
        <v>0</v>
      </c>
      <c r="E114" s="50">
        <f t="shared" si="17"/>
        <v>0.87963117314836947</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2.1817463921568625</v>
      </c>
      <c r="C115" s="50">
        <f>IF(FH!$C$2&gt;0,FH!A115/FH!$C$2,0)</f>
        <v>0</v>
      </c>
      <c r="D115" s="50">
        <f>IF(hist!$D$2&gt;0,hist!B115/hist!$D$2,0)</f>
        <v>0</v>
      </c>
      <c r="E115" s="50">
        <f t="shared" si="17"/>
        <v>0.8632946312281462</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2.2010538823529413</v>
      </c>
      <c r="C116" s="50">
        <f>IF(FH!$C$2&gt;0,FH!A116/FH!$C$2,0)</f>
        <v>4.0192257120589818E-2</v>
      </c>
      <c r="D116" s="50">
        <f>IF(hist!$D$2&gt;0,hist!B116/hist!$D$2,0)</f>
        <v>1.5283343034601686E-4</v>
      </c>
      <c r="E116" s="50">
        <f t="shared" si="17"/>
        <v>0.84548137620546249</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2.2203613725490197</v>
      </c>
      <c r="C117" s="50">
        <f>IF(FH!$C$2&gt;0,FH!A117/FH!$C$2,0)</f>
        <v>0</v>
      </c>
      <c r="D117" s="50">
        <f>IF(hist!$D$2&gt;0,hist!B117/hist!$D$2,0)</f>
        <v>0</v>
      </c>
      <c r="E117" s="50">
        <f t="shared" si="17"/>
        <v>0.82629595850501092</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2.239668862745098</v>
      </c>
      <c r="C118" s="50">
        <f>IF(FH!$C$2&gt;0,FH!A118/FH!$C$2,0)</f>
        <v>5.858941318785351E-2</v>
      </c>
      <c r="D118" s="50">
        <f>IF(hist!$D$2&gt;0,hist!B118/hist!$D$2,0)</f>
        <v>1.0411436539774339E-4</v>
      </c>
      <c r="E118" s="50">
        <f t="shared" si="17"/>
        <v>0.80584921817404465</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2.2589763529411764</v>
      </c>
      <c r="C119" s="50">
        <f>IF(FH!$C$2&gt;0,FH!A119/FH!$C$2,0)</f>
        <v>0</v>
      </c>
      <c r="D119" s="50">
        <f>IF(hist!$D$2&gt;0,hist!B119/hist!$D$2,0)</f>
        <v>0</v>
      </c>
      <c r="E119" s="50">
        <f t="shared" si="17"/>
        <v>0.78425722183450541</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2.2782838431372547</v>
      </c>
      <c r="C120" s="50">
        <f>IF(FH!$C$2&gt;0,FH!A120/FH!$C$2,0)</f>
        <v>0</v>
      </c>
      <c r="D120" s="50">
        <f>IF(hist!$D$2&gt;0,hist!B120/hist!$D$2,0)</f>
        <v>0</v>
      </c>
      <c r="E120" s="50">
        <f t="shared" si="17"/>
        <v>0.76164017062257283</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2.2975913333333331</v>
      </c>
      <c r="C121" s="50">
        <f>IF(FH!$C$2&gt;0,FH!A121/FH!$C$2,0)</f>
        <v>4.3978493595413747E-2</v>
      </c>
      <c r="D121" s="50">
        <f>IF(hist!$D$2&gt;0,hist!B121/hist!$D$2,0)</f>
        <v>8.8601935850845753E-5</v>
      </c>
      <c r="E121" s="50">
        <f t="shared" si="17"/>
        <v>0.73812129341196475</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2.3168988235294115</v>
      </c>
      <c r="C122" s="50">
        <f>IF(FH!$C$2&gt;0,FH!A122/FH!$C$2,0)</f>
        <v>0</v>
      </c>
      <c r="D122" s="50">
        <f>IF(hist!$D$2&gt;0,hist!B122/hist!$D$2,0)</f>
        <v>0</v>
      </c>
      <c r="E122" s="50">
        <f t="shared" si="17"/>
        <v>0.7138257394626355</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2.3362063137254898</v>
      </c>
      <c r="C123" s="50">
        <f>IF(FH!$C$2&gt;0,FH!A123/FH!$C$2,0)</f>
        <v>0</v>
      </c>
      <c r="D123" s="50">
        <f>IF(hist!$D$2&gt;0,hist!B123/hist!$D$2,0)</f>
        <v>0</v>
      </c>
      <c r="E123" s="50">
        <f t="shared" si="17"/>
        <v>0.68887948425194256</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2.3555138039215686</v>
      </c>
      <c r="C124" s="50">
        <f>IF(FH!$C$2&gt;0,FH!A124/FH!$C$2,0)</f>
        <v>2.8153977824209763E-2</v>
      </c>
      <c r="D124" s="50">
        <f>IF(hist!$D$2&gt;0,hist!B124/hist!$D$2,0)</f>
        <v>6.2027900424514769E-5</v>
      </c>
      <c r="E124" s="50">
        <f t="shared" si="17"/>
        <v>0.66340826164439226</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2.374821294117647</v>
      </c>
      <c r="C125" s="50">
        <f>IF(FH!$C$2&gt;0,FH!A125/FH!$C$2,0)</f>
        <v>0</v>
      </c>
      <c r="D125" s="50">
        <f>IF(hist!$D$2&gt;0,hist!B125/hist!$D$2,0)</f>
        <v>0</v>
      </c>
      <c r="E125" s="50">
        <f t="shared" si="17"/>
        <v>0.63753653475637651</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2.3941287843137253</v>
      </c>
      <c r="C126" s="50">
        <f>IF(FH!$C$2&gt;0,FH!A126/FH!$C$2,0)</f>
        <v>3.208585349060708E-2</v>
      </c>
      <c r="D126" s="50">
        <f>IF(hist!$D$2&gt;0,hist!B126/hist!$D$2,0)</f>
        <v>9.3030941755234257E-5</v>
      </c>
      <c r="E126" s="50">
        <f t="shared" si="17"/>
        <v>0.61138651689501311</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2.4134362745098037</v>
      </c>
      <c r="C127" s="50">
        <f>IF(FH!$C$2&gt;0,FH!A127/FH!$C$2,0)</f>
        <v>0</v>
      </c>
      <c r="D127" s="50">
        <f>IF(hist!$D$2&gt;0,hist!B127/hist!$D$2,0)</f>
        <v>0</v>
      </c>
      <c r="E127" s="50">
        <f t="shared" si="17"/>
        <v>0.58507725281950163</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2.4520512549019604</v>
      </c>
      <c r="C129" s="50">
        <f>IF(FH!$C$2&gt;0,FH!A129/FH!$C$2,0)</f>
        <v>4.9269652445409207E-2</v>
      </c>
      <c r="D129" s="50">
        <f>IF(hist!$D$2&gt;0,hist!B129/hist!$D$2,0)</f>
        <v>1.1517597127717672E-4</v>
      </c>
      <c r="E129" s="50">
        <f t="shared" si="17"/>
        <v>0.53243630271791664</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2.4713587450980392</v>
      </c>
      <c r="C130" s="50">
        <f>IF(FH!$C$2&gt;0,FH!A130/FH!$C$2,0)</f>
        <v>0</v>
      </c>
      <c r="D130" s="50">
        <f>IF(hist!$D$2&gt;0,hist!B130/hist!$D$2,0)</f>
        <v>0</v>
      </c>
      <c r="E130" s="50">
        <f t="shared" si="17"/>
        <v>0.50631960958592026</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2.4906662352941176</v>
      </c>
      <c r="C131" s="50">
        <f>IF(FH!$C$2&gt;0,FH!A131/FH!$C$2,0)</f>
        <v>2.9027765160389581E-2</v>
      </c>
      <c r="D131" s="50">
        <f>IF(hist!$D$2&gt;0,hist!B131/hist!$D$2,0)</f>
        <v>1.1297237720652039E-4</v>
      </c>
      <c r="E131" s="50">
        <f t="shared" ref="E131:E194" si="23">NORMDIST(B131,2,0.421,FALSE)</f>
        <v>0.48047236527720366</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2.5292812156862743</v>
      </c>
      <c r="C133" s="50">
        <f>IF(FH!$C$2&gt;0,FH!A133/FH!$C$2,0)</f>
        <v>0</v>
      </c>
      <c r="D133" s="50">
        <f>IF(hist!$D$2&gt;0,hist!B133/hist!$D$2,0)</f>
        <v>0</v>
      </c>
      <c r="E133" s="50">
        <f t="shared" si="23"/>
        <v>0.42994754988427875</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2.5485887058823531</v>
      </c>
      <c r="C134" s="50">
        <f>IF(FH!$C$2&gt;0,FH!A134/FH!$C$2,0)</f>
        <v>2.3057179878267435E-2</v>
      </c>
      <c r="D134" s="50">
        <f>IF(hist!$D$2&gt;0,hist!B134/hist!$D$2,0)</f>
        <v>5.0944476782005612E-5</v>
      </c>
      <c r="E134" s="50">
        <f t="shared" si="23"/>
        <v>0.4054327962341186</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2.5678961960784314</v>
      </c>
      <c r="C135" s="50">
        <f>IF(FH!$C$2&gt;0,FH!A135/FH!$C$2,0)</f>
        <v>0</v>
      </c>
      <c r="D135" s="50">
        <f>IF(hist!$D$2&gt;0,hist!B135/hist!$D$2,0)</f>
        <v>0</v>
      </c>
      <c r="E135" s="50">
        <f t="shared" si="23"/>
        <v>0.38151257067800914</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2.5872036862745098</v>
      </c>
      <c r="C136" s="50">
        <f>IF(FH!$C$2&gt;0,FH!A136/FH!$C$2,0)</f>
        <v>9.4170129143616669E-3</v>
      </c>
      <c r="D136" s="50">
        <f>IF(hist!$D$2&gt;0,hist!B136/hist!$D$2,0)</f>
        <v>3.1003041330719481E-5</v>
      </c>
      <c r="E136" s="50">
        <f t="shared" si="23"/>
        <v>0.35824934528258567</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2.6065111764705882</v>
      </c>
      <c r="C137" s="50">
        <f>IF(FH!$C$2&gt;0,FH!A137/FH!$C$2,0)</f>
        <v>0</v>
      </c>
      <c r="D137" s="50">
        <f>IF(hist!$D$2&gt;0,hist!B137/hist!$D$2,0)</f>
        <v>0</v>
      </c>
      <c r="E137" s="50">
        <f t="shared" si="23"/>
        <v>0.33569783144244719</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2.6451261568627449</v>
      </c>
      <c r="C139" s="50">
        <f>IF(FH!$C$2&gt;0,FH!A139/FH!$C$2,0)</f>
        <v>8.5918038508800022E-3</v>
      </c>
      <c r="D139" s="50">
        <f>IF(hist!$D$2&gt;0,hist!B139/hist!$D$2,0)</f>
        <v>2.4370441355674635E-5</v>
      </c>
      <c r="E139" s="50">
        <f t="shared" si="23"/>
        <v>0.29291022248726101</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2.6644336470588232</v>
      </c>
      <c r="C140" s="50">
        <f>IF(FH!$C$2&gt;0,FH!A140/FH!$C$2,0)</f>
        <v>0</v>
      </c>
      <c r="D140" s="50">
        <f>IF(hist!$D$2&gt;0,hist!B140/hist!$D$2,0)</f>
        <v>0</v>
      </c>
      <c r="E140" s="50">
        <f t="shared" si="23"/>
        <v>0.27274537269323335</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2.7030486274509804</v>
      </c>
      <c r="C142" s="50">
        <f>IF(FH!$C$2&gt;0,FH!A142/FH!$C$2,0)</f>
        <v>1.2620740436152562E-2</v>
      </c>
      <c r="D142" s="50">
        <f>IF(hist!$D$2&gt;0,hist!B142/hist!$D$2,0)</f>
        <v>1.1083423642509145E-5</v>
      </c>
      <c r="E142" s="50">
        <f t="shared" si="23"/>
        <v>0.23499728696755492</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2.7223561176470588</v>
      </c>
      <c r="C143" s="50">
        <f>IF(FH!$C$2&gt;0,FH!A143/FH!$C$2,0)</f>
        <v>0</v>
      </c>
      <c r="D143" s="50">
        <f>IF(hist!$D$2&gt;0,hist!B143/hist!$D$2,0)</f>
        <v>0</v>
      </c>
      <c r="E143" s="50">
        <f t="shared" si="23"/>
        <v>0.21744300589013643</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2.7416636078431371</v>
      </c>
      <c r="C144" s="50">
        <f>IF(FH!$C$2&gt;0,FH!A144/FH!$C$2,0)</f>
        <v>2.0387383036811427E-3</v>
      </c>
      <c r="D144" s="50">
        <f>IF(hist!$D$2&gt;0,hist!B144/hist!$D$2,0)</f>
        <v>2.2254118337321511E-6</v>
      </c>
      <c r="E144" s="50">
        <f t="shared" si="23"/>
        <v>0.20077730249146994</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2.7609710980392155</v>
      </c>
      <c r="C145" s="50">
        <f>IF(FH!$C$2&gt;0,FH!A145/FH!$C$2,0)</f>
        <v>0</v>
      </c>
      <c r="D145" s="50">
        <f>IF(hist!$D$2&gt;0,hist!B145/hist!$D$2,0)</f>
        <v>0</v>
      </c>
      <c r="E145" s="50">
        <f t="shared" si="23"/>
        <v>0.18499941898009059</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2.7995860784313722</v>
      </c>
      <c r="C147" s="50">
        <f>IF(FH!$C$2&gt;0,FH!A147/FH!$C$2,0)</f>
        <v>0</v>
      </c>
      <c r="D147" s="50">
        <f>IF(hist!$D$2&gt;0,hist!B147/hist!$D$2,0)</f>
        <v>0</v>
      </c>
      <c r="E147" s="50">
        <f t="shared" si="23"/>
        <v>0.15607796549987585</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2.8382010588235289</v>
      </c>
      <c r="C149" s="50">
        <f>IF(FH!$C$2&gt;0,FH!A149/FH!$C$2,0)</f>
        <v>0</v>
      </c>
      <c r="D149" s="50">
        <f>IF(hist!$D$2&gt;0,hist!B149/hist!$D$2,0)</f>
        <v>0</v>
      </c>
      <c r="E149" s="50">
        <f t="shared" si="23"/>
        <v>0.1305747297685797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0</v>
      </c>
      <c r="D152" s="50">
        <f>IF(hist!$D$2&gt;0,hist!B152/hist!$D$2,0)</f>
        <v>0</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0</v>
      </c>
      <c r="D154" s="50">
        <f>IF(hist!$D$2&gt;0,hist!B154/hist!$D$2,0)</f>
        <v>0</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0</v>
      </c>
      <c r="D157" s="50">
        <f>IF(hist!$D$2&gt;0,hist!B157/hist!$D$2,0)</f>
        <v>0</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0</v>
      </c>
      <c r="D160" s="50">
        <f>IF(hist!$D$2&gt;0,hist!B160/hist!$D$2,0)</f>
        <v>0</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0</v>
      </c>
      <c r="D162" s="50">
        <f>IF(hist!$D$2&gt;0,hist!B162/hist!$D$2,0)</f>
        <v>0</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0</v>
      </c>
      <c r="D165" s="50">
        <f>IF(hist!$D$2&gt;0,hist!B165/hist!$D$2,0)</f>
        <v>0</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0</v>
      </c>
      <c r="D167" s="50">
        <f>IF(hist!$D$2&gt;0,hist!B167/hist!$D$2,0)</f>
        <v>0</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0</v>
      </c>
      <c r="D170" s="50">
        <f>IF(hist!$D$2&gt;0,hist!B170/hist!$D$2,0)</f>
        <v>0</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0</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0</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0</v>
      </c>
      <c r="D175" s="50">
        <f>IF(hist!$D$2&gt;0,hist!B175/hist!$D$2,0)</f>
        <v>0</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0</v>
      </c>
      <c r="D178" s="50">
        <f>IF(hist!$D$2&gt;0,hist!B178/hist!$D$2,0)</f>
        <v>0</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0</v>
      </c>
      <c r="D180" s="50">
        <f>IF(hist!$D$2&gt;0,hist!B180/hist!$D$2,0)</f>
        <v>0</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0</v>
      </c>
      <c r="D183" s="50">
        <f>IF(hist!$D$2&gt;0,hist!B183/hist!$D$2,0)</f>
        <v>0</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0</v>
      </c>
      <c r="D185" s="50">
        <f>IF(hist!$D$2&gt;0,hist!B185/hist!$D$2,0)</f>
        <v>0</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0</v>
      </c>
      <c r="D188" s="50">
        <f>IF(hist!$D$2&gt;0,hist!B188/hist!$D$2,0)</f>
        <v>0</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0</v>
      </c>
      <c r="D191" s="50">
        <f>IF(hist!$D$2&gt;0,hist!B191/hist!$D$2,0)</f>
        <v>0</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0</v>
      </c>
      <c r="D193" s="50">
        <f>IF(hist!$D$2&gt;0,hist!B193/hist!$D$2,0)</f>
        <v>0</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0</v>
      </c>
      <c r="D196" s="50">
        <f>IF(hist!$D$2&gt;0,hist!B196/hist!$D$2,0)</f>
        <v>0</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0</v>
      </c>
      <c r="D198" s="50">
        <f>IF(hist!$D$2&gt;0,hist!B198/hist!$D$2,0)</f>
        <v>0</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v>
      </c>
      <c r="D201" s="50">
        <f>IF(hist!$D$2&gt;0,hist!B201/hist!$D$2,0)</f>
        <v>0</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0</v>
      </c>
      <c r="D203" s="50">
        <f>IF(hist!$D$2&gt;0,hist!B203/hist!$D$2,0)</f>
        <v>0</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v>
      </c>
      <c r="D206" s="50">
        <f>IF(hist!$D$2&gt;0,hist!B206/hist!$D$2,0)</f>
        <v>0</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v>
      </c>
      <c r="D209" s="50">
        <f>IF(hist!$D$2&gt;0,hist!B209/hist!$D$2,0)</f>
        <v>0</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0</v>
      </c>
      <c r="D211" s="50">
        <f>IF(hist!$D$2&gt;0,hist!B211/hist!$D$2,0)</f>
        <v>0</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0</v>
      </c>
      <c r="D214" s="50">
        <f>IF(hist!$D$2&gt;0,hist!B214/hist!$D$2,0)</f>
        <v>0</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24.363700000000001</v>
      </c>
      <c r="C5" s="49">
        <v>3.0906799999999999</v>
      </c>
      <c r="D5" s="49">
        <v>12.685600000000001</v>
      </c>
      <c r="E5" s="49">
        <v>20</v>
      </c>
      <c r="F5" s="49">
        <v>21.7561</v>
      </c>
      <c r="G5" s="49">
        <v>50</v>
      </c>
      <c r="H5" s="49">
        <v>31.992100000000001</v>
      </c>
    </row>
    <row r="6" spans="1:10">
      <c r="A6" t="s">
        <v>1111</v>
      </c>
      <c r="B6" s="49">
        <v>30.6387</v>
      </c>
      <c r="C6" s="49">
        <v>10.637</v>
      </c>
      <c r="D6" s="49">
        <v>34.717500000000001</v>
      </c>
      <c r="E6" s="49">
        <v>20</v>
      </c>
      <c r="F6" s="49">
        <v>13.3124</v>
      </c>
      <c r="G6" s="49">
        <v>40</v>
      </c>
      <c r="H6" s="49">
        <v>45.985300000000002</v>
      </c>
    </row>
    <row r="7" spans="1:10">
      <c r="A7" t="s">
        <v>1112</v>
      </c>
      <c r="B7" s="49">
        <v>36.938099999999999</v>
      </c>
      <c r="C7" s="49">
        <v>6.4337600000000004</v>
      </c>
      <c r="D7" s="49">
        <v>17.4177</v>
      </c>
      <c r="E7" s="49">
        <v>15</v>
      </c>
      <c r="F7" s="49">
        <v>15.0055</v>
      </c>
      <c r="G7" s="49">
        <v>40</v>
      </c>
      <c r="H7" s="49">
        <v>44.839599999999997</v>
      </c>
    </row>
    <row r="8" spans="1:10">
      <c r="A8" t="s">
        <v>1113</v>
      </c>
      <c r="B8" s="49">
        <v>28.286799999999999</v>
      </c>
      <c r="C8" s="49">
        <v>3.90151</v>
      </c>
      <c r="D8" s="49">
        <v>13.7927</v>
      </c>
      <c r="E8" s="49">
        <v>20</v>
      </c>
      <c r="F8" s="49">
        <v>22.199000000000002</v>
      </c>
      <c r="G8" s="49">
        <v>50</v>
      </c>
      <c r="H8" s="49">
        <v>36.786299999999997</v>
      </c>
    </row>
    <row r="9" spans="1:10">
      <c r="A9" t="s">
        <v>1114</v>
      </c>
      <c r="B9" s="49">
        <v>71.840400000000002</v>
      </c>
      <c r="C9" s="49">
        <v>8.4870900000000002</v>
      </c>
      <c r="D9" s="49">
        <v>11.813800000000001</v>
      </c>
      <c r="E9" s="49">
        <v>50</v>
      </c>
      <c r="F9" s="49">
        <v>48.386600000000001</v>
      </c>
      <c r="G9" s="49">
        <v>100</v>
      </c>
      <c r="H9" s="49">
        <v>81.222300000000004</v>
      </c>
    </row>
    <row r="10" spans="1:10">
      <c r="A10" t="s">
        <v>1115</v>
      </c>
      <c r="B10" s="49">
        <v>69.118899999999996</v>
      </c>
      <c r="C10" s="49">
        <v>27.029699999999998</v>
      </c>
      <c r="D10" s="49">
        <v>39.106200000000001</v>
      </c>
      <c r="E10" s="49">
        <v>40</v>
      </c>
      <c r="F10" s="49">
        <v>6.9304500000000004</v>
      </c>
      <c r="G10" s="49">
        <v>100</v>
      </c>
      <c r="H10" s="49">
        <v>88.743099999999998</v>
      </c>
    </row>
    <row r="11" spans="1:10">
      <c r="A11" t="s">
        <v>1116</v>
      </c>
      <c r="B11" s="49">
        <v>8.7564200000000003</v>
      </c>
      <c r="C11" s="49">
        <v>5.2494699999999996</v>
      </c>
      <c r="D11" s="49">
        <v>59.95</v>
      </c>
      <c r="E11" s="49">
        <v>10</v>
      </c>
      <c r="F11" s="49">
        <v>6.6657299999999999</v>
      </c>
      <c r="G11" s="49">
        <v>50</v>
      </c>
      <c r="H11" s="49">
        <v>20.7714</v>
      </c>
    </row>
    <row r="12" spans="1:10">
      <c r="A12" t="s">
        <v>1117</v>
      </c>
      <c r="B12" s="49">
        <v>64.744399999999999</v>
      </c>
      <c r="C12" s="49">
        <v>12.5846</v>
      </c>
      <c r="D12" s="49">
        <v>19.4374</v>
      </c>
      <c r="E12" s="49">
        <v>50</v>
      </c>
      <c r="F12" s="49">
        <v>34.468400000000003</v>
      </c>
      <c r="G12" s="49">
        <v>100</v>
      </c>
      <c r="H12" s="49">
        <v>84.553899999999999</v>
      </c>
    </row>
    <row r="13" spans="1:10">
      <c r="A13" t="s">
        <v>1118</v>
      </c>
      <c r="B13" s="49">
        <v>15.895200000000001</v>
      </c>
      <c r="C13" s="49">
        <v>1.12523</v>
      </c>
      <c r="D13" s="49">
        <v>7.0790899999999999</v>
      </c>
      <c r="E13" s="49">
        <v>10</v>
      </c>
      <c r="F13" s="49">
        <v>13.666</v>
      </c>
      <c r="G13" s="49">
        <v>25</v>
      </c>
      <c r="H13" s="49">
        <v>19.270700000000001</v>
      </c>
      <c r="J13" s="49"/>
    </row>
    <row r="14" spans="1:10">
      <c r="A14" t="s">
        <v>1119</v>
      </c>
      <c r="B14" s="49">
        <v>11.2523</v>
      </c>
      <c r="C14" s="49">
        <v>4.2233099999999997</v>
      </c>
      <c r="D14" s="49">
        <v>37.532699999999998</v>
      </c>
      <c r="E14" s="49">
        <v>10</v>
      </c>
      <c r="F14" s="49">
        <v>1.42041</v>
      </c>
      <c r="G14" s="49">
        <v>50</v>
      </c>
      <c r="H14" s="49">
        <v>16.790299999999998</v>
      </c>
    </row>
    <row r="15" spans="1:10">
      <c r="A15" t="s">
        <v>1120</v>
      </c>
      <c r="B15" s="49">
        <v>0.2145</v>
      </c>
      <c r="C15" s="49">
        <v>0</v>
      </c>
      <c r="D15" s="49">
        <v>0</v>
      </c>
      <c r="E15" s="49">
        <v>0</v>
      </c>
      <c r="F15" s="49">
        <v>0</v>
      </c>
      <c r="G15" s="49">
        <v>0</v>
      </c>
      <c r="H15" s="49">
        <v>0</v>
      </c>
    </row>
    <row r="16" spans="1:10">
      <c r="A16" t="s">
        <v>1121</v>
      </c>
      <c r="B16" s="49">
        <v>0.526841</v>
      </c>
      <c r="C16" s="49">
        <v>0</v>
      </c>
      <c r="D16" s="49">
        <v>0</v>
      </c>
      <c r="E16" s="49">
        <v>0</v>
      </c>
      <c r="F16" s="49">
        <v>0</v>
      </c>
      <c r="G16" s="49">
        <v>0</v>
      </c>
      <c r="H16" s="49">
        <v>0</v>
      </c>
    </row>
    <row r="17" spans="1:8">
      <c r="A17" t="s">
        <v>1122</v>
      </c>
      <c r="B17" s="49">
        <v>25.353300000000001</v>
      </c>
      <c r="C17" s="49">
        <v>0</v>
      </c>
      <c r="D17" s="49">
        <v>0</v>
      </c>
      <c r="E17" s="49">
        <v>0</v>
      </c>
      <c r="F17" s="49">
        <v>0</v>
      </c>
      <c r="G17" s="49">
        <v>0</v>
      </c>
      <c r="H17" s="49">
        <v>0</v>
      </c>
    </row>
    <row r="18" spans="1:8">
      <c r="A18" t="s">
        <v>1123</v>
      </c>
      <c r="B18" s="49">
        <v>0.683674</v>
      </c>
      <c r="C18" s="49">
        <v>0</v>
      </c>
      <c r="D18" s="49">
        <v>0</v>
      </c>
      <c r="E18" s="49">
        <v>0</v>
      </c>
      <c r="F18" s="49">
        <v>0</v>
      </c>
      <c r="G18" s="49">
        <v>0</v>
      </c>
      <c r="H18" s="49">
        <v>0</v>
      </c>
    </row>
    <row r="19" spans="1:8">
      <c r="A19" t="s">
        <v>1124</v>
      </c>
      <c r="B19" s="49">
        <v>0.75331499999999996</v>
      </c>
      <c r="C19" s="49">
        <v>0</v>
      </c>
      <c r="D19" s="49">
        <v>0</v>
      </c>
      <c r="E19" s="49">
        <v>0</v>
      </c>
      <c r="F19" s="49">
        <v>0</v>
      </c>
      <c r="G19" s="49">
        <v>0</v>
      </c>
      <c r="H19" s="49">
        <v>0</v>
      </c>
    </row>
    <row r="20" spans="1:8">
      <c r="A20" t="s">
        <v>1125</v>
      </c>
      <c r="B20" s="49">
        <v>3.4294199999999999E-3</v>
      </c>
      <c r="C20" s="49">
        <v>1.6548500000000001E-2</v>
      </c>
      <c r="D20" s="49">
        <v>4.82545</v>
      </c>
      <c r="E20" s="49">
        <v>0</v>
      </c>
      <c r="F20" s="49">
        <v>2.4156099999999999E-3</v>
      </c>
      <c r="G20" s="49">
        <v>0</v>
      </c>
      <c r="H20" s="49">
        <v>0.32317499999999999</v>
      </c>
    </row>
    <row r="21" spans="1:8">
      <c r="A21" t="s">
        <v>1126</v>
      </c>
      <c r="B21" s="49">
        <v>8.6142900000000001E-3</v>
      </c>
      <c r="C21" s="49">
        <v>0.107045</v>
      </c>
      <c r="D21" s="49">
        <v>12.426500000000001</v>
      </c>
      <c r="E21" s="49">
        <v>0</v>
      </c>
      <c r="F21" s="49">
        <v>3.0229100000000002E-3</v>
      </c>
      <c r="G21" s="49">
        <v>0</v>
      </c>
      <c r="H21" s="49">
        <v>1.07348</v>
      </c>
    </row>
    <row r="22" spans="1:8">
      <c r="A22" t="s">
        <v>1127</v>
      </c>
      <c r="B22" s="49">
        <v>29.532699999999998</v>
      </c>
      <c r="C22" s="49">
        <v>9.7830499999999994</v>
      </c>
      <c r="D22" s="49">
        <v>0.331262</v>
      </c>
      <c r="E22" s="49">
        <v>0</v>
      </c>
      <c r="F22" s="49">
        <v>17.6417</v>
      </c>
      <c r="G22" s="49">
        <v>0</v>
      </c>
      <c r="H22" s="49">
        <v>62.778599999999997</v>
      </c>
    </row>
    <row r="23" spans="1:8">
      <c r="A23" t="s">
        <v>1128</v>
      </c>
      <c r="B23" s="49">
        <v>11.905099999999999</v>
      </c>
      <c r="C23" s="49">
        <v>23.3261</v>
      </c>
      <c r="D23" s="49">
        <v>1.95933</v>
      </c>
      <c r="E23" s="49">
        <v>0</v>
      </c>
      <c r="F23" s="49">
        <v>6.8141100000000003</v>
      </c>
      <c r="G23" s="49">
        <v>0</v>
      </c>
      <c r="H23" s="49">
        <v>70.982799999999997</v>
      </c>
    </row>
    <row r="24" spans="1:8">
      <c r="A24" t="s">
        <v>1129</v>
      </c>
      <c r="B24" s="49">
        <v>3.6900000000000001E-3</v>
      </c>
      <c r="C24" s="49">
        <v>1.09643E-2</v>
      </c>
      <c r="D24" s="49">
        <v>2.9713400000000001</v>
      </c>
      <c r="E24" s="49">
        <v>0</v>
      </c>
      <c r="F24" s="49">
        <v>2.8715099999999999E-3</v>
      </c>
      <c r="G24" s="49">
        <v>0</v>
      </c>
      <c r="H24" s="49">
        <v>9.4752299999999998E-2</v>
      </c>
    </row>
    <row r="25" spans="1:8">
      <c r="A25" t="s">
        <v>1130</v>
      </c>
      <c r="B25" s="49">
        <v>1.00033E-2</v>
      </c>
      <c r="C25" s="49">
        <v>5.8293600000000001E-2</v>
      </c>
      <c r="D25" s="49">
        <v>5.8274499999999998</v>
      </c>
      <c r="E25" s="49">
        <v>0</v>
      </c>
      <c r="F25" s="49">
        <v>4.4122700000000003E-3</v>
      </c>
      <c r="G25" s="49">
        <v>0</v>
      </c>
      <c r="H25" s="49">
        <v>0.27459099999999997</v>
      </c>
    </row>
    <row r="26" spans="1:8">
      <c r="A26" t="s">
        <v>1131</v>
      </c>
      <c r="B26" s="49">
        <v>6.7759299999999999E-4</v>
      </c>
      <c r="C26" s="49">
        <v>1.44882E-3</v>
      </c>
      <c r="D26" s="49">
        <v>2.1381899999999998</v>
      </c>
      <c r="E26" s="49">
        <v>0</v>
      </c>
      <c r="F26" s="173">
        <v>4.74642E-4</v>
      </c>
      <c r="G26" s="49">
        <v>0</v>
      </c>
      <c r="H26" s="49">
        <v>2.4797099999999999E-2</v>
      </c>
    </row>
    <row r="27" spans="1:8">
      <c r="A27" t="s">
        <v>1132</v>
      </c>
      <c r="B27" s="173">
        <v>-1.63671E-6</v>
      </c>
      <c r="C27" s="49">
        <v>1.10008E-3</v>
      </c>
      <c r="D27" s="49">
        <v>-672.12699999999995</v>
      </c>
      <c r="E27" s="49">
        <v>0</v>
      </c>
      <c r="F27" s="49">
        <v>-2.0181600000000001E-2</v>
      </c>
      <c r="G27" s="49">
        <v>0</v>
      </c>
      <c r="H27" s="49">
        <v>9.8540099999999999E-3</v>
      </c>
    </row>
    <row r="28" spans="1:8">
      <c r="A28" t="s">
        <v>1133</v>
      </c>
      <c r="B28" s="49">
        <v>1.3823799999999999E-3</v>
      </c>
      <c r="C28" s="49">
        <v>6.6146800000000004E-3</v>
      </c>
      <c r="D28" s="49">
        <v>4.7850000000000001</v>
      </c>
      <c r="E28" s="49">
        <v>0</v>
      </c>
      <c r="F28" s="49">
        <v>5.8702299999999999E-4</v>
      </c>
      <c r="G28" s="49">
        <v>0</v>
      </c>
      <c r="H28" s="49">
        <v>5.7989400000000003E-2</v>
      </c>
    </row>
    <row r="29" spans="1:8">
      <c r="A29" t="s">
        <v>1134</v>
      </c>
      <c r="B29" s="49">
        <v>51.562100000000001</v>
      </c>
      <c r="C29" s="49">
        <v>6.3098299999999998</v>
      </c>
      <c r="D29" s="49">
        <v>0.122373</v>
      </c>
      <c r="E29" s="49">
        <v>0</v>
      </c>
      <c r="F29" s="49">
        <v>32.325899999999997</v>
      </c>
      <c r="G29" s="49">
        <v>0</v>
      </c>
      <c r="H29" s="49">
        <v>68.068799999999996</v>
      </c>
    </row>
    <row r="30" spans="1:8">
      <c r="A30" t="s">
        <v>1135</v>
      </c>
      <c r="B30" s="49">
        <v>16.958200000000001</v>
      </c>
      <c r="C30" s="49">
        <v>8.2652099999999997</v>
      </c>
      <c r="D30" s="49">
        <v>0.48738700000000001</v>
      </c>
      <c r="E30" s="49">
        <v>0</v>
      </c>
      <c r="F30" s="49">
        <v>6.8423299999999996</v>
      </c>
      <c r="G30" s="49">
        <v>0</v>
      </c>
      <c r="H30" s="49">
        <v>33.2532</v>
      </c>
    </row>
    <row r="31" spans="1:8">
      <c r="A31" t="s">
        <v>1136</v>
      </c>
      <c r="B31" s="49">
        <v>99.1036</v>
      </c>
      <c r="C31" s="49">
        <v>43.537599999999998</v>
      </c>
      <c r="D31" s="49">
        <v>0.43931399999999998</v>
      </c>
      <c r="E31" s="49">
        <v>0</v>
      </c>
      <c r="F31" s="49">
        <v>44.060899999999997</v>
      </c>
      <c r="G31" s="49">
        <v>0</v>
      </c>
      <c r="H31" s="49">
        <v>198.31800000000001</v>
      </c>
    </row>
    <row r="32" spans="1:8">
      <c r="A32" t="s">
        <v>1137</v>
      </c>
      <c r="B32" s="49">
        <v>0.36938100000000001</v>
      </c>
      <c r="C32" s="49">
        <v>6.4337599999999995E-2</v>
      </c>
      <c r="D32" s="49">
        <v>0.174177</v>
      </c>
      <c r="E32" s="49">
        <v>0.15</v>
      </c>
      <c r="F32" s="49">
        <v>0.15005499999999999</v>
      </c>
      <c r="G32" s="49">
        <v>0.4</v>
      </c>
      <c r="H32" s="49">
        <v>0.44839600000000002</v>
      </c>
    </row>
    <row r="33" spans="1:8">
      <c r="A33" t="s">
        <v>1138</v>
      </c>
      <c r="B33" s="49">
        <v>0.180619</v>
      </c>
      <c r="C33" s="49">
        <v>0.110844</v>
      </c>
      <c r="D33" s="49">
        <v>0.61368999999999996</v>
      </c>
      <c r="E33" s="49">
        <v>0</v>
      </c>
      <c r="F33" s="49">
        <v>0.10299</v>
      </c>
      <c r="G33" s="49">
        <v>0</v>
      </c>
      <c r="H33" s="49">
        <v>0.49843199999999999</v>
      </c>
    </row>
    <row r="34" spans="1:8">
      <c r="A34" t="s">
        <v>1139</v>
      </c>
      <c r="B34" s="49">
        <v>0.15895200000000001</v>
      </c>
      <c r="C34" s="49">
        <v>1.12523E-2</v>
      </c>
      <c r="D34" s="49">
        <v>7.0790900000000004E-2</v>
      </c>
      <c r="E34" s="49">
        <v>0.1</v>
      </c>
      <c r="F34" s="49">
        <v>0.13666</v>
      </c>
      <c r="G34" s="49">
        <v>0.25</v>
      </c>
      <c r="H34" s="49">
        <v>0.19270699999999999</v>
      </c>
    </row>
    <row r="35" spans="1:8">
      <c r="A35" t="s">
        <v>1140</v>
      </c>
      <c r="B35" s="49">
        <v>6.8908800000000006E-2</v>
      </c>
      <c r="C35" s="49">
        <v>1.6479500000000001E-2</v>
      </c>
      <c r="D35" s="49">
        <v>0.239149</v>
      </c>
      <c r="E35" s="49">
        <v>0</v>
      </c>
      <c r="F35" s="49">
        <v>3.06155E-2</v>
      </c>
      <c r="G35" s="49">
        <v>0</v>
      </c>
      <c r="H35" s="49">
        <v>0.11110100000000001</v>
      </c>
    </row>
    <row r="36" spans="1:8">
      <c r="A36" t="s">
        <v>1141</v>
      </c>
      <c r="B36" s="49">
        <v>0.15307999999999999</v>
      </c>
      <c r="C36" s="49">
        <v>7.3654499999999998E-2</v>
      </c>
      <c r="D36" s="49">
        <v>0.48114899999999999</v>
      </c>
      <c r="E36" s="49">
        <v>0</v>
      </c>
      <c r="F36" s="49">
        <v>3.6919500000000001E-2</v>
      </c>
      <c r="G36" s="49">
        <v>0</v>
      </c>
      <c r="H36" s="49">
        <v>0.43572100000000002</v>
      </c>
    </row>
    <row r="37" spans="1:8">
      <c r="A37" t="s">
        <v>1142</v>
      </c>
      <c r="B37" s="49">
        <v>0.112523</v>
      </c>
      <c r="C37" s="49">
        <v>4.2233100000000003E-2</v>
      </c>
      <c r="D37" s="49">
        <v>0.37532700000000002</v>
      </c>
      <c r="E37" s="49">
        <v>0.1</v>
      </c>
      <c r="F37" s="49">
        <v>1.4204100000000001E-2</v>
      </c>
      <c r="G37" s="49">
        <v>0.5</v>
      </c>
      <c r="H37" s="49">
        <v>0.167903</v>
      </c>
    </row>
    <row r="38" spans="1:8">
      <c r="A38" t="s">
        <v>1143</v>
      </c>
      <c r="B38" s="49">
        <v>0</v>
      </c>
      <c r="C38" s="49">
        <v>82.366399999999999</v>
      </c>
      <c r="D38" s="49">
        <v>0</v>
      </c>
      <c r="E38" s="49">
        <v>0</v>
      </c>
      <c r="F38" s="49">
        <v>-260.59899999999999</v>
      </c>
      <c r="G38" s="49">
        <v>0</v>
      </c>
      <c r="H38" s="49">
        <v>238.696</v>
      </c>
    </row>
    <row r="39" spans="1:8">
      <c r="A39" t="s">
        <v>1144</v>
      </c>
      <c r="B39" s="49">
        <v>-1.6395599999999999</v>
      </c>
      <c r="C39" s="49">
        <v>3.2122799999999998</v>
      </c>
      <c r="D39" s="49">
        <v>-1.95923</v>
      </c>
      <c r="E39" s="49">
        <v>0</v>
      </c>
      <c r="F39" s="49">
        <v>-13.917400000000001</v>
      </c>
      <c r="G39" s="49">
        <v>0</v>
      </c>
      <c r="H39" s="49">
        <v>7.7896599999999996</v>
      </c>
    </row>
    <row r="40" spans="1:8">
      <c r="A40" t="s">
        <v>1145</v>
      </c>
      <c r="B40" s="49">
        <v>-0.63078000000000001</v>
      </c>
      <c r="C40" s="49">
        <v>24.5761</v>
      </c>
      <c r="D40" s="49">
        <v>-38.961399999999998</v>
      </c>
      <c r="E40" s="49">
        <v>0</v>
      </c>
      <c r="F40" s="49">
        <v>-10.9001</v>
      </c>
      <c r="G40" s="49">
        <v>0</v>
      </c>
      <c r="H40" s="49">
        <v>62.638500000000001</v>
      </c>
    </row>
    <row r="41" spans="1:8">
      <c r="A41" t="s">
        <v>1146</v>
      </c>
      <c r="B41" s="49">
        <v>0</v>
      </c>
      <c r="C41" s="49">
        <v>0.56465200000000004</v>
      </c>
      <c r="D41" s="49">
        <v>0</v>
      </c>
      <c r="E41" s="49">
        <v>0</v>
      </c>
      <c r="F41" s="49">
        <v>-1</v>
      </c>
      <c r="G41" s="49">
        <v>0</v>
      </c>
      <c r="H41" s="49">
        <v>1</v>
      </c>
    </row>
    <row r="42" spans="1:8">
      <c r="A42" t="s">
        <v>1147</v>
      </c>
      <c r="B42" s="49">
        <v>-4.9732100000000001E-2</v>
      </c>
      <c r="C42" s="49">
        <v>8.5283800000000007E-2</v>
      </c>
      <c r="D42" s="49">
        <v>-1.7148600000000001</v>
      </c>
      <c r="E42" s="49">
        <v>0</v>
      </c>
      <c r="F42" s="49">
        <v>-0.235428</v>
      </c>
      <c r="G42" s="49">
        <v>0</v>
      </c>
      <c r="H42" s="49">
        <v>0.189467</v>
      </c>
    </row>
    <row r="43" spans="1:8">
      <c r="A43" t="s">
        <v>1148</v>
      </c>
      <c r="B43" s="49">
        <v>-8.8053800000000002E-2</v>
      </c>
      <c r="C43" s="49">
        <v>0.411192</v>
      </c>
      <c r="D43" s="49">
        <v>-4.6697800000000003</v>
      </c>
      <c r="E43" s="49">
        <v>0</v>
      </c>
      <c r="F43" s="49">
        <v>-0.303975</v>
      </c>
      <c r="G43" s="49">
        <v>0</v>
      </c>
      <c r="H43" s="49">
        <v>0.96777299999999999</v>
      </c>
    </row>
    <row r="44" spans="1:8">
      <c r="A44" t="s">
        <v>1149</v>
      </c>
      <c r="B44" s="49">
        <v>-1.39375</v>
      </c>
      <c r="C44" s="49">
        <v>32.608899999999998</v>
      </c>
      <c r="D44" s="49">
        <v>-23.396599999999999</v>
      </c>
      <c r="E44" s="49">
        <v>0</v>
      </c>
      <c r="F44" s="49">
        <v>-68.476399999999998</v>
      </c>
      <c r="G44" s="49">
        <v>0</v>
      </c>
      <c r="H44" s="49">
        <v>62.631</v>
      </c>
    </row>
    <row r="45" spans="1:8">
      <c r="A45" t="s">
        <v>1150</v>
      </c>
      <c r="B45" s="49">
        <v>43.008600000000001</v>
      </c>
      <c r="C45" s="49">
        <v>5.9175500000000003</v>
      </c>
      <c r="D45" s="49">
        <v>0.13758999999999999</v>
      </c>
      <c r="E45" s="49">
        <v>0</v>
      </c>
      <c r="F45" s="49">
        <v>31.657800000000002</v>
      </c>
      <c r="G45" s="49">
        <v>0</v>
      </c>
      <c r="H45" s="49">
        <v>59.467799999999997</v>
      </c>
    </row>
    <row r="46" spans="1:8">
      <c r="A46" t="s">
        <v>1151</v>
      </c>
      <c r="B46" s="49">
        <v>23.694299999999998</v>
      </c>
      <c r="C46" s="49">
        <v>4.4265600000000003</v>
      </c>
      <c r="D46" s="49">
        <v>0.18682000000000001</v>
      </c>
      <c r="E46" s="49">
        <v>0</v>
      </c>
      <c r="F46" s="49">
        <v>14.583500000000001</v>
      </c>
      <c r="G46" s="49">
        <v>0</v>
      </c>
      <c r="H46" s="49">
        <v>28.090299999999999</v>
      </c>
    </row>
    <row r="47" spans="1:8">
      <c r="A47" t="s">
        <v>1152</v>
      </c>
      <c r="B47" s="49">
        <v>0.229189</v>
      </c>
      <c r="C47" s="49">
        <v>0.28050000000000003</v>
      </c>
      <c r="D47" s="49">
        <v>1.2238800000000001</v>
      </c>
      <c r="E47" s="49">
        <v>0</v>
      </c>
      <c r="F47" s="49">
        <v>9.05305E-2</v>
      </c>
      <c r="G47" s="49">
        <v>0</v>
      </c>
      <c r="H47" s="49">
        <v>1.3005100000000001</v>
      </c>
    </row>
    <row r="48" spans="1:8">
      <c r="A48" t="s">
        <v>1153</v>
      </c>
      <c r="B48" s="49">
        <v>0.3962</v>
      </c>
      <c r="C48" s="49">
        <v>0.50163500000000005</v>
      </c>
      <c r="D48" s="49">
        <v>1.2661100000000001</v>
      </c>
      <c r="E48" s="49">
        <v>0</v>
      </c>
      <c r="F48" s="49">
        <v>0.235708</v>
      </c>
      <c r="G48" s="49">
        <v>0</v>
      </c>
      <c r="H48" s="49">
        <v>1.71624</v>
      </c>
    </row>
    <row r="50" spans="1:4">
      <c r="A50" t="str">
        <f>lang!B7</f>
        <v>긍정감정</v>
      </c>
      <c r="B50" s="134">
        <f>SUM(B9:B12)</f>
        <v>214.46011999999996</v>
      </c>
      <c r="C50" s="134"/>
      <c r="D50" s="134">
        <f t="shared" ref="D50" si="0">SUM(D9:D12)</f>
        <v>130.3074</v>
      </c>
    </row>
    <row r="51" spans="1:4">
      <c r="A51" t="str">
        <f>lang!B8</f>
        <v>부정감정</v>
      </c>
      <c r="B51" s="134">
        <f>SUM(B5:B8)</f>
        <v>120.2273</v>
      </c>
      <c r="C51" s="134"/>
      <c r="D51" s="134">
        <f t="shared" ref="D51" si="1">SUM(D5:D8)</f>
        <v>78.613500000000002</v>
      </c>
    </row>
    <row r="52" spans="1:4">
      <c r="A52" t="str">
        <f>lang!B9</f>
        <v>생리감정</v>
      </c>
      <c r="B52" s="134">
        <f>SUM(B13:B14)</f>
        <v>27.147500000000001</v>
      </c>
      <c r="C52" s="134"/>
      <c r="D52" s="134">
        <f t="shared" ref="D52" si="2">SUM(D13:D14)</f>
        <v>44.611789999999999</v>
      </c>
    </row>
    <row r="53" spans="1:4">
      <c r="B53" s="50">
        <f>SUM(B50:B52)</f>
        <v>361.83491999999995</v>
      </c>
      <c r="D53" s="50">
        <f>SUM(D50:D52)</f>
        <v>253.53269</v>
      </c>
    </row>
    <row r="54" spans="1:4">
      <c r="A54" t="str">
        <f>lang!B7</f>
        <v>긍정감정</v>
      </c>
      <c r="B54" s="135">
        <f>IF(B$53&lt;&gt;0,B50/B$53,0)</f>
        <v>0.59270155572602001</v>
      </c>
      <c r="C54" s="135"/>
      <c r="D54" s="135">
        <f>IF(D$53&lt;&gt;0,D50/D$53,0)</f>
        <v>0.51396685768608374</v>
      </c>
    </row>
    <row r="55" spans="1:4">
      <c r="A55" t="str">
        <f>lang!B8</f>
        <v>부정감정</v>
      </c>
      <c r="B55" s="135">
        <f>IF(B$53&lt;&gt;0,B51/B$53,0)</f>
        <v>0.3322711362408029</v>
      </c>
      <c r="C55" s="135"/>
      <c r="D55" s="135">
        <f>IF(D$53&lt;&gt;0,D51/D$53,0)</f>
        <v>0.31007244075704793</v>
      </c>
    </row>
    <row r="56" spans="1:4">
      <c r="A56" t="str">
        <f>lang!B9</f>
        <v>생리감정</v>
      </c>
      <c r="B56" s="135">
        <f>IF(B$53&lt;&gt;0,B52/B$53,0)</f>
        <v>7.5027308033177129E-2</v>
      </c>
      <c r="C56" s="135"/>
      <c r="D56" s="135">
        <f>IF(D$53&lt;&gt;0,D52/D$53,0)</f>
        <v>0.17596070155686827</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2.0914700000000002</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1.1585799999999999</v>
      </c>
      <c r="B8" s="49">
        <v>1.1585799999999999</v>
      </c>
    </row>
    <row r="9" spans="1:3">
      <c r="A9" s="49">
        <v>0</v>
      </c>
      <c r="B9" s="49">
        <v>0</v>
      </c>
    </row>
    <row r="10" spans="1:3">
      <c r="A10" s="49">
        <v>1.30447</v>
      </c>
      <c r="B10" s="49">
        <v>1.30447</v>
      </c>
    </row>
    <row r="11" spans="1:3">
      <c r="A11" s="49">
        <v>0</v>
      </c>
      <c r="B11" s="49">
        <v>0</v>
      </c>
    </row>
    <row r="12" spans="1:3">
      <c r="A12" s="49">
        <v>0</v>
      </c>
      <c r="B12" s="49">
        <v>0</v>
      </c>
    </row>
    <row r="13" spans="1:3">
      <c r="A13" s="49">
        <v>1.55959</v>
      </c>
      <c r="B13" s="49">
        <v>1.55959</v>
      </c>
    </row>
    <row r="14" spans="1:3">
      <c r="A14" s="49">
        <v>0</v>
      </c>
      <c r="B14" s="49">
        <v>0</v>
      </c>
    </row>
    <row r="15" spans="1:3">
      <c r="A15" s="49">
        <v>2.0233500000000002</v>
      </c>
      <c r="B15" s="49">
        <v>2.0233500000000002</v>
      </c>
    </row>
    <row r="16" spans="1:3">
      <c r="A16" s="49">
        <v>0</v>
      </c>
      <c r="B16" s="49">
        <v>0</v>
      </c>
    </row>
    <row r="17" spans="1:2">
      <c r="A17" s="49">
        <v>0</v>
      </c>
      <c r="B17" s="49">
        <v>0</v>
      </c>
    </row>
    <row r="18" spans="1:2">
      <c r="A18" s="49">
        <v>2.0060899999999999</v>
      </c>
      <c r="B18" s="49">
        <v>2.0060899999999999</v>
      </c>
    </row>
    <row r="19" spans="1:2">
      <c r="A19" s="49">
        <v>0</v>
      </c>
      <c r="B19" s="49">
        <v>0</v>
      </c>
    </row>
    <row r="20" spans="1:2">
      <c r="A20" s="49">
        <v>0</v>
      </c>
      <c r="B20" s="49">
        <v>0</v>
      </c>
    </row>
    <row r="21" spans="1:2">
      <c r="A21" s="49">
        <v>1.8759399999999999</v>
      </c>
      <c r="B21" s="49">
        <v>1.8759399999999999</v>
      </c>
    </row>
    <row r="22" spans="1:2">
      <c r="A22" s="49">
        <v>0</v>
      </c>
      <c r="B22" s="49">
        <v>0</v>
      </c>
    </row>
    <row r="23" spans="1:2">
      <c r="A23" s="49">
        <v>1.61086</v>
      </c>
      <c r="B23" s="49">
        <v>1.61086</v>
      </c>
    </row>
    <row r="24" spans="1:2">
      <c r="A24" s="49">
        <v>0</v>
      </c>
      <c r="B24" s="49">
        <v>0</v>
      </c>
    </row>
    <row r="25" spans="1:2">
      <c r="A25" s="49">
        <v>0</v>
      </c>
      <c r="B25" s="49">
        <v>0</v>
      </c>
    </row>
    <row r="26" spans="1:2">
      <c r="A26" s="49">
        <v>1.52518</v>
      </c>
      <c r="B26" s="49">
        <v>1.52518</v>
      </c>
    </row>
    <row r="27" spans="1:2">
      <c r="A27" s="49">
        <v>0</v>
      </c>
      <c r="B27" s="49">
        <v>0</v>
      </c>
    </row>
    <row r="28" spans="1:2">
      <c r="A28" s="49">
        <v>1.6841600000000001</v>
      </c>
      <c r="B28" s="49">
        <v>1.6841600000000001</v>
      </c>
    </row>
    <row r="29" spans="1:2">
      <c r="A29" s="49">
        <v>0</v>
      </c>
      <c r="B29" s="49">
        <v>0</v>
      </c>
    </row>
    <row r="30" spans="1:2">
      <c r="A30" s="49">
        <v>0</v>
      </c>
      <c r="B30" s="49">
        <v>0</v>
      </c>
    </row>
    <row r="31" spans="1:2">
      <c r="A31" s="49">
        <v>1.7262900000000001</v>
      </c>
      <c r="B31" s="49">
        <v>1.7262900000000001</v>
      </c>
    </row>
    <row r="32" spans="1:2">
      <c r="A32" s="49">
        <v>0</v>
      </c>
      <c r="B32" s="49">
        <v>0</v>
      </c>
    </row>
    <row r="33" spans="1:2">
      <c r="A33" s="49">
        <v>1.5146200000000001</v>
      </c>
      <c r="B33" s="49">
        <v>1.5146200000000001</v>
      </c>
    </row>
    <row r="34" spans="1:2">
      <c r="A34" s="49">
        <v>0</v>
      </c>
      <c r="B34" s="49">
        <v>0</v>
      </c>
    </row>
    <row r="35" spans="1:2">
      <c r="A35" s="49">
        <v>0</v>
      </c>
      <c r="B35" s="49">
        <v>0</v>
      </c>
    </row>
    <row r="36" spans="1:2">
      <c r="A36" s="49">
        <v>1.71777</v>
      </c>
      <c r="B36" s="49">
        <v>1.71777</v>
      </c>
    </row>
    <row r="37" spans="1:2">
      <c r="A37" s="49">
        <v>0</v>
      </c>
      <c r="B37" s="49">
        <v>0</v>
      </c>
    </row>
    <row r="38" spans="1:2">
      <c r="A38" s="49">
        <v>0</v>
      </c>
      <c r="B38" s="49">
        <v>0</v>
      </c>
    </row>
    <row r="39" spans="1:2">
      <c r="A39" s="49">
        <v>1.8366499999999999</v>
      </c>
      <c r="B39" s="49">
        <v>1.8366499999999999</v>
      </c>
    </row>
    <row r="40" spans="1:2">
      <c r="A40" s="49">
        <v>0</v>
      </c>
      <c r="B40" s="49">
        <v>0</v>
      </c>
    </row>
    <row r="41" spans="1:2">
      <c r="A41" s="49">
        <v>1.91066</v>
      </c>
      <c r="B41" s="49">
        <v>1.91066</v>
      </c>
    </row>
    <row r="42" spans="1:2">
      <c r="A42" s="49">
        <v>0</v>
      </c>
      <c r="B42" s="49">
        <v>0</v>
      </c>
    </row>
    <row r="43" spans="1:2">
      <c r="A43" s="49">
        <v>0</v>
      </c>
      <c r="B43" s="49">
        <v>0</v>
      </c>
    </row>
    <row r="44" spans="1:2">
      <c r="A44" s="49">
        <v>1.95391</v>
      </c>
      <c r="B44" s="49">
        <v>1.95391</v>
      </c>
    </row>
    <row r="45" spans="1:2">
      <c r="A45" s="49">
        <v>0</v>
      </c>
      <c r="B45" s="49">
        <v>0</v>
      </c>
    </row>
    <row r="46" spans="1:2">
      <c r="A46" s="49">
        <v>1.7069000000000001</v>
      </c>
      <c r="B46" s="49">
        <v>1.7069000000000001</v>
      </c>
    </row>
    <row r="47" spans="1:2">
      <c r="A47" s="49">
        <v>0</v>
      </c>
      <c r="B47" s="49">
        <v>0</v>
      </c>
    </row>
    <row r="48" spans="1:2">
      <c r="A48" s="49">
        <v>0</v>
      </c>
      <c r="B48" s="49">
        <v>0</v>
      </c>
    </row>
    <row r="49" spans="1:2">
      <c r="A49" s="49">
        <v>1.6643699999999999</v>
      </c>
      <c r="B49" s="49">
        <v>1.6643699999999999</v>
      </c>
    </row>
    <row r="50" spans="1:2">
      <c r="A50" s="49">
        <v>0</v>
      </c>
      <c r="B50" s="49">
        <v>0</v>
      </c>
    </row>
    <row r="51" spans="1:2">
      <c r="A51" s="49">
        <v>1.80071</v>
      </c>
      <c r="B51" s="49">
        <v>1.80071</v>
      </c>
    </row>
    <row r="52" spans="1:2">
      <c r="A52" s="49">
        <v>0</v>
      </c>
      <c r="B52" s="49">
        <v>0</v>
      </c>
    </row>
    <row r="53" spans="1:2">
      <c r="A53" s="49">
        <v>0</v>
      </c>
      <c r="B53" s="49">
        <v>0</v>
      </c>
    </row>
    <row r="54" spans="1:2">
      <c r="A54" s="49">
        <v>2.0914700000000002</v>
      </c>
      <c r="B54" s="49">
        <v>2.0914700000000002</v>
      </c>
    </row>
    <row r="55" spans="1:2">
      <c r="A55" s="49">
        <v>0</v>
      </c>
      <c r="B55" s="49">
        <v>0</v>
      </c>
    </row>
    <row r="56" spans="1:2">
      <c r="A56" s="49">
        <v>0</v>
      </c>
      <c r="B56" s="49">
        <v>0</v>
      </c>
    </row>
    <row r="57" spans="1:2">
      <c r="A57" s="49">
        <v>1.8601000000000001</v>
      </c>
      <c r="B57" s="49">
        <v>1.8601000000000001</v>
      </c>
    </row>
    <row r="58" spans="1:2">
      <c r="A58" s="49">
        <v>0</v>
      </c>
      <c r="B58" s="49">
        <v>0</v>
      </c>
    </row>
    <row r="59" spans="1:2">
      <c r="A59" s="49">
        <v>1.7893399999999999</v>
      </c>
      <c r="B59" s="49">
        <v>1.7893399999999999</v>
      </c>
    </row>
    <row r="60" spans="1:2">
      <c r="A60" s="49">
        <v>0</v>
      </c>
      <c r="B60" s="49">
        <v>0</v>
      </c>
    </row>
    <row r="61" spans="1:2">
      <c r="A61" s="49">
        <v>0</v>
      </c>
      <c r="B61" s="49">
        <v>0</v>
      </c>
    </row>
    <row r="62" spans="1:2">
      <c r="A62" s="49">
        <v>1.97421</v>
      </c>
      <c r="B62" s="49">
        <v>1.97421</v>
      </c>
    </row>
    <row r="63" spans="1:2">
      <c r="A63" s="49">
        <v>0</v>
      </c>
      <c r="B63" s="49">
        <v>0</v>
      </c>
    </row>
    <row r="64" spans="1:2">
      <c r="A64" s="49">
        <v>2.00183</v>
      </c>
      <c r="B64" s="49">
        <v>2.00183</v>
      </c>
    </row>
    <row r="65" spans="1:2">
      <c r="A65" s="49">
        <v>0</v>
      </c>
      <c r="B65" s="49">
        <v>0</v>
      </c>
    </row>
    <row r="66" spans="1:2">
      <c r="A66" s="49">
        <v>0</v>
      </c>
      <c r="B66" s="49">
        <v>0</v>
      </c>
    </row>
    <row r="67" spans="1:2">
      <c r="A67" s="49">
        <v>1.7089300000000001</v>
      </c>
      <c r="B67" s="49">
        <v>1.7089300000000001</v>
      </c>
    </row>
    <row r="68" spans="1:2">
      <c r="A68" s="49">
        <v>0</v>
      </c>
      <c r="B68" s="49">
        <v>0</v>
      </c>
    </row>
    <row r="69" spans="1:2">
      <c r="A69" s="49">
        <v>1.71665</v>
      </c>
      <c r="B69" s="49">
        <v>1.71665</v>
      </c>
    </row>
    <row r="70" spans="1:2">
      <c r="A70" s="49">
        <v>0</v>
      </c>
      <c r="B70" s="49">
        <v>0</v>
      </c>
    </row>
    <row r="71" spans="1:2">
      <c r="A71" s="49">
        <v>0</v>
      </c>
      <c r="B71" s="49">
        <v>0</v>
      </c>
    </row>
    <row r="72" spans="1:2">
      <c r="A72" s="49">
        <v>1.4535</v>
      </c>
      <c r="B72" s="49">
        <v>1.4535</v>
      </c>
    </row>
    <row r="73" spans="1:2">
      <c r="A73" s="49">
        <v>0</v>
      </c>
      <c r="B73" s="49">
        <v>0</v>
      </c>
    </row>
    <row r="74" spans="1:2">
      <c r="A74" s="49">
        <v>0</v>
      </c>
      <c r="B74" s="49">
        <v>0</v>
      </c>
    </row>
    <row r="75" spans="1:2">
      <c r="A75" s="49">
        <v>1.41381</v>
      </c>
      <c r="B75" s="49">
        <v>1.41381</v>
      </c>
    </row>
    <row r="76" spans="1:2">
      <c r="A76" s="49">
        <v>0</v>
      </c>
      <c r="B76" s="49">
        <v>0</v>
      </c>
    </row>
    <row r="77" spans="1:2">
      <c r="A77" s="49">
        <v>1.2047699999999999</v>
      </c>
      <c r="B77" s="49">
        <v>1.2047699999999999</v>
      </c>
    </row>
    <row r="78" spans="1:2">
      <c r="A78" s="49">
        <v>0</v>
      </c>
      <c r="B78" s="49">
        <v>0</v>
      </c>
    </row>
    <row r="79" spans="1:2">
      <c r="A79" s="49">
        <v>0</v>
      </c>
      <c r="B79" s="49">
        <v>0</v>
      </c>
    </row>
    <row r="80" spans="1:2">
      <c r="A80" s="49">
        <v>1.14954</v>
      </c>
      <c r="B80" s="49">
        <v>1.14954</v>
      </c>
    </row>
    <row r="81" spans="1:2">
      <c r="A81" s="49">
        <v>0</v>
      </c>
      <c r="B81" s="49">
        <v>0</v>
      </c>
    </row>
    <row r="82" spans="1:2">
      <c r="A82" s="49">
        <v>0.95522799999999997</v>
      </c>
      <c r="B82" s="49">
        <v>0.95522799999999997</v>
      </c>
    </row>
    <row r="83" spans="1:2">
      <c r="A83" s="49">
        <v>0</v>
      </c>
      <c r="B83" s="49">
        <v>0</v>
      </c>
    </row>
    <row r="84" spans="1:2">
      <c r="A84" s="49">
        <v>0</v>
      </c>
      <c r="B84" s="49">
        <v>0</v>
      </c>
    </row>
    <row r="85" spans="1:2">
      <c r="A85" s="49">
        <v>0.81624399999999997</v>
      </c>
      <c r="B85" s="49">
        <v>0.81624399999999997</v>
      </c>
    </row>
    <row r="86" spans="1:2">
      <c r="A86" s="49">
        <v>0</v>
      </c>
      <c r="B86" s="49">
        <v>0</v>
      </c>
    </row>
    <row r="87" spans="1:2">
      <c r="A87" s="49">
        <v>0</v>
      </c>
      <c r="B87" s="49">
        <v>0</v>
      </c>
    </row>
    <row r="88" spans="1:2">
      <c r="A88" s="49">
        <v>0.50731000000000004</v>
      </c>
      <c r="B88" s="49">
        <v>0.50731000000000004</v>
      </c>
    </row>
    <row r="89" spans="1:2">
      <c r="A89" s="49">
        <v>0</v>
      </c>
      <c r="B89" s="49">
        <v>0</v>
      </c>
    </row>
    <row r="90" spans="1:2">
      <c r="A90" s="49">
        <v>0.545381</v>
      </c>
      <c r="B90" s="49">
        <v>0.545381</v>
      </c>
    </row>
    <row r="91" spans="1:2">
      <c r="A91" s="49">
        <v>0</v>
      </c>
      <c r="B91" s="49">
        <v>0</v>
      </c>
    </row>
    <row r="92" spans="1:2">
      <c r="A92" s="49">
        <v>0</v>
      </c>
      <c r="B92" s="49">
        <v>0</v>
      </c>
    </row>
    <row r="93" spans="1:2">
      <c r="A93" s="49">
        <v>0.51411200000000001</v>
      </c>
      <c r="B93" s="49">
        <v>0.51411200000000001</v>
      </c>
    </row>
    <row r="94" spans="1:2">
      <c r="A94" s="49">
        <v>0</v>
      </c>
      <c r="B94" s="49">
        <v>0</v>
      </c>
    </row>
    <row r="95" spans="1:2">
      <c r="A95" s="49">
        <v>0.33258900000000002</v>
      </c>
      <c r="B95" s="49">
        <v>0.33258900000000002</v>
      </c>
    </row>
    <row r="96" spans="1:2">
      <c r="A96" s="49">
        <v>0</v>
      </c>
      <c r="B96" s="49">
        <v>0</v>
      </c>
    </row>
    <row r="97" spans="1:2">
      <c r="A97" s="49">
        <v>0</v>
      </c>
      <c r="B97" s="49">
        <v>0</v>
      </c>
    </row>
    <row r="98" spans="1:2">
      <c r="A98" s="49">
        <v>0.24132000000000001</v>
      </c>
      <c r="B98" s="49">
        <v>0.24132000000000001</v>
      </c>
    </row>
    <row r="99" spans="1:2">
      <c r="A99" s="49">
        <v>0</v>
      </c>
      <c r="B99" s="49">
        <v>0</v>
      </c>
    </row>
    <row r="100" spans="1:2">
      <c r="A100" s="49">
        <v>0.28436499999999998</v>
      </c>
      <c r="B100" s="49">
        <v>0.28436499999999998</v>
      </c>
    </row>
    <row r="101" spans="1:2">
      <c r="A101" s="49">
        <v>0</v>
      </c>
      <c r="B101" s="49">
        <v>0</v>
      </c>
    </row>
    <row r="102" spans="1:2">
      <c r="A102" s="49">
        <v>0</v>
      </c>
      <c r="B102" s="49">
        <v>0</v>
      </c>
    </row>
    <row r="103" spans="1:2">
      <c r="A103" s="49">
        <v>0.21126900000000001</v>
      </c>
      <c r="B103" s="49">
        <v>0.21126900000000001</v>
      </c>
    </row>
    <row r="104" spans="1:2">
      <c r="A104" s="49">
        <v>0</v>
      </c>
      <c r="B104" s="49">
        <v>0</v>
      </c>
    </row>
    <row r="105" spans="1:2">
      <c r="A105" s="49">
        <v>0</v>
      </c>
      <c r="B105" s="49">
        <v>0</v>
      </c>
    </row>
    <row r="106" spans="1:2">
      <c r="A106" s="49">
        <v>0.17289299999999999</v>
      </c>
      <c r="B106" s="49">
        <v>0.17289299999999999</v>
      </c>
    </row>
    <row r="107" spans="1:2">
      <c r="A107" s="49">
        <v>0</v>
      </c>
      <c r="B107" s="49">
        <v>0</v>
      </c>
    </row>
    <row r="108" spans="1:2">
      <c r="A108" s="49">
        <v>0.21390899999999999</v>
      </c>
      <c r="B108" s="49">
        <v>0.21390899999999999</v>
      </c>
    </row>
    <row r="109" spans="1:2">
      <c r="A109" s="49">
        <v>0</v>
      </c>
      <c r="B109" s="49">
        <v>0</v>
      </c>
    </row>
    <row r="110" spans="1:2">
      <c r="A110" s="49">
        <v>0</v>
      </c>
      <c r="B110" s="49">
        <v>0</v>
      </c>
    </row>
    <row r="111" spans="1:2">
      <c r="A111" s="49">
        <v>0.136244</v>
      </c>
      <c r="B111" s="49">
        <v>0.136244</v>
      </c>
    </row>
    <row r="112" spans="1:2">
      <c r="A112" s="49">
        <v>0</v>
      </c>
      <c r="B112" s="49">
        <v>0</v>
      </c>
    </row>
    <row r="113" spans="1:2">
      <c r="A113" s="49">
        <v>0.108223</v>
      </c>
      <c r="B113" s="49">
        <v>0.108223</v>
      </c>
    </row>
    <row r="114" spans="1:2">
      <c r="A114" s="49">
        <v>0</v>
      </c>
      <c r="B114" s="49">
        <v>0</v>
      </c>
    </row>
    <row r="115" spans="1:2">
      <c r="A115" s="49">
        <v>0</v>
      </c>
      <c r="B115" s="49">
        <v>0</v>
      </c>
    </row>
    <row r="116" spans="1:2">
      <c r="A116" s="49">
        <v>8.4060899999999994E-2</v>
      </c>
      <c r="B116" s="49">
        <v>8.4060899999999994E-2</v>
      </c>
    </row>
    <row r="117" spans="1:2">
      <c r="A117" s="49">
        <v>0</v>
      </c>
      <c r="B117" s="49">
        <v>0</v>
      </c>
    </row>
    <row r="118" spans="1:2">
      <c r="A118" s="49">
        <v>0.12253799999999999</v>
      </c>
      <c r="B118" s="49">
        <v>0.12253799999999999</v>
      </c>
    </row>
    <row r="119" spans="1:2">
      <c r="A119" s="49">
        <v>0</v>
      </c>
      <c r="B119" s="49">
        <v>0</v>
      </c>
    </row>
    <row r="120" spans="1:2">
      <c r="A120" s="49">
        <v>0</v>
      </c>
      <c r="B120" s="49">
        <v>0</v>
      </c>
    </row>
    <row r="121" spans="1:2">
      <c r="A121" s="49">
        <v>9.1979699999999998E-2</v>
      </c>
      <c r="B121" s="49">
        <v>9.1979699999999998E-2</v>
      </c>
    </row>
    <row r="122" spans="1:2">
      <c r="A122" s="49">
        <v>0</v>
      </c>
      <c r="B122" s="49">
        <v>0</v>
      </c>
    </row>
    <row r="123" spans="1:2">
      <c r="A123" s="49">
        <v>0</v>
      </c>
      <c r="B123" s="49">
        <v>0</v>
      </c>
    </row>
    <row r="124" spans="1:2">
      <c r="A124" s="49">
        <v>5.8883199999999997E-2</v>
      </c>
      <c r="B124" s="49">
        <v>5.8883199999999997E-2</v>
      </c>
    </row>
    <row r="125" spans="1:2">
      <c r="A125" s="49">
        <v>0</v>
      </c>
      <c r="B125" s="49">
        <v>0</v>
      </c>
    </row>
    <row r="126" spans="1:2">
      <c r="A126" s="49">
        <v>6.7106600000000002E-2</v>
      </c>
      <c r="B126" s="49">
        <v>6.7106600000000002E-2</v>
      </c>
    </row>
    <row r="127" spans="1:2">
      <c r="A127" s="49">
        <v>0</v>
      </c>
      <c r="B127" s="49">
        <v>0</v>
      </c>
    </row>
    <row r="128" spans="1:2">
      <c r="A128" s="49">
        <v>0</v>
      </c>
      <c r="B128" s="49">
        <v>0</v>
      </c>
    </row>
    <row r="129" spans="1:2">
      <c r="A129" s="49">
        <v>0.103046</v>
      </c>
      <c r="B129" s="49">
        <v>0.103046</v>
      </c>
    </row>
    <row r="130" spans="1:2">
      <c r="A130" s="49">
        <v>0</v>
      </c>
      <c r="B130" s="49">
        <v>0</v>
      </c>
    </row>
    <row r="131" spans="1:2">
      <c r="A131" s="49">
        <v>6.0710699999999999E-2</v>
      </c>
      <c r="B131" s="49">
        <v>6.0710699999999999E-2</v>
      </c>
    </row>
    <row r="132" spans="1:2">
      <c r="A132" s="49">
        <v>0</v>
      </c>
      <c r="B132" s="49">
        <v>0</v>
      </c>
    </row>
    <row r="133" spans="1:2">
      <c r="A133" s="49">
        <v>0</v>
      </c>
      <c r="B133" s="49">
        <v>0</v>
      </c>
    </row>
    <row r="134" spans="1:2">
      <c r="A134" s="49">
        <v>4.82234E-2</v>
      </c>
      <c r="B134" s="49">
        <v>4.82234E-2</v>
      </c>
    </row>
    <row r="135" spans="1:2">
      <c r="A135" s="49">
        <v>0</v>
      </c>
      <c r="B135" s="49">
        <v>0</v>
      </c>
    </row>
    <row r="136" spans="1:2">
      <c r="A136" s="49">
        <v>1.9695399999999998E-2</v>
      </c>
      <c r="B136" s="49">
        <v>1.9695399999999998E-2</v>
      </c>
    </row>
    <row r="137" spans="1:2">
      <c r="A137" s="49">
        <v>0</v>
      </c>
      <c r="B137" s="49">
        <v>0</v>
      </c>
    </row>
    <row r="138" spans="1:2">
      <c r="A138" s="49">
        <v>0</v>
      </c>
      <c r="B138" s="49">
        <v>0</v>
      </c>
    </row>
    <row r="139" spans="1:2">
      <c r="A139" s="49">
        <v>1.7969499999999999E-2</v>
      </c>
      <c r="B139" s="49">
        <v>1.7969499999999999E-2</v>
      </c>
    </row>
    <row r="140" spans="1:2">
      <c r="A140" s="49">
        <v>0</v>
      </c>
      <c r="B140" s="49">
        <v>0</v>
      </c>
    </row>
    <row r="141" spans="1:2">
      <c r="A141" s="49">
        <v>0</v>
      </c>
      <c r="B141" s="49">
        <v>0</v>
      </c>
    </row>
    <row r="142" spans="1:2">
      <c r="A142" s="49">
        <v>2.63959E-2</v>
      </c>
      <c r="B142" s="49">
        <v>2.63959E-2</v>
      </c>
    </row>
    <row r="143" spans="1:2">
      <c r="A143" s="49">
        <v>0</v>
      </c>
      <c r="B143" s="49">
        <v>0</v>
      </c>
    </row>
    <row r="144" spans="1:2">
      <c r="A144" s="49">
        <v>4.2639599999999998E-3</v>
      </c>
      <c r="B144" s="49">
        <v>4.2639599999999998E-3</v>
      </c>
    </row>
    <row r="145" spans="1:2">
      <c r="A145" s="49">
        <v>0</v>
      </c>
      <c r="B145" s="49">
        <v>0</v>
      </c>
    </row>
    <row r="146" spans="1:2">
      <c r="A146" s="49">
        <v>0</v>
      </c>
      <c r="B146" s="49">
        <v>0</v>
      </c>
    </row>
    <row r="147" spans="1:2">
      <c r="A147" s="49">
        <v>0</v>
      </c>
      <c r="B147" s="49">
        <v>0</v>
      </c>
    </row>
    <row r="148" spans="1:2">
      <c r="A148" s="49">
        <v>0</v>
      </c>
      <c r="B148" s="49">
        <v>0</v>
      </c>
    </row>
    <row r="149" spans="1:2">
      <c r="A149" s="49">
        <v>0</v>
      </c>
      <c r="B149" s="49">
        <v>0</v>
      </c>
    </row>
    <row r="150" spans="1:2">
      <c r="A150" s="49">
        <v>0</v>
      </c>
      <c r="B150" s="49">
        <v>0</v>
      </c>
    </row>
    <row r="151" spans="1:2">
      <c r="A151" s="49">
        <v>0</v>
      </c>
      <c r="B151" s="49">
        <v>0</v>
      </c>
    </row>
    <row r="152" spans="1:2">
      <c r="A152" s="49">
        <v>0</v>
      </c>
      <c r="B152" s="49">
        <v>0</v>
      </c>
    </row>
    <row r="153" spans="1:2">
      <c r="A153" s="49">
        <v>0</v>
      </c>
      <c r="B153" s="49">
        <v>0</v>
      </c>
    </row>
    <row r="154" spans="1:2">
      <c r="A154" s="49">
        <v>0</v>
      </c>
      <c r="B154" s="49">
        <v>0</v>
      </c>
    </row>
    <row r="155" spans="1:2">
      <c r="A155" s="49">
        <v>0</v>
      </c>
      <c r="B155" s="49">
        <v>0</v>
      </c>
    </row>
    <row r="156" spans="1:2">
      <c r="A156" s="49">
        <v>0</v>
      </c>
      <c r="B156" s="49">
        <v>0</v>
      </c>
    </row>
    <row r="157" spans="1:2">
      <c r="A157" s="49">
        <v>0</v>
      </c>
      <c r="B157" s="49">
        <v>0</v>
      </c>
    </row>
    <row r="158" spans="1:2">
      <c r="A158" s="49">
        <v>0</v>
      </c>
      <c r="B158" s="49">
        <v>0</v>
      </c>
    </row>
    <row r="159" spans="1:2">
      <c r="A159" s="49">
        <v>0</v>
      </c>
      <c r="B159" s="49">
        <v>0</v>
      </c>
    </row>
    <row r="160" spans="1:2">
      <c r="A160" s="49">
        <v>0</v>
      </c>
      <c r="B160" s="49">
        <v>0</v>
      </c>
    </row>
    <row r="161" spans="1:2">
      <c r="A161" s="49">
        <v>0</v>
      </c>
      <c r="B161" s="49">
        <v>0</v>
      </c>
    </row>
    <row r="162" spans="1:2">
      <c r="A162" s="49">
        <v>0</v>
      </c>
      <c r="B162" s="49">
        <v>0</v>
      </c>
    </row>
    <row r="163" spans="1:2">
      <c r="A163" s="49">
        <v>0</v>
      </c>
      <c r="B163" s="49">
        <v>0</v>
      </c>
    </row>
    <row r="164" spans="1:2">
      <c r="A164" s="49">
        <v>0</v>
      </c>
      <c r="B164" s="49">
        <v>0</v>
      </c>
    </row>
    <row r="165" spans="1:2">
      <c r="A165" s="49">
        <v>0</v>
      </c>
      <c r="B165" s="49">
        <v>0</v>
      </c>
    </row>
    <row r="166" spans="1:2">
      <c r="A166" s="49">
        <v>0</v>
      </c>
      <c r="B166" s="49">
        <v>0</v>
      </c>
    </row>
    <row r="167" spans="1:2">
      <c r="A167" s="49">
        <v>0</v>
      </c>
      <c r="B167" s="49">
        <v>0</v>
      </c>
    </row>
    <row r="168" spans="1:2">
      <c r="A168" s="49">
        <v>0</v>
      </c>
      <c r="B168" s="49">
        <v>0</v>
      </c>
    </row>
    <row r="169" spans="1:2">
      <c r="A169" s="49">
        <v>0</v>
      </c>
      <c r="B169" s="49">
        <v>0</v>
      </c>
    </row>
    <row r="170" spans="1:2">
      <c r="A170" s="49">
        <v>0</v>
      </c>
      <c r="B170" s="49">
        <v>0</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0.25600400000000001</v>
      </c>
      <c r="B2" s="49">
        <v>0.69731200000000004</v>
      </c>
      <c r="C2">
        <v>0</v>
      </c>
      <c r="D2">
        <v>0</v>
      </c>
      <c r="E2" t="s">
        <v>1161</v>
      </c>
      <c r="F2" s="49">
        <f>IF(A2&lt;&gt;"",1,"")</f>
        <v>1</v>
      </c>
      <c r="G2">
        <f>IF($H8&gt;0,LOOKUP(COUNT(A2:A1000)*$H8,F2:F1000,A2:A1000),LOOKUP(1,F2:F1000,A2:A1000))</f>
        <v>0.25175999999999998</v>
      </c>
      <c r="H2">
        <f>IF($H8&gt;0,LOOKUP(COUNT(B2:B1000)*$H8,F2:F1000,B2:B1000),LOOKUP(1,F2:F1000,B2:B1000))</f>
        <v>0.66912899999999997</v>
      </c>
      <c r="J2" s="49">
        <f>IF(A2&lt;&gt;"",A2*10,"")</f>
        <v>2.5600399999999999</v>
      </c>
      <c r="K2" s="49">
        <f>IF(B2&lt;&gt;"",B2*100,"")</f>
        <v>69.731200000000001</v>
      </c>
      <c r="L2" s="49">
        <f>IF(F2&lt;&gt;"",IF(K2&lt;&gt;0,K2/J2,0),"")</f>
        <v>27.238324401181234</v>
      </c>
    </row>
    <row r="3" spans="1:12">
      <c r="A3" s="49">
        <v>0.25489600000000001</v>
      </c>
      <c r="B3" s="49">
        <v>0.69669999999999999</v>
      </c>
      <c r="C3">
        <v>0.41466999999999998</v>
      </c>
      <c r="D3">
        <v>0</v>
      </c>
      <c r="E3" t="s">
        <v>2560</v>
      </c>
      <c r="F3" s="49">
        <f>IF(A3&lt;&gt;"",F2+1,"")</f>
        <v>2</v>
      </c>
      <c r="G3">
        <f>IF($H9&gt;0,LOOKUP(COUNT(A2:A1000)*$H9,F2:F1000,A2:A1000),LOOKUP(1,F2:F1000,A2:A1000))</f>
        <v>0.171267</v>
      </c>
      <c r="H3">
        <f>IF($H9&gt;0,LOOKUP(COUNT(B2:B1000)*$H9,F2:F1000,B2:B1000),LOOKUP(1,F2:F1000,B2:B1000))</f>
        <v>0.52195400000000003</v>
      </c>
      <c r="J3" s="49">
        <f t="shared" ref="J3:J66" si="0">IF(A3&lt;&gt;"",A3*10,"")</f>
        <v>2.5489600000000001</v>
      </c>
      <c r="K3" s="49">
        <f t="shared" ref="K3:K66" si="1">IF(B3&lt;&gt;"",B3*100,"")</f>
        <v>69.67</v>
      </c>
      <c r="L3" s="49">
        <f t="shared" ref="L3:L66" si="2">IF(F3&lt;&gt;"",IF(K3&lt;&gt;0,K3/J3,0),"")</f>
        <v>27.332716088130059</v>
      </c>
    </row>
    <row r="4" spans="1:12">
      <c r="A4" s="49">
        <v>0.25406400000000001</v>
      </c>
      <c r="B4" s="49">
        <v>0.69454400000000005</v>
      </c>
      <c r="C4">
        <v>0.797207</v>
      </c>
      <c r="D4">
        <v>0</v>
      </c>
      <c r="E4" t="s">
        <v>2561</v>
      </c>
      <c r="F4" s="49">
        <f t="shared" ref="F4:F67" si="3">IF(A4&lt;&gt;"",F3+1,"")</f>
        <v>3</v>
      </c>
      <c r="G4" s="71" t="s">
        <v>209</v>
      </c>
      <c r="H4" s="23">
        <f>IF(ISERROR(G3-G2)=FALSE,(G3-G2)*10,0)</f>
        <v>-0.80492999999999981</v>
      </c>
      <c r="J4" s="49">
        <f t="shared" si="0"/>
        <v>2.5406400000000002</v>
      </c>
      <c r="K4" s="49">
        <f t="shared" si="1"/>
        <v>69.454400000000007</v>
      </c>
      <c r="L4" s="49">
        <f t="shared" si="2"/>
        <v>27.337363813842181</v>
      </c>
    </row>
    <row r="5" spans="1:12">
      <c r="A5" s="49">
        <v>0.25351800000000002</v>
      </c>
      <c r="B5" s="49">
        <v>0.69144300000000003</v>
      </c>
      <c r="C5">
        <v>1.2016</v>
      </c>
      <c r="D5">
        <v>0</v>
      </c>
      <c r="E5" t="s">
        <v>2562</v>
      </c>
      <c r="F5" s="49">
        <f t="shared" si="3"/>
        <v>4</v>
      </c>
      <c r="G5" s="71" t="s">
        <v>210</v>
      </c>
      <c r="H5" s="23">
        <f>IF(ISERROR(H3-H2)=FALSE,H3-H2,0)</f>
        <v>-0.14717499999999994</v>
      </c>
      <c r="J5" s="49">
        <f t="shared" si="0"/>
        <v>2.5351800000000004</v>
      </c>
      <c r="K5" s="49">
        <f t="shared" si="1"/>
        <v>69.144300000000001</v>
      </c>
      <c r="L5" s="49">
        <f t="shared" si="2"/>
        <v>27.273921378363664</v>
      </c>
    </row>
    <row r="6" spans="1:12">
      <c r="A6" s="49">
        <v>0.253193</v>
      </c>
      <c r="B6" s="49">
        <v>0.68778399999999995</v>
      </c>
      <c r="C6">
        <v>1.61093</v>
      </c>
      <c r="D6">
        <v>0</v>
      </c>
      <c r="E6" t="s">
        <v>2563</v>
      </c>
      <c r="F6" s="49">
        <f t="shared" si="3"/>
        <v>5</v>
      </c>
      <c r="G6" s="71" t="s">
        <v>211</v>
      </c>
      <c r="H6" s="23">
        <f>IF(H4&lt;&gt;0,H5/H4,0)</f>
        <v>0.18284198625967474</v>
      </c>
      <c r="J6" s="49">
        <f t="shared" si="0"/>
        <v>2.53193</v>
      </c>
      <c r="K6" s="49">
        <f t="shared" si="1"/>
        <v>68.778399999999991</v>
      </c>
      <c r="L6" s="49">
        <f t="shared" si="2"/>
        <v>27.164416077853648</v>
      </c>
    </row>
    <row r="7" spans="1:12">
      <c r="A7" s="49">
        <v>0.25286999999999998</v>
      </c>
      <c r="B7" s="49">
        <v>0.68365699999999996</v>
      </c>
      <c r="C7">
        <v>2.0187200000000001</v>
      </c>
      <c r="D7">
        <v>0</v>
      </c>
      <c r="E7" t="s">
        <v>2564</v>
      </c>
      <c r="F7" s="49">
        <f t="shared" si="3"/>
        <v>6</v>
      </c>
      <c r="G7" s="71" t="s">
        <v>212</v>
      </c>
      <c r="H7" s="23">
        <f>DEGREES(ATAN(H6))</f>
        <v>10.361618784393849</v>
      </c>
      <c r="J7" s="49">
        <f t="shared" si="0"/>
        <v>2.5286999999999997</v>
      </c>
      <c r="K7" s="49">
        <f t="shared" si="1"/>
        <v>68.36569999999999</v>
      </c>
      <c r="L7" s="49">
        <f t="shared" si="2"/>
        <v>27.035907778700516</v>
      </c>
    </row>
    <row r="8" spans="1:12">
      <c r="A8" s="49">
        <v>0.25252599999999997</v>
      </c>
      <c r="B8" s="49">
        <v>0.67924499999999999</v>
      </c>
      <c r="C8">
        <v>2.4253100000000001</v>
      </c>
      <c r="D8">
        <v>0</v>
      </c>
      <c r="E8" t="s">
        <v>2565</v>
      </c>
      <c r="F8" s="49">
        <f t="shared" si="3"/>
        <v>7</v>
      </c>
      <c r="G8" s="71" t="s">
        <v>213</v>
      </c>
      <c r="H8" s="72">
        <v>0.1</v>
      </c>
      <c r="J8" s="49">
        <f t="shared" si="0"/>
        <v>2.5252599999999998</v>
      </c>
      <c r="K8" s="49">
        <f t="shared" si="1"/>
        <v>67.924499999999995</v>
      </c>
      <c r="L8" s="49">
        <f t="shared" si="2"/>
        <v>26.89802238185375</v>
      </c>
    </row>
    <row r="9" spans="1:12">
      <c r="A9" s="49">
        <v>0.25215599999999999</v>
      </c>
      <c r="B9" s="49">
        <v>0.67441200000000001</v>
      </c>
      <c r="C9">
        <v>2.8383099999999999</v>
      </c>
      <c r="D9">
        <v>0</v>
      </c>
      <c r="E9" t="s">
        <v>2566</v>
      </c>
      <c r="F9" s="49">
        <f t="shared" si="3"/>
        <v>8</v>
      </c>
      <c r="G9" s="71" t="s">
        <v>214</v>
      </c>
      <c r="H9" s="72">
        <v>0.9</v>
      </c>
      <c r="J9" s="49">
        <f t="shared" si="0"/>
        <v>2.52156</v>
      </c>
      <c r="K9" s="49">
        <f t="shared" si="1"/>
        <v>67.441199999999995</v>
      </c>
      <c r="L9" s="49">
        <f t="shared" si="2"/>
        <v>26.7458240137058</v>
      </c>
    </row>
    <row r="10" spans="1:12">
      <c r="A10" s="49">
        <v>0.25175999999999998</v>
      </c>
      <c r="B10" s="49">
        <v>0.66912899999999997</v>
      </c>
      <c r="C10">
        <v>3.2371400000000001</v>
      </c>
      <c r="D10">
        <v>0</v>
      </c>
      <c r="E10" t="s">
        <v>2567</v>
      </c>
      <c r="F10" s="49">
        <f t="shared" si="3"/>
        <v>9</v>
      </c>
      <c r="G10" t="s">
        <v>215</v>
      </c>
      <c r="J10" s="49">
        <f t="shared" si="0"/>
        <v>2.5175999999999998</v>
      </c>
      <c r="K10" s="49">
        <f t="shared" si="1"/>
        <v>66.912899999999993</v>
      </c>
      <c r="L10" s="49">
        <f t="shared" si="2"/>
        <v>26.578050524308864</v>
      </c>
    </row>
    <row r="11" spans="1:12">
      <c r="A11" s="49">
        <v>0.25121199999999999</v>
      </c>
      <c r="B11" s="49">
        <v>0.663609</v>
      </c>
      <c r="C11">
        <v>3.6507299999999998</v>
      </c>
      <c r="D11">
        <v>0</v>
      </c>
      <c r="E11" t="s">
        <v>2568</v>
      </c>
      <c r="F11" s="49">
        <f t="shared" si="3"/>
        <v>10</v>
      </c>
      <c r="G11" s="71" t="s">
        <v>216</v>
      </c>
      <c r="H11" s="73">
        <f>MIN(B2:B1000)</f>
        <v>0.48975600000000002</v>
      </c>
      <c r="J11" s="49">
        <f t="shared" si="0"/>
        <v>2.5121199999999999</v>
      </c>
      <c r="K11" s="49">
        <f t="shared" si="1"/>
        <v>66.360900000000001</v>
      </c>
      <c r="L11" s="49">
        <f t="shared" si="2"/>
        <v>26.416293807620658</v>
      </c>
    </row>
    <row r="12" spans="1:12">
      <c r="A12" s="49">
        <v>0.25028600000000001</v>
      </c>
      <c r="B12" s="49">
        <v>0.65812199999999998</v>
      </c>
      <c r="C12">
        <v>4.0500100000000003</v>
      </c>
      <c r="D12">
        <v>0</v>
      </c>
      <c r="E12" t="s">
        <v>2569</v>
      </c>
      <c r="F12" s="49">
        <f t="shared" si="3"/>
        <v>11</v>
      </c>
      <c r="G12" s="71" t="s">
        <v>218</v>
      </c>
      <c r="H12" s="73">
        <f>MAX(B2:B1000)</f>
        <v>0.69731200000000004</v>
      </c>
      <c r="J12" s="49">
        <f t="shared" si="0"/>
        <v>2.5028600000000001</v>
      </c>
      <c r="K12" s="49">
        <f t="shared" si="1"/>
        <v>65.812200000000004</v>
      </c>
      <c r="L12" s="49">
        <f t="shared" si="2"/>
        <v>26.294798750229738</v>
      </c>
    </row>
    <row r="13" spans="1:12">
      <c r="A13" s="49">
        <v>0.24912500000000001</v>
      </c>
      <c r="B13" s="49">
        <v>0.65241000000000005</v>
      </c>
      <c r="C13">
        <v>4.4572700000000003</v>
      </c>
      <c r="D13">
        <v>0</v>
      </c>
      <c r="E13" t="s">
        <v>2570</v>
      </c>
      <c r="F13" s="49">
        <f t="shared" si="3"/>
        <v>12</v>
      </c>
      <c r="G13" s="71" t="s">
        <v>220</v>
      </c>
      <c r="H13">
        <f>MATCH($H$11,B2:B1000,0)</f>
        <v>66</v>
      </c>
      <c r="J13" s="49">
        <f t="shared" si="0"/>
        <v>2.49125</v>
      </c>
      <c r="K13" s="49">
        <f t="shared" si="1"/>
        <v>65.241</v>
      </c>
      <c r="L13" s="49">
        <f t="shared" si="2"/>
        <v>26.188058203712995</v>
      </c>
    </row>
    <row r="14" spans="1:12">
      <c r="A14" s="49">
        <v>0.24798899999999999</v>
      </c>
      <c r="B14" s="49">
        <v>0.646451</v>
      </c>
      <c r="C14">
        <v>4.87805</v>
      </c>
      <c r="D14">
        <v>0</v>
      </c>
      <c r="E14" t="s">
        <v>2571</v>
      </c>
      <c r="F14" s="49">
        <f t="shared" si="3"/>
        <v>13</v>
      </c>
      <c r="G14" s="71" t="s">
        <v>221</v>
      </c>
      <c r="H14">
        <f>MATCH($H$12,B2:B1000,0)</f>
        <v>1</v>
      </c>
      <c r="J14" s="49">
        <f t="shared" si="0"/>
        <v>2.4798899999999997</v>
      </c>
      <c r="K14" s="49">
        <f t="shared" si="1"/>
        <v>64.645099999999999</v>
      </c>
      <c r="L14" s="49">
        <f t="shared" si="2"/>
        <v>26.067728810552083</v>
      </c>
    </row>
    <row r="15" spans="1:12">
      <c r="A15" s="49">
        <v>0.246892</v>
      </c>
      <c r="B15" s="49">
        <v>0.64008299999999996</v>
      </c>
      <c r="C15">
        <v>5.2655099999999999</v>
      </c>
      <c r="D15">
        <v>0</v>
      </c>
      <c r="E15" t="s">
        <v>2572</v>
      </c>
      <c r="F15" s="49">
        <f t="shared" si="3"/>
        <v>14</v>
      </c>
      <c r="G15">
        <f>LOOKUP($H13,F2:F1000,A2:A1000)</f>
        <v>0.18182200000000001</v>
      </c>
      <c r="H15">
        <f>LOOKUP($H13,F2:F1000,B2:B1000)</f>
        <v>0.48975600000000002</v>
      </c>
      <c r="J15" s="49">
        <f t="shared" si="0"/>
        <v>2.4689199999999998</v>
      </c>
      <c r="K15" s="49">
        <f t="shared" si="1"/>
        <v>64.008299999999991</v>
      </c>
      <c r="L15" s="49">
        <f t="shared" si="2"/>
        <v>25.925627399834745</v>
      </c>
    </row>
    <row r="16" spans="1:12">
      <c r="A16" s="49">
        <v>0.24593200000000001</v>
      </c>
      <c r="B16" s="49">
        <v>0.63476100000000002</v>
      </c>
      <c r="C16">
        <v>5.6875900000000001</v>
      </c>
      <c r="D16">
        <v>0</v>
      </c>
      <c r="E16" t="s">
        <v>2573</v>
      </c>
      <c r="F16" s="49">
        <f t="shared" si="3"/>
        <v>15</v>
      </c>
      <c r="G16">
        <f>LOOKUP($H14,F2:F1000,A2:A1000)</f>
        <v>0.25600400000000001</v>
      </c>
      <c r="H16">
        <f>LOOKUP($H14,F2:F1000,B2:B1000)</f>
        <v>0.69731200000000004</v>
      </c>
      <c r="J16" s="49">
        <f t="shared" si="0"/>
        <v>2.45932</v>
      </c>
      <c r="K16" s="49">
        <f t="shared" si="1"/>
        <v>63.476100000000002</v>
      </c>
      <c r="L16" s="49">
        <f t="shared" si="2"/>
        <v>25.810427272579414</v>
      </c>
    </row>
    <row r="17" spans="1:12">
      <c r="A17" s="49">
        <v>0.24466399999999999</v>
      </c>
      <c r="B17" s="49">
        <v>0.62903200000000004</v>
      </c>
      <c r="C17">
        <v>6.08127</v>
      </c>
      <c r="D17">
        <v>0</v>
      </c>
      <c r="E17" t="s">
        <v>2574</v>
      </c>
      <c r="F17" s="49">
        <f t="shared" si="3"/>
        <v>16</v>
      </c>
      <c r="J17" s="49">
        <f t="shared" si="0"/>
        <v>2.4466399999999999</v>
      </c>
      <c r="K17" s="49">
        <f t="shared" si="1"/>
        <v>62.903200000000005</v>
      </c>
      <c r="L17" s="49">
        <f t="shared" si="2"/>
        <v>25.710034986757353</v>
      </c>
    </row>
    <row r="18" spans="1:12">
      <c r="A18" s="49">
        <v>0.24329200000000001</v>
      </c>
      <c r="B18" s="49">
        <v>0.62314000000000003</v>
      </c>
      <c r="C18">
        <v>6.4855099999999997</v>
      </c>
      <c r="D18">
        <v>0</v>
      </c>
      <c r="E18" t="s">
        <v>2575</v>
      </c>
      <c r="F18" s="49">
        <f t="shared" si="3"/>
        <v>17</v>
      </c>
      <c r="J18" s="49">
        <f t="shared" si="0"/>
        <v>2.4329200000000002</v>
      </c>
      <c r="K18" s="49">
        <f t="shared" si="1"/>
        <v>62.314</v>
      </c>
      <c r="L18" s="49">
        <f t="shared" si="2"/>
        <v>25.612843825526525</v>
      </c>
    </row>
    <row r="19" spans="1:12">
      <c r="A19" s="49">
        <v>0.24179500000000001</v>
      </c>
      <c r="B19" s="49">
        <v>0.616981</v>
      </c>
      <c r="C19">
        <v>6.8903299999999996</v>
      </c>
      <c r="D19">
        <v>0</v>
      </c>
      <c r="E19" t="s">
        <v>2576</v>
      </c>
      <c r="F19" s="49">
        <f t="shared" si="3"/>
        <v>18</v>
      </c>
      <c r="J19" s="49">
        <f t="shared" si="0"/>
        <v>2.4179500000000003</v>
      </c>
      <c r="K19" s="49">
        <f t="shared" si="1"/>
        <v>61.698099999999997</v>
      </c>
      <c r="L19" s="49">
        <f t="shared" si="2"/>
        <v>25.516698029322356</v>
      </c>
    </row>
    <row r="20" spans="1:12">
      <c r="A20" s="49">
        <v>0.24021700000000001</v>
      </c>
      <c r="B20" s="49">
        <v>0.61043499999999995</v>
      </c>
      <c r="C20">
        <v>7.3112300000000001</v>
      </c>
      <c r="D20">
        <v>0</v>
      </c>
      <c r="E20" t="s">
        <v>2577</v>
      </c>
      <c r="F20" s="49">
        <f t="shared" si="3"/>
        <v>19</v>
      </c>
      <c r="J20" s="49">
        <f t="shared" si="0"/>
        <v>2.4021699999999999</v>
      </c>
      <c r="K20" s="49">
        <f t="shared" si="1"/>
        <v>61.043499999999995</v>
      </c>
      <c r="L20" s="49">
        <f t="shared" si="2"/>
        <v>25.411815150468119</v>
      </c>
    </row>
    <row r="21" spans="1:12">
      <c r="A21" s="49">
        <v>0.238533</v>
      </c>
      <c r="B21" s="49">
        <v>0.60388399999999998</v>
      </c>
      <c r="C21">
        <v>7.7024800000000004</v>
      </c>
      <c r="D21">
        <v>0</v>
      </c>
      <c r="E21" t="s">
        <v>2578</v>
      </c>
      <c r="F21" s="49">
        <f t="shared" si="3"/>
        <v>20</v>
      </c>
      <c r="J21" s="49">
        <f t="shared" si="0"/>
        <v>2.3853299999999997</v>
      </c>
      <c r="K21" s="49">
        <f t="shared" si="1"/>
        <v>60.388399999999997</v>
      </c>
      <c r="L21" s="49">
        <f t="shared" si="2"/>
        <v>25.316580934294208</v>
      </c>
    </row>
    <row r="22" spans="1:12">
      <c r="A22" s="49">
        <v>0.23685999999999999</v>
      </c>
      <c r="B22" s="49">
        <v>0.59738500000000005</v>
      </c>
      <c r="C22">
        <v>8.1189199999999992</v>
      </c>
      <c r="D22">
        <v>0</v>
      </c>
      <c r="E22" t="s">
        <v>2579</v>
      </c>
      <c r="F22" s="49">
        <f t="shared" si="3"/>
        <v>21</v>
      </c>
      <c r="J22" s="49">
        <f t="shared" si="0"/>
        <v>2.3685999999999998</v>
      </c>
      <c r="K22" s="49">
        <f t="shared" si="1"/>
        <v>59.738500000000002</v>
      </c>
      <c r="L22" s="49">
        <f t="shared" si="2"/>
        <v>25.221016634298746</v>
      </c>
    </row>
    <row r="23" spans="1:12">
      <c r="A23" s="49">
        <v>0.235124</v>
      </c>
      <c r="B23" s="49">
        <v>0.59088499999999999</v>
      </c>
      <c r="C23">
        <v>8.5445600000000006</v>
      </c>
      <c r="D23">
        <v>0</v>
      </c>
      <c r="E23" t="s">
        <v>2580</v>
      </c>
      <c r="F23" s="49">
        <f t="shared" si="3"/>
        <v>22</v>
      </c>
      <c r="J23" s="49">
        <f t="shared" si="0"/>
        <v>2.3512399999999998</v>
      </c>
      <c r="K23" s="49">
        <f t="shared" si="1"/>
        <v>59.088499999999996</v>
      </c>
      <c r="L23" s="49">
        <f t="shared" si="2"/>
        <v>25.130782055426074</v>
      </c>
    </row>
    <row r="24" spans="1:12">
      <c r="A24" s="49">
        <v>0.23313300000000001</v>
      </c>
      <c r="B24" s="49">
        <v>0.58386099999999996</v>
      </c>
      <c r="C24">
        <v>8.9310399999999994</v>
      </c>
      <c r="D24">
        <v>0</v>
      </c>
      <c r="E24" t="s">
        <v>2581</v>
      </c>
      <c r="F24" s="49">
        <f t="shared" si="3"/>
        <v>23</v>
      </c>
      <c r="G24" t="s">
        <v>245</v>
      </c>
      <c r="H24">
        <f>COUNT(A2:A2000)</f>
        <v>99</v>
      </c>
      <c r="J24" s="49">
        <f t="shared" si="0"/>
        <v>2.3313299999999999</v>
      </c>
      <c r="K24" s="49">
        <f t="shared" si="1"/>
        <v>58.386099999999999</v>
      </c>
      <c r="L24" s="49">
        <f t="shared" si="2"/>
        <v>25.044116448550827</v>
      </c>
    </row>
    <row r="25" spans="1:12">
      <c r="A25" s="49">
        <v>0.23102300000000001</v>
      </c>
      <c r="B25" s="49">
        <v>0.57710099999999998</v>
      </c>
      <c r="C25">
        <v>9.3529300000000006</v>
      </c>
      <c r="D25">
        <v>0</v>
      </c>
      <c r="E25" t="s">
        <v>2582</v>
      </c>
      <c r="F25" s="49">
        <f t="shared" si="3"/>
        <v>24</v>
      </c>
      <c r="J25" s="49">
        <f t="shared" si="0"/>
        <v>2.3102300000000002</v>
      </c>
      <c r="K25" s="49">
        <f t="shared" si="1"/>
        <v>57.710099999999997</v>
      </c>
      <c r="L25" s="49">
        <f t="shared" si="2"/>
        <v>24.980240062677737</v>
      </c>
    </row>
    <row r="26" spans="1:12">
      <c r="A26" s="49">
        <v>0.22881499999999999</v>
      </c>
      <c r="B26" s="49">
        <v>0.57032300000000002</v>
      </c>
      <c r="C26">
        <v>9.7537500000000001</v>
      </c>
      <c r="D26">
        <v>0</v>
      </c>
      <c r="E26" t="s">
        <v>2583</v>
      </c>
      <c r="F26" s="49">
        <f t="shared" si="3"/>
        <v>25</v>
      </c>
      <c r="J26" s="49">
        <f t="shared" si="0"/>
        <v>2.2881499999999999</v>
      </c>
      <c r="K26" s="49">
        <f t="shared" si="1"/>
        <v>57.032299999999999</v>
      </c>
      <c r="L26" s="49">
        <f t="shared" si="2"/>
        <v>24.925070471778511</v>
      </c>
    </row>
    <row r="27" spans="1:12">
      <c r="A27" s="49">
        <v>0.226494</v>
      </c>
      <c r="B27" s="49">
        <v>0.56364499999999995</v>
      </c>
      <c r="C27">
        <v>10.145</v>
      </c>
      <c r="D27">
        <v>0</v>
      </c>
      <c r="E27" t="s">
        <v>2584</v>
      </c>
      <c r="F27" s="49">
        <f t="shared" si="3"/>
        <v>26</v>
      </c>
      <c r="J27" s="49">
        <f t="shared" si="0"/>
        <v>2.2649400000000002</v>
      </c>
      <c r="K27" s="49">
        <f t="shared" si="1"/>
        <v>56.364499999999992</v>
      </c>
      <c r="L27" s="49">
        <f t="shared" si="2"/>
        <v>24.885648184940877</v>
      </c>
    </row>
    <row r="28" spans="1:12">
      <c r="A28" s="49">
        <v>0.22392799999999999</v>
      </c>
      <c r="B28" s="49">
        <v>0.55713400000000002</v>
      </c>
      <c r="C28">
        <v>10.5503</v>
      </c>
      <c r="D28">
        <v>0</v>
      </c>
      <c r="E28" t="s">
        <v>2585</v>
      </c>
      <c r="F28" s="49">
        <f t="shared" si="3"/>
        <v>27</v>
      </c>
      <c r="J28" s="49">
        <f t="shared" si="0"/>
        <v>2.2392799999999999</v>
      </c>
      <c r="K28" s="49">
        <f t="shared" si="1"/>
        <v>55.7134</v>
      </c>
      <c r="L28" s="49">
        <f t="shared" si="2"/>
        <v>24.880050730591975</v>
      </c>
    </row>
    <row r="29" spans="1:12">
      <c r="A29" s="49">
        <v>0.22104499999999999</v>
      </c>
      <c r="B29" s="49">
        <v>0.55082299999999995</v>
      </c>
      <c r="C29">
        <v>10.963900000000001</v>
      </c>
      <c r="D29">
        <v>0</v>
      </c>
      <c r="E29" t="s">
        <v>2586</v>
      </c>
      <c r="F29" s="49">
        <f t="shared" si="3"/>
        <v>28</v>
      </c>
      <c r="J29" s="49">
        <f t="shared" si="0"/>
        <v>2.2104499999999998</v>
      </c>
      <c r="K29" s="49">
        <f t="shared" si="1"/>
        <v>55.082299999999996</v>
      </c>
      <c r="L29" s="49">
        <f t="shared" si="2"/>
        <v>24.919043633649256</v>
      </c>
    </row>
    <row r="30" spans="1:12">
      <c r="A30" s="49">
        <v>0.21774299999999999</v>
      </c>
      <c r="B30" s="49">
        <v>0.54505800000000004</v>
      </c>
      <c r="C30">
        <v>11.389799999999999</v>
      </c>
      <c r="D30">
        <v>0</v>
      </c>
      <c r="E30" t="s">
        <v>2587</v>
      </c>
      <c r="F30" s="49">
        <f t="shared" si="3"/>
        <v>29</v>
      </c>
      <c r="J30" s="49">
        <f t="shared" si="0"/>
        <v>2.1774299999999998</v>
      </c>
      <c r="K30" s="49">
        <f t="shared" si="1"/>
        <v>54.505800000000008</v>
      </c>
      <c r="L30" s="49">
        <f t="shared" si="2"/>
        <v>25.032170953830899</v>
      </c>
    </row>
    <row r="31" spans="1:12">
      <c r="A31" s="49">
        <v>0.21398</v>
      </c>
      <c r="B31" s="49">
        <v>0.53978000000000004</v>
      </c>
      <c r="C31">
        <v>11.774900000000001</v>
      </c>
      <c r="D31">
        <v>0</v>
      </c>
      <c r="E31" t="s">
        <v>2588</v>
      </c>
      <c r="F31" s="49">
        <f t="shared" si="3"/>
        <v>30</v>
      </c>
      <c r="J31" s="49">
        <f t="shared" si="0"/>
        <v>2.1398000000000001</v>
      </c>
      <c r="K31" s="49">
        <f t="shared" si="1"/>
        <v>53.978000000000002</v>
      </c>
      <c r="L31" s="49">
        <f t="shared" si="2"/>
        <v>25.225722030096268</v>
      </c>
    </row>
    <row r="32" spans="1:12">
      <c r="A32" s="49">
        <v>0.209786</v>
      </c>
      <c r="B32" s="49">
        <v>0.53543099999999999</v>
      </c>
      <c r="C32">
        <v>12.181100000000001</v>
      </c>
      <c r="D32">
        <v>0</v>
      </c>
      <c r="E32" t="s">
        <v>2589</v>
      </c>
      <c r="F32" s="49">
        <f t="shared" si="3"/>
        <v>31</v>
      </c>
      <c r="J32" s="49">
        <f t="shared" si="0"/>
        <v>2.0978599999999998</v>
      </c>
      <c r="K32" s="49">
        <f t="shared" si="1"/>
        <v>53.543099999999995</v>
      </c>
      <c r="L32" s="49">
        <f t="shared" si="2"/>
        <v>25.522723155977996</v>
      </c>
    </row>
    <row r="33" spans="1:12">
      <c r="A33" s="49">
        <v>0.20508000000000001</v>
      </c>
      <c r="B33" s="49">
        <v>0.53219899999999998</v>
      </c>
      <c r="C33">
        <v>12.580399999999999</v>
      </c>
      <c r="D33">
        <v>0</v>
      </c>
      <c r="E33" t="s">
        <v>2590</v>
      </c>
      <c r="F33" s="49">
        <f t="shared" si="3"/>
        <v>32</v>
      </c>
      <c r="J33" s="49">
        <f t="shared" si="0"/>
        <v>2.0508000000000002</v>
      </c>
      <c r="K33" s="49">
        <f t="shared" si="1"/>
        <v>53.219899999999996</v>
      </c>
      <c r="L33" s="49">
        <f t="shared" si="2"/>
        <v>25.950799687926658</v>
      </c>
    </row>
    <row r="34" spans="1:12">
      <c r="A34" s="49">
        <v>0.19977200000000001</v>
      </c>
      <c r="B34" s="49">
        <v>0.53061999999999998</v>
      </c>
      <c r="C34">
        <v>13.010400000000001</v>
      </c>
      <c r="D34">
        <v>0</v>
      </c>
      <c r="E34" t="s">
        <v>2591</v>
      </c>
      <c r="F34" s="49">
        <f t="shared" si="3"/>
        <v>33</v>
      </c>
      <c r="J34" s="49">
        <f t="shared" si="0"/>
        <v>1.9977200000000002</v>
      </c>
      <c r="K34" s="49">
        <f t="shared" si="1"/>
        <v>53.061999999999998</v>
      </c>
      <c r="L34" s="49">
        <f t="shared" si="2"/>
        <v>26.561279859039303</v>
      </c>
    </row>
    <row r="35" spans="1:12">
      <c r="A35" s="49">
        <v>0.19386999999999999</v>
      </c>
      <c r="B35" s="49">
        <v>0.53136300000000003</v>
      </c>
      <c r="C35">
        <v>13.4023</v>
      </c>
      <c r="D35">
        <v>0</v>
      </c>
      <c r="E35" t="s">
        <v>2592</v>
      </c>
      <c r="F35" s="49">
        <f t="shared" si="3"/>
        <v>34</v>
      </c>
      <c r="J35" s="49">
        <f t="shared" si="0"/>
        <v>1.9386999999999999</v>
      </c>
      <c r="K35" s="49">
        <f t="shared" si="1"/>
        <v>53.136300000000006</v>
      </c>
      <c r="L35" s="49">
        <f t="shared" si="2"/>
        <v>27.408211688244705</v>
      </c>
    </row>
    <row r="36" spans="1:12">
      <c r="A36" s="49">
        <v>0.187474</v>
      </c>
      <c r="B36" s="49">
        <v>0.53428500000000001</v>
      </c>
      <c r="C36">
        <v>13.8002</v>
      </c>
      <c r="D36">
        <v>0</v>
      </c>
      <c r="E36" t="s">
        <v>2593</v>
      </c>
      <c r="F36" s="49">
        <f t="shared" si="3"/>
        <v>35</v>
      </c>
      <c r="J36" s="49">
        <f t="shared" si="0"/>
        <v>1.8747400000000001</v>
      </c>
      <c r="K36" s="49">
        <f t="shared" si="1"/>
        <v>53.4285</v>
      </c>
      <c r="L36" s="49">
        <f t="shared" si="2"/>
        <v>28.499151882394358</v>
      </c>
    </row>
    <row r="37" spans="1:12">
      <c r="A37" s="49">
        <v>0.181895</v>
      </c>
      <c r="B37" s="49">
        <v>0.53689200000000004</v>
      </c>
      <c r="C37">
        <v>14.200200000000001</v>
      </c>
      <c r="D37">
        <v>0</v>
      </c>
      <c r="E37" t="s">
        <v>2594</v>
      </c>
      <c r="F37" s="49">
        <f t="shared" si="3"/>
        <v>36</v>
      </c>
      <c r="J37" s="49">
        <f t="shared" si="0"/>
        <v>1.8189500000000001</v>
      </c>
      <c r="K37" s="49">
        <f t="shared" si="1"/>
        <v>53.689200000000007</v>
      </c>
      <c r="L37" s="49">
        <f t="shared" si="2"/>
        <v>29.516589241045661</v>
      </c>
    </row>
    <row r="38" spans="1:12">
      <c r="A38" s="49">
        <v>0.178088</v>
      </c>
      <c r="B38" s="49">
        <v>0.53729700000000002</v>
      </c>
      <c r="C38">
        <v>14.6113</v>
      </c>
      <c r="D38">
        <v>0</v>
      </c>
      <c r="E38" t="s">
        <v>2595</v>
      </c>
      <c r="F38" s="49">
        <f t="shared" si="3"/>
        <v>37</v>
      </c>
      <c r="J38" s="49">
        <f t="shared" si="0"/>
        <v>1.78088</v>
      </c>
      <c r="K38" s="49">
        <f t="shared" si="1"/>
        <v>53.729700000000001</v>
      </c>
      <c r="L38" s="49">
        <f t="shared" si="2"/>
        <v>30.1703090606891</v>
      </c>
    </row>
    <row r="39" spans="1:12">
      <c r="A39" s="49">
        <v>0.17589399999999999</v>
      </c>
      <c r="B39" s="49">
        <v>0.53611900000000001</v>
      </c>
      <c r="C39">
        <v>15.034000000000001</v>
      </c>
      <c r="D39">
        <v>0</v>
      </c>
      <c r="E39" t="s">
        <v>2596</v>
      </c>
      <c r="F39" s="49">
        <f t="shared" si="3"/>
        <v>38</v>
      </c>
      <c r="J39" s="49">
        <f t="shared" si="0"/>
        <v>1.7589399999999999</v>
      </c>
      <c r="K39" s="49">
        <f t="shared" si="1"/>
        <v>53.611899999999999</v>
      </c>
      <c r="L39" s="49">
        <f t="shared" si="2"/>
        <v>30.479663888478289</v>
      </c>
    </row>
    <row r="40" spans="1:12">
      <c r="A40" s="49">
        <v>0.174758</v>
      </c>
      <c r="B40" s="49">
        <v>0.53564800000000001</v>
      </c>
      <c r="C40">
        <v>15.433299999999999</v>
      </c>
      <c r="D40">
        <v>0</v>
      </c>
      <c r="E40" t="s">
        <v>2597</v>
      </c>
      <c r="F40" s="49">
        <f t="shared" si="3"/>
        <v>39</v>
      </c>
      <c r="J40" s="49">
        <f t="shared" si="0"/>
        <v>1.7475799999999999</v>
      </c>
      <c r="K40" s="49">
        <f t="shared" si="1"/>
        <v>53.564799999999998</v>
      </c>
      <c r="L40" s="49">
        <f t="shared" si="2"/>
        <v>30.650842879868161</v>
      </c>
    </row>
    <row r="41" spans="1:12">
      <c r="A41" s="49">
        <v>0.17401900000000001</v>
      </c>
      <c r="B41" s="49">
        <v>0.53435500000000002</v>
      </c>
      <c r="C41">
        <v>15.840400000000001</v>
      </c>
      <c r="D41">
        <v>0</v>
      </c>
      <c r="E41" t="s">
        <v>2598</v>
      </c>
      <c r="F41" s="49">
        <f t="shared" si="3"/>
        <v>40</v>
      </c>
      <c r="J41" s="49">
        <f t="shared" si="0"/>
        <v>1.7401900000000001</v>
      </c>
      <c r="K41" s="49">
        <f t="shared" si="1"/>
        <v>53.435500000000005</v>
      </c>
      <c r="L41" s="49">
        <f t="shared" si="2"/>
        <v>30.706704440319736</v>
      </c>
    </row>
    <row r="42" spans="1:12">
      <c r="A42" s="49">
        <v>0.17343600000000001</v>
      </c>
      <c r="B42" s="49">
        <v>0.53121799999999997</v>
      </c>
      <c r="C42">
        <v>16.260100000000001</v>
      </c>
      <c r="D42">
        <v>0</v>
      </c>
      <c r="E42" t="s">
        <v>2599</v>
      </c>
      <c r="F42" s="49">
        <f t="shared" si="3"/>
        <v>41</v>
      </c>
      <c r="J42" s="49">
        <f t="shared" si="0"/>
        <v>1.7343600000000001</v>
      </c>
      <c r="K42" s="49">
        <f t="shared" si="1"/>
        <v>53.121799999999993</v>
      </c>
      <c r="L42" s="49">
        <f t="shared" si="2"/>
        <v>30.62905048548167</v>
      </c>
    </row>
    <row r="43" spans="1:12">
      <c r="A43" s="49">
        <v>0.173147</v>
      </c>
      <c r="B43" s="49">
        <v>0.52786</v>
      </c>
      <c r="C43">
        <v>16.656300000000002</v>
      </c>
      <c r="D43">
        <v>0</v>
      </c>
      <c r="E43" t="s">
        <v>2600</v>
      </c>
      <c r="F43" s="49">
        <f t="shared" si="3"/>
        <v>42</v>
      </c>
      <c r="J43" s="49">
        <f t="shared" si="0"/>
        <v>1.7314699999999998</v>
      </c>
      <c r="K43" s="49">
        <f t="shared" si="1"/>
        <v>52.786000000000001</v>
      </c>
      <c r="L43" s="49">
        <f t="shared" si="2"/>
        <v>30.486234240269834</v>
      </c>
    </row>
    <row r="44" spans="1:12">
      <c r="A44" s="49">
        <v>0.17328099999999999</v>
      </c>
      <c r="B44" s="49">
        <v>0.52433300000000005</v>
      </c>
      <c r="C44">
        <v>17.0486</v>
      </c>
      <c r="D44">
        <v>0</v>
      </c>
      <c r="E44" t="s">
        <v>2601</v>
      </c>
      <c r="F44" s="49">
        <f t="shared" si="3"/>
        <v>43</v>
      </c>
      <c r="J44" s="49">
        <f t="shared" si="0"/>
        <v>1.73281</v>
      </c>
      <c r="K44" s="49">
        <f t="shared" si="1"/>
        <v>52.433300000000003</v>
      </c>
      <c r="L44" s="49">
        <f t="shared" si="2"/>
        <v>30.259116694848256</v>
      </c>
    </row>
    <row r="45" spans="1:12">
      <c r="A45" s="49">
        <v>0.17389099999999999</v>
      </c>
      <c r="B45" s="49">
        <v>0.52035299999999995</v>
      </c>
      <c r="C45">
        <v>17.454999999999998</v>
      </c>
      <c r="D45">
        <v>0</v>
      </c>
      <c r="E45" t="s">
        <v>2602</v>
      </c>
      <c r="F45" s="49">
        <f t="shared" si="3"/>
        <v>44</v>
      </c>
      <c r="J45" s="49">
        <f t="shared" si="0"/>
        <v>1.73891</v>
      </c>
      <c r="K45" s="49">
        <f t="shared" si="1"/>
        <v>52.035299999999992</v>
      </c>
      <c r="L45" s="49">
        <f t="shared" si="2"/>
        <v>29.924090378455464</v>
      </c>
    </row>
    <row r="46" spans="1:12">
      <c r="A46" s="49">
        <v>0.17462</v>
      </c>
      <c r="B46" s="49">
        <v>0.51642999999999994</v>
      </c>
      <c r="C46">
        <v>17.8614</v>
      </c>
      <c r="D46">
        <v>0</v>
      </c>
      <c r="E46" t="s">
        <v>2603</v>
      </c>
      <c r="F46" s="49">
        <f t="shared" si="3"/>
        <v>45</v>
      </c>
      <c r="J46" s="49">
        <f t="shared" si="0"/>
        <v>1.7462</v>
      </c>
      <c r="K46" s="49">
        <f t="shared" si="1"/>
        <v>51.642999999999994</v>
      </c>
      <c r="L46" s="49">
        <f t="shared" si="2"/>
        <v>29.574504638643909</v>
      </c>
    </row>
    <row r="47" spans="1:12">
      <c r="A47" s="49">
        <v>0.17543900000000001</v>
      </c>
      <c r="B47" s="49">
        <v>0.51305199999999995</v>
      </c>
      <c r="C47">
        <v>18.276599999999998</v>
      </c>
      <c r="D47">
        <v>0</v>
      </c>
      <c r="E47" t="s">
        <v>2604</v>
      </c>
      <c r="F47" s="49">
        <f t="shared" si="3"/>
        <v>46</v>
      </c>
      <c r="J47" s="49">
        <f t="shared" si="0"/>
        <v>1.7543900000000001</v>
      </c>
      <c r="K47" s="49">
        <f t="shared" si="1"/>
        <v>51.305199999999992</v>
      </c>
      <c r="L47" s="49">
        <f t="shared" si="2"/>
        <v>29.243896739037496</v>
      </c>
    </row>
    <row r="48" spans="1:12">
      <c r="A48" s="49">
        <v>0.176256</v>
      </c>
      <c r="B48" s="49">
        <v>0.51012199999999996</v>
      </c>
      <c r="C48">
        <v>18.674099999999999</v>
      </c>
      <c r="D48">
        <v>0</v>
      </c>
      <c r="E48" t="s">
        <v>2605</v>
      </c>
      <c r="F48" s="49">
        <f t="shared" si="3"/>
        <v>47</v>
      </c>
      <c r="J48" s="49">
        <f t="shared" si="0"/>
        <v>1.7625599999999999</v>
      </c>
      <c r="K48" s="49">
        <f t="shared" si="1"/>
        <v>51.012199999999993</v>
      </c>
      <c r="L48" s="49">
        <f t="shared" si="2"/>
        <v>28.942106935366738</v>
      </c>
    </row>
    <row r="49" spans="1:12">
      <c r="A49" s="49">
        <v>0.177313</v>
      </c>
      <c r="B49" s="49">
        <v>0.50729100000000005</v>
      </c>
      <c r="C49">
        <v>19.091799999999999</v>
      </c>
      <c r="D49">
        <v>0</v>
      </c>
      <c r="E49" t="s">
        <v>2606</v>
      </c>
      <c r="F49" s="49">
        <f t="shared" si="3"/>
        <v>48</v>
      </c>
      <c r="J49" s="49">
        <f t="shared" si="0"/>
        <v>1.7731300000000001</v>
      </c>
      <c r="K49" s="49">
        <f t="shared" si="1"/>
        <v>50.729100000000003</v>
      </c>
      <c r="L49" s="49">
        <f t="shared" si="2"/>
        <v>28.609915798616008</v>
      </c>
    </row>
    <row r="50" spans="1:12">
      <c r="A50" s="49">
        <v>0.178234</v>
      </c>
      <c r="B50" s="49">
        <v>0.50448300000000001</v>
      </c>
      <c r="C50">
        <v>19.4893</v>
      </c>
      <c r="D50">
        <v>0</v>
      </c>
      <c r="E50" t="s">
        <v>2607</v>
      </c>
      <c r="F50" s="49">
        <f t="shared" si="3"/>
        <v>49</v>
      </c>
      <c r="J50" s="49">
        <f t="shared" si="0"/>
        <v>1.78234</v>
      </c>
      <c r="K50" s="49">
        <f t="shared" si="1"/>
        <v>50.448300000000003</v>
      </c>
      <c r="L50" s="49">
        <f t="shared" si="2"/>
        <v>28.304532244128506</v>
      </c>
    </row>
    <row r="51" spans="1:12">
      <c r="A51" s="49">
        <v>0.17923</v>
      </c>
      <c r="B51" s="49">
        <v>0.50232500000000002</v>
      </c>
      <c r="C51">
        <v>19.890999999999998</v>
      </c>
      <c r="D51">
        <v>0</v>
      </c>
      <c r="E51" t="s">
        <v>2608</v>
      </c>
      <c r="F51" s="49">
        <f t="shared" si="3"/>
        <v>50</v>
      </c>
      <c r="J51" s="49">
        <f t="shared" si="0"/>
        <v>1.7923</v>
      </c>
      <c r="K51" s="49">
        <f t="shared" si="1"/>
        <v>50.232500000000002</v>
      </c>
      <c r="L51" s="49">
        <f t="shared" si="2"/>
        <v>28.026837025051609</v>
      </c>
    </row>
    <row r="52" spans="1:12">
      <c r="A52" s="49">
        <v>0.18016699999999999</v>
      </c>
      <c r="B52" s="49">
        <v>0.50086600000000003</v>
      </c>
      <c r="C52">
        <v>20.323699999999999</v>
      </c>
      <c r="D52">
        <v>0</v>
      </c>
      <c r="E52" t="s">
        <v>2609</v>
      </c>
      <c r="F52" s="49">
        <f t="shared" si="3"/>
        <v>51</v>
      </c>
      <c r="J52" s="49">
        <f t="shared" si="0"/>
        <v>1.8016699999999999</v>
      </c>
      <c r="K52" s="49">
        <f t="shared" si="1"/>
        <v>50.086600000000004</v>
      </c>
      <c r="L52" s="49">
        <f t="shared" si="2"/>
        <v>27.800096577064615</v>
      </c>
    </row>
    <row r="53" spans="1:12">
      <c r="A53" s="49">
        <v>0.180923</v>
      </c>
      <c r="B53" s="49">
        <v>0.499587</v>
      </c>
      <c r="C53">
        <v>20.7102</v>
      </c>
      <c r="D53">
        <v>0</v>
      </c>
      <c r="E53" t="s">
        <v>2610</v>
      </c>
      <c r="F53" s="49">
        <f t="shared" si="3"/>
        <v>52</v>
      </c>
      <c r="J53" s="49">
        <f t="shared" si="0"/>
        <v>1.8092299999999999</v>
      </c>
      <c r="K53" s="49">
        <f t="shared" si="1"/>
        <v>49.9587</v>
      </c>
      <c r="L53" s="49">
        <f t="shared" si="2"/>
        <v>27.613238781138939</v>
      </c>
    </row>
    <row r="54" spans="1:12">
      <c r="A54" s="49">
        <v>0.18174799999999999</v>
      </c>
      <c r="B54" s="49">
        <v>0.49831799999999998</v>
      </c>
      <c r="C54">
        <v>21.1052</v>
      </c>
      <c r="D54">
        <v>0</v>
      </c>
      <c r="E54" t="s">
        <v>2611</v>
      </c>
      <c r="F54" s="49">
        <f t="shared" si="3"/>
        <v>53</v>
      </c>
      <c r="J54" s="49">
        <f t="shared" si="0"/>
        <v>1.81748</v>
      </c>
      <c r="K54" s="49">
        <f t="shared" si="1"/>
        <v>49.831800000000001</v>
      </c>
      <c r="L54" s="49">
        <f t="shared" si="2"/>
        <v>27.41807337632326</v>
      </c>
    </row>
    <row r="55" spans="1:12">
      <c r="A55" s="49">
        <v>0.18259800000000001</v>
      </c>
      <c r="B55" s="49">
        <v>0.49657400000000002</v>
      </c>
      <c r="C55">
        <v>21.537299999999998</v>
      </c>
      <c r="D55">
        <v>0</v>
      </c>
      <c r="E55" t="s">
        <v>2612</v>
      </c>
      <c r="F55" s="49">
        <f t="shared" si="3"/>
        <v>54</v>
      </c>
      <c r="J55" s="49">
        <f t="shared" si="0"/>
        <v>1.8259800000000002</v>
      </c>
      <c r="K55" s="49">
        <f t="shared" si="1"/>
        <v>49.657400000000003</v>
      </c>
      <c r="L55" s="49">
        <f t="shared" si="2"/>
        <v>27.194930941193221</v>
      </c>
    </row>
    <row r="56" spans="1:12">
      <c r="A56" s="49">
        <v>0.18332499999999999</v>
      </c>
      <c r="B56" s="49">
        <v>0.49523400000000001</v>
      </c>
      <c r="C56">
        <v>21.918700000000001</v>
      </c>
      <c r="D56">
        <v>0</v>
      </c>
      <c r="E56" t="s">
        <v>2613</v>
      </c>
      <c r="F56" s="49">
        <f t="shared" si="3"/>
        <v>55</v>
      </c>
      <c r="J56" s="49">
        <f t="shared" si="0"/>
        <v>1.8332499999999998</v>
      </c>
      <c r="K56" s="49">
        <f t="shared" si="1"/>
        <v>49.523400000000002</v>
      </c>
      <c r="L56" s="49">
        <f t="shared" si="2"/>
        <v>27.013991545070233</v>
      </c>
    </row>
    <row r="57" spans="1:12">
      <c r="A57" s="49">
        <v>0.183499</v>
      </c>
      <c r="B57" s="49">
        <v>0.493502</v>
      </c>
      <c r="C57">
        <v>22.342300000000002</v>
      </c>
      <c r="D57">
        <v>0</v>
      </c>
      <c r="E57" t="s">
        <v>2614</v>
      </c>
      <c r="F57" s="49">
        <f t="shared" si="3"/>
        <v>56</v>
      </c>
      <c r="J57" s="49">
        <f t="shared" si="0"/>
        <v>1.8349899999999999</v>
      </c>
      <c r="K57" s="49">
        <f t="shared" si="1"/>
        <v>49.350200000000001</v>
      </c>
      <c r="L57" s="49">
        <f t="shared" si="2"/>
        <v>26.893988523098219</v>
      </c>
    </row>
    <row r="58" spans="1:12">
      <c r="A58" s="49">
        <v>0.183583</v>
      </c>
      <c r="B58" s="49">
        <v>0.49229200000000001</v>
      </c>
      <c r="C58">
        <v>22.739699999999999</v>
      </c>
      <c r="D58">
        <v>0</v>
      </c>
      <c r="E58" t="s">
        <v>2615</v>
      </c>
      <c r="F58" s="49">
        <f t="shared" si="3"/>
        <v>57</v>
      </c>
      <c r="J58" s="49">
        <f t="shared" si="0"/>
        <v>1.8358300000000001</v>
      </c>
      <c r="K58" s="49">
        <f t="shared" si="1"/>
        <v>49.229199999999999</v>
      </c>
      <c r="L58" s="49">
        <f t="shared" si="2"/>
        <v>26.815772702265459</v>
      </c>
    </row>
    <row r="59" spans="1:12">
      <c r="A59" s="49">
        <v>0.18356700000000001</v>
      </c>
      <c r="B59" s="49">
        <v>0.49162800000000001</v>
      </c>
      <c r="C59">
        <v>23.1556</v>
      </c>
      <c r="D59">
        <v>0</v>
      </c>
      <c r="E59" t="s">
        <v>2616</v>
      </c>
      <c r="F59" s="49">
        <f t="shared" si="3"/>
        <v>58</v>
      </c>
      <c r="J59" s="49">
        <f t="shared" si="0"/>
        <v>1.8356700000000001</v>
      </c>
      <c r="K59" s="49">
        <f t="shared" si="1"/>
        <v>49.162800000000004</v>
      </c>
      <c r="L59" s="49">
        <f t="shared" si="2"/>
        <v>26.781937930020103</v>
      </c>
    </row>
    <row r="60" spans="1:12">
      <c r="A60" s="49">
        <v>0.18340999999999999</v>
      </c>
      <c r="B60" s="49">
        <v>0.49134499999999998</v>
      </c>
      <c r="C60">
        <v>23.555900000000001</v>
      </c>
      <c r="D60">
        <v>0</v>
      </c>
      <c r="E60" t="s">
        <v>2617</v>
      </c>
      <c r="F60" s="49">
        <f t="shared" si="3"/>
        <v>59</v>
      </c>
      <c r="J60" s="49">
        <f t="shared" si="0"/>
        <v>1.8340999999999998</v>
      </c>
      <c r="K60" s="49">
        <f t="shared" si="1"/>
        <v>49.134499999999996</v>
      </c>
      <c r="L60" s="49">
        <f t="shared" si="2"/>
        <v>26.789433509623247</v>
      </c>
    </row>
    <row r="61" spans="1:12">
      <c r="A61" s="49">
        <v>0.18338199999999999</v>
      </c>
      <c r="B61" s="49">
        <v>0.4909</v>
      </c>
      <c r="C61">
        <v>23.966699999999999</v>
      </c>
      <c r="D61">
        <v>0</v>
      </c>
      <c r="E61" t="s">
        <v>2618</v>
      </c>
      <c r="F61" s="49">
        <f t="shared" si="3"/>
        <v>60</v>
      </c>
      <c r="J61" s="49">
        <f t="shared" si="0"/>
        <v>1.8338199999999998</v>
      </c>
      <c r="K61" s="49">
        <f t="shared" si="1"/>
        <v>49.09</v>
      </c>
      <c r="L61" s="49">
        <f t="shared" si="2"/>
        <v>26.769257615251231</v>
      </c>
    </row>
    <row r="62" spans="1:12">
      <c r="A62" s="49">
        <v>0.183249</v>
      </c>
      <c r="B62" s="49">
        <v>0.49046600000000001</v>
      </c>
      <c r="C62">
        <v>24.366599999999998</v>
      </c>
      <c r="D62">
        <v>0</v>
      </c>
      <c r="E62" t="s">
        <v>2619</v>
      </c>
      <c r="F62" s="49">
        <f t="shared" si="3"/>
        <v>61</v>
      </c>
      <c r="J62" s="49">
        <f t="shared" si="0"/>
        <v>1.83249</v>
      </c>
      <c r="K62" s="49">
        <f t="shared" si="1"/>
        <v>49.046599999999998</v>
      </c>
      <c r="L62" s="49">
        <f t="shared" si="2"/>
        <v>26.765002810383685</v>
      </c>
    </row>
    <row r="63" spans="1:12">
      <c r="A63" s="49">
        <v>0.18306900000000001</v>
      </c>
      <c r="B63" s="49">
        <v>0.49039500000000003</v>
      </c>
      <c r="C63">
        <v>24.767499999999998</v>
      </c>
      <c r="D63">
        <v>0</v>
      </c>
      <c r="E63" t="s">
        <v>2620</v>
      </c>
      <c r="F63" s="49">
        <f t="shared" si="3"/>
        <v>62</v>
      </c>
      <c r="J63" s="49">
        <f t="shared" si="0"/>
        <v>1.8306900000000002</v>
      </c>
      <c r="K63" s="49">
        <f t="shared" si="1"/>
        <v>49.039500000000004</v>
      </c>
      <c r="L63" s="49">
        <f t="shared" si="2"/>
        <v>26.787440801009456</v>
      </c>
    </row>
    <row r="64" spans="1:12">
      <c r="A64" s="49">
        <v>0.18290100000000001</v>
      </c>
      <c r="B64" s="49">
        <v>0.49030499999999999</v>
      </c>
      <c r="C64">
        <v>25.1751</v>
      </c>
      <c r="D64">
        <v>0</v>
      </c>
      <c r="E64" t="s">
        <v>2621</v>
      </c>
      <c r="F64" s="49">
        <f t="shared" si="3"/>
        <v>63</v>
      </c>
      <c r="J64" s="49">
        <f t="shared" si="0"/>
        <v>1.82901</v>
      </c>
      <c r="K64" s="49">
        <f t="shared" si="1"/>
        <v>49.030499999999996</v>
      </c>
      <c r="L64" s="49">
        <f t="shared" si="2"/>
        <v>26.807125166073448</v>
      </c>
    </row>
    <row r="65" spans="1:12">
      <c r="A65" s="49">
        <v>0.18271699999999999</v>
      </c>
      <c r="B65" s="49">
        <v>0.49005799999999999</v>
      </c>
      <c r="C65">
        <v>25.578900000000001</v>
      </c>
      <c r="D65">
        <v>0</v>
      </c>
      <c r="E65" t="s">
        <v>2622</v>
      </c>
      <c r="F65" s="49">
        <f t="shared" si="3"/>
        <v>64</v>
      </c>
      <c r="J65" s="49">
        <f t="shared" si="0"/>
        <v>1.82717</v>
      </c>
      <c r="K65" s="49">
        <f t="shared" si="1"/>
        <v>49.005800000000001</v>
      </c>
      <c r="L65" s="49">
        <f t="shared" si="2"/>
        <v>26.820602352271546</v>
      </c>
    </row>
    <row r="66" spans="1:12">
      <c r="A66" s="49">
        <v>0.18238099999999999</v>
      </c>
      <c r="B66" s="49">
        <v>0.48994199999999999</v>
      </c>
      <c r="C66">
        <v>25.995100000000001</v>
      </c>
      <c r="D66">
        <v>0</v>
      </c>
      <c r="E66" t="s">
        <v>2623</v>
      </c>
      <c r="F66" s="49">
        <f t="shared" si="3"/>
        <v>65</v>
      </c>
      <c r="J66" s="49">
        <f t="shared" si="0"/>
        <v>1.8238099999999999</v>
      </c>
      <c r="K66" s="49">
        <f t="shared" si="1"/>
        <v>48.994199999999999</v>
      </c>
      <c r="L66" s="49">
        <f t="shared" si="2"/>
        <v>26.863653560403773</v>
      </c>
    </row>
    <row r="67" spans="1:12">
      <c r="A67" s="49">
        <v>0.18182200000000001</v>
      </c>
      <c r="B67" s="49">
        <v>0.48975600000000002</v>
      </c>
      <c r="C67">
        <v>26.401499999999999</v>
      </c>
      <c r="D67">
        <v>0</v>
      </c>
      <c r="E67" t="s">
        <v>2624</v>
      </c>
      <c r="F67" s="49">
        <f t="shared" si="3"/>
        <v>66</v>
      </c>
      <c r="J67" s="49">
        <f t="shared" ref="J67:J130" si="4">IF(A67&lt;&gt;"",A67*10,"")</f>
        <v>1.8182200000000002</v>
      </c>
      <c r="K67" s="49">
        <f t="shared" ref="K67:K130" si="5">IF(B67&lt;&gt;"",B67*100,"")</f>
        <v>48.9756</v>
      </c>
      <c r="L67" s="49">
        <f t="shared" ref="L67:L130" si="6">IF(F67&lt;&gt;"",IF(K67&lt;&gt;0,K67/J67,0),"")</f>
        <v>26.93601434369878</v>
      </c>
    </row>
    <row r="68" spans="1:12">
      <c r="A68" s="49">
        <v>0.181391</v>
      </c>
      <c r="B68" s="49">
        <v>0.48982500000000001</v>
      </c>
      <c r="C68">
        <v>26.8124</v>
      </c>
      <c r="D68">
        <v>0</v>
      </c>
      <c r="E68" t="s">
        <v>2625</v>
      </c>
      <c r="F68" s="49">
        <f t="shared" ref="F68:F131" si="7">IF(A68&lt;&gt;"",F67+1,"")</f>
        <v>67</v>
      </c>
      <c r="J68" s="49">
        <f t="shared" si="4"/>
        <v>1.8139099999999999</v>
      </c>
      <c r="K68" s="49">
        <f t="shared" si="5"/>
        <v>48.982500000000002</v>
      </c>
      <c r="L68" s="49">
        <f t="shared" si="6"/>
        <v>27.003820476208855</v>
      </c>
    </row>
    <row r="69" spans="1:12">
      <c r="A69" s="49">
        <v>0.180923</v>
      </c>
      <c r="B69" s="49">
        <v>0.49031599999999997</v>
      </c>
      <c r="C69">
        <v>27.199300000000001</v>
      </c>
      <c r="D69">
        <v>0</v>
      </c>
      <c r="E69" t="s">
        <v>2626</v>
      </c>
      <c r="F69" s="49">
        <f t="shared" si="7"/>
        <v>68</v>
      </c>
      <c r="J69" s="49">
        <f t="shared" si="4"/>
        <v>1.8092299999999999</v>
      </c>
      <c r="K69" s="49">
        <f t="shared" si="5"/>
        <v>49.031599999999997</v>
      </c>
      <c r="L69" s="49">
        <f t="shared" si="6"/>
        <v>27.100810842181481</v>
      </c>
    </row>
    <row r="70" spans="1:12">
      <c r="A70" s="49">
        <v>0.18032500000000001</v>
      </c>
      <c r="B70" s="49">
        <v>0.49138500000000002</v>
      </c>
      <c r="C70">
        <v>27.629799999999999</v>
      </c>
      <c r="D70">
        <v>0</v>
      </c>
      <c r="E70" t="s">
        <v>2627</v>
      </c>
      <c r="F70" s="49">
        <f t="shared" si="7"/>
        <v>69</v>
      </c>
      <c r="J70" s="49">
        <f t="shared" si="4"/>
        <v>1.8032500000000002</v>
      </c>
      <c r="K70" s="49">
        <f t="shared" si="5"/>
        <v>49.138500000000001</v>
      </c>
      <c r="L70" s="49">
        <f t="shared" si="6"/>
        <v>27.249965340357683</v>
      </c>
    </row>
    <row r="71" spans="1:12">
      <c r="A71" s="49">
        <v>0.179752</v>
      </c>
      <c r="B71" s="49">
        <v>0.49272199999999999</v>
      </c>
      <c r="C71">
        <v>28.016300000000001</v>
      </c>
      <c r="D71">
        <v>0</v>
      </c>
      <c r="E71" t="s">
        <v>2628</v>
      </c>
      <c r="F71" s="49">
        <f t="shared" si="7"/>
        <v>70</v>
      </c>
      <c r="J71" s="49">
        <f t="shared" si="4"/>
        <v>1.79752</v>
      </c>
      <c r="K71" s="49">
        <f t="shared" si="5"/>
        <v>49.272199999999998</v>
      </c>
      <c r="L71" s="49">
        <f t="shared" si="6"/>
        <v>27.411211001824736</v>
      </c>
    </row>
    <row r="72" spans="1:12">
      <c r="A72" s="49">
        <v>0.179116</v>
      </c>
      <c r="B72" s="49">
        <v>0.49413499999999999</v>
      </c>
      <c r="C72">
        <v>28.417999999999999</v>
      </c>
      <c r="D72">
        <v>0</v>
      </c>
      <c r="E72" t="s">
        <v>2629</v>
      </c>
      <c r="F72" s="49">
        <f t="shared" si="7"/>
        <v>71</v>
      </c>
      <c r="J72" s="49">
        <f t="shared" si="4"/>
        <v>1.7911600000000001</v>
      </c>
      <c r="K72" s="49">
        <f t="shared" si="5"/>
        <v>49.413499999999999</v>
      </c>
      <c r="L72" s="49">
        <f t="shared" si="6"/>
        <v>27.58742937537685</v>
      </c>
    </row>
    <row r="73" spans="1:12">
      <c r="A73" s="49">
        <v>0.178392</v>
      </c>
      <c r="B73" s="49">
        <v>0.49569999999999997</v>
      </c>
      <c r="C73">
        <v>28.848400000000002</v>
      </c>
      <c r="D73">
        <v>0</v>
      </c>
      <c r="E73" t="s">
        <v>2630</v>
      </c>
      <c r="F73" s="49">
        <f t="shared" si="7"/>
        <v>72</v>
      </c>
      <c r="J73" s="49">
        <f t="shared" si="4"/>
        <v>1.78392</v>
      </c>
      <c r="K73" s="49">
        <f t="shared" si="5"/>
        <v>49.57</v>
      </c>
      <c r="L73" s="49">
        <f t="shared" si="6"/>
        <v>27.787120498677073</v>
      </c>
    </row>
    <row r="74" spans="1:12">
      <c r="A74" s="49">
        <v>0.177673</v>
      </c>
      <c r="B74" s="49">
        <v>0.49729000000000001</v>
      </c>
      <c r="C74">
        <v>29.238900000000001</v>
      </c>
      <c r="D74">
        <v>0</v>
      </c>
      <c r="E74" t="s">
        <v>2631</v>
      </c>
      <c r="F74" s="49">
        <f t="shared" si="7"/>
        <v>73</v>
      </c>
      <c r="J74" s="49">
        <f t="shared" si="4"/>
        <v>1.7767299999999999</v>
      </c>
      <c r="K74" s="49">
        <f t="shared" si="5"/>
        <v>49.728999999999999</v>
      </c>
      <c r="L74" s="49">
        <f t="shared" si="6"/>
        <v>27.989058551383721</v>
      </c>
    </row>
    <row r="75" spans="1:12">
      <c r="A75" s="49">
        <v>0.17686099999999999</v>
      </c>
      <c r="B75" s="49">
        <v>0.498973</v>
      </c>
      <c r="C75">
        <v>29.639500000000002</v>
      </c>
      <c r="D75">
        <v>0</v>
      </c>
      <c r="E75" t="s">
        <v>2632</v>
      </c>
      <c r="F75" s="49">
        <f t="shared" si="7"/>
        <v>74</v>
      </c>
      <c r="J75" s="49">
        <f t="shared" si="4"/>
        <v>1.7686099999999998</v>
      </c>
      <c r="K75" s="49">
        <f t="shared" si="5"/>
        <v>49.897300000000001</v>
      </c>
      <c r="L75" s="49">
        <f t="shared" si="6"/>
        <v>28.212720724184532</v>
      </c>
    </row>
    <row r="76" spans="1:12">
      <c r="A76" s="49">
        <v>0.175987</v>
      </c>
      <c r="B76" s="49">
        <v>0.50034599999999996</v>
      </c>
      <c r="C76">
        <v>30.0656</v>
      </c>
      <c r="D76">
        <v>0</v>
      </c>
      <c r="E76" t="s">
        <v>2633</v>
      </c>
      <c r="F76" s="49">
        <f t="shared" si="7"/>
        <v>75</v>
      </c>
      <c r="J76" s="49">
        <f t="shared" si="4"/>
        <v>1.75987</v>
      </c>
      <c r="K76" s="49">
        <f t="shared" si="5"/>
        <v>50.034599999999998</v>
      </c>
      <c r="L76" s="49">
        <f t="shared" si="6"/>
        <v>28.430850005966349</v>
      </c>
    </row>
    <row r="77" spans="1:12">
      <c r="A77" s="49">
        <v>0.17519100000000001</v>
      </c>
      <c r="B77" s="49">
        <v>0.50087000000000004</v>
      </c>
      <c r="C77">
        <v>30.456199999999999</v>
      </c>
      <c r="D77">
        <v>0</v>
      </c>
      <c r="E77" t="s">
        <v>2634</v>
      </c>
      <c r="F77" s="49">
        <f t="shared" si="7"/>
        <v>76</v>
      </c>
      <c r="J77" s="49">
        <f t="shared" si="4"/>
        <v>1.7519100000000001</v>
      </c>
      <c r="K77" s="49">
        <f t="shared" si="5"/>
        <v>50.087000000000003</v>
      </c>
      <c r="L77" s="49">
        <f t="shared" si="6"/>
        <v>28.589938980883723</v>
      </c>
    </row>
    <row r="78" spans="1:12">
      <c r="A78" s="49">
        <v>0.17447399999999999</v>
      </c>
      <c r="B78" s="49">
        <v>0.50154699999999997</v>
      </c>
      <c r="C78">
        <v>30.860800000000001</v>
      </c>
      <c r="D78">
        <v>0</v>
      </c>
      <c r="E78" t="s">
        <v>2635</v>
      </c>
      <c r="F78" s="49">
        <f t="shared" si="7"/>
        <v>77</v>
      </c>
      <c r="J78" s="49">
        <f t="shared" si="4"/>
        <v>1.74474</v>
      </c>
      <c r="K78" s="49">
        <f t="shared" si="5"/>
        <v>50.154699999999998</v>
      </c>
      <c r="L78" s="49">
        <f t="shared" si="6"/>
        <v>28.746231530199342</v>
      </c>
    </row>
    <row r="79" spans="1:12">
      <c r="A79" s="49">
        <v>0.17357400000000001</v>
      </c>
      <c r="B79" s="49">
        <v>0.50252699999999995</v>
      </c>
      <c r="C79">
        <v>31.264399999999998</v>
      </c>
      <c r="D79">
        <v>0</v>
      </c>
      <c r="E79" t="s">
        <v>2636</v>
      </c>
      <c r="F79" s="49">
        <f t="shared" si="7"/>
        <v>78</v>
      </c>
      <c r="J79" s="49">
        <f t="shared" si="4"/>
        <v>1.7357400000000001</v>
      </c>
      <c r="K79" s="49">
        <f t="shared" si="5"/>
        <v>50.252699999999997</v>
      </c>
      <c r="L79" s="49">
        <f t="shared" si="6"/>
        <v>28.951743924781358</v>
      </c>
    </row>
    <row r="80" spans="1:12">
      <c r="A80" s="49">
        <v>0.172482</v>
      </c>
      <c r="B80" s="49">
        <v>0.50377799999999995</v>
      </c>
      <c r="C80">
        <v>31.680700000000002</v>
      </c>
      <c r="D80">
        <v>0</v>
      </c>
      <c r="E80" t="s">
        <v>2637</v>
      </c>
      <c r="F80" s="49">
        <f t="shared" si="7"/>
        <v>79</v>
      </c>
      <c r="J80" s="49">
        <f t="shared" si="4"/>
        <v>1.72482</v>
      </c>
      <c r="K80" s="49">
        <f t="shared" si="5"/>
        <v>50.377799999999993</v>
      </c>
      <c r="L80" s="49">
        <f t="shared" si="6"/>
        <v>29.207569485511527</v>
      </c>
    </row>
    <row r="81" spans="1:12">
      <c r="A81" s="49">
        <v>0.17138700000000001</v>
      </c>
      <c r="B81" s="49">
        <v>0.50524400000000003</v>
      </c>
      <c r="C81">
        <v>32.082599999999999</v>
      </c>
      <c r="D81">
        <v>0</v>
      </c>
      <c r="E81" t="s">
        <v>2638</v>
      </c>
      <c r="F81" s="49">
        <f t="shared" si="7"/>
        <v>80</v>
      </c>
      <c r="J81" s="49">
        <f t="shared" si="4"/>
        <v>1.71387</v>
      </c>
      <c r="K81" s="49">
        <f t="shared" si="5"/>
        <v>50.5244</v>
      </c>
      <c r="L81" s="49">
        <f t="shared" si="6"/>
        <v>29.479715497674853</v>
      </c>
    </row>
    <row r="82" spans="1:12">
      <c r="A82" s="49">
        <v>0.17116899999999999</v>
      </c>
      <c r="B82" s="49">
        <v>0.50745499999999999</v>
      </c>
      <c r="C82">
        <v>32.502099999999999</v>
      </c>
      <c r="D82">
        <v>0</v>
      </c>
      <c r="E82" t="s">
        <v>2639</v>
      </c>
      <c r="F82" s="49">
        <f t="shared" si="7"/>
        <v>81</v>
      </c>
      <c r="J82" s="49">
        <f t="shared" si="4"/>
        <v>1.7116899999999999</v>
      </c>
      <c r="K82" s="49">
        <f t="shared" si="5"/>
        <v>50.7455</v>
      </c>
      <c r="L82" s="49">
        <f t="shared" si="6"/>
        <v>29.64643130473392</v>
      </c>
    </row>
    <row r="83" spans="1:12">
      <c r="A83" s="49">
        <v>0.17100499999999999</v>
      </c>
      <c r="B83" s="49">
        <v>0.50946499999999995</v>
      </c>
      <c r="C83">
        <v>32.890799999999999</v>
      </c>
      <c r="D83">
        <v>0</v>
      </c>
      <c r="E83" t="s">
        <v>2640</v>
      </c>
      <c r="F83" s="49">
        <f t="shared" si="7"/>
        <v>82</v>
      </c>
      <c r="J83" s="49">
        <f t="shared" si="4"/>
        <v>1.7100499999999998</v>
      </c>
      <c r="K83" s="49">
        <f t="shared" si="5"/>
        <v>50.946499999999993</v>
      </c>
      <c r="L83" s="49">
        <f t="shared" si="6"/>
        <v>29.792403730885059</v>
      </c>
    </row>
    <row r="84" spans="1:12">
      <c r="A84" s="49">
        <v>0.170964</v>
      </c>
      <c r="B84" s="49">
        <v>0.51100000000000001</v>
      </c>
      <c r="C84">
        <v>33.301099999999998</v>
      </c>
      <c r="D84">
        <v>0</v>
      </c>
      <c r="E84" t="s">
        <v>2641</v>
      </c>
      <c r="F84" s="49">
        <f t="shared" si="7"/>
        <v>83</v>
      </c>
      <c r="J84" s="49">
        <f t="shared" si="4"/>
        <v>1.70964</v>
      </c>
      <c r="K84" s="49">
        <f t="shared" si="5"/>
        <v>51.1</v>
      </c>
      <c r="L84" s="49">
        <f t="shared" si="6"/>
        <v>29.889333426920288</v>
      </c>
    </row>
    <row r="85" spans="1:12">
      <c r="A85" s="49">
        <v>0.17098099999999999</v>
      </c>
      <c r="B85" s="49">
        <v>0.51242900000000002</v>
      </c>
      <c r="C85">
        <v>33.712600000000002</v>
      </c>
      <c r="D85">
        <v>0</v>
      </c>
      <c r="E85" t="s">
        <v>2642</v>
      </c>
      <c r="F85" s="49">
        <f t="shared" si="7"/>
        <v>84</v>
      </c>
      <c r="J85" s="49">
        <f t="shared" si="4"/>
        <v>1.7098100000000001</v>
      </c>
      <c r="K85" s="49">
        <f t="shared" si="5"/>
        <v>51.242900000000006</v>
      </c>
      <c r="L85" s="49">
        <f t="shared" si="6"/>
        <v>29.969938180265647</v>
      </c>
    </row>
    <row r="86" spans="1:12">
      <c r="A86" s="49">
        <v>0.17091300000000001</v>
      </c>
      <c r="B86" s="49">
        <v>0.51426499999999997</v>
      </c>
      <c r="C86">
        <v>34.123800000000003</v>
      </c>
      <c r="D86">
        <v>0</v>
      </c>
      <c r="E86" t="s">
        <v>2643</v>
      </c>
      <c r="F86" s="49">
        <f t="shared" si="7"/>
        <v>85</v>
      </c>
      <c r="J86" s="49">
        <f t="shared" si="4"/>
        <v>1.70913</v>
      </c>
      <c r="K86" s="49">
        <f t="shared" si="5"/>
        <v>51.426499999999997</v>
      </c>
      <c r="L86" s="49">
        <f t="shared" si="6"/>
        <v>30.089285191881249</v>
      </c>
    </row>
    <row r="87" spans="1:12">
      <c r="A87" s="49">
        <v>0.170905</v>
      </c>
      <c r="B87" s="49">
        <v>0.51605800000000002</v>
      </c>
      <c r="C87">
        <v>34.525100000000002</v>
      </c>
      <c r="D87">
        <v>0</v>
      </c>
      <c r="E87" t="s">
        <v>2644</v>
      </c>
      <c r="F87" s="49">
        <f t="shared" si="7"/>
        <v>86</v>
      </c>
      <c r="J87" s="49">
        <f t="shared" si="4"/>
        <v>1.70905</v>
      </c>
      <c r="K87" s="49">
        <f t="shared" si="5"/>
        <v>51.605800000000002</v>
      </c>
      <c r="L87" s="49">
        <f t="shared" si="6"/>
        <v>30.195605745882219</v>
      </c>
    </row>
    <row r="88" spans="1:12">
      <c r="A88" s="49">
        <v>0.17103299999999999</v>
      </c>
      <c r="B88" s="49">
        <v>0.51761999999999997</v>
      </c>
      <c r="C88">
        <v>34.923200000000001</v>
      </c>
      <c r="D88">
        <v>0</v>
      </c>
      <c r="E88" t="s">
        <v>2645</v>
      </c>
      <c r="F88" s="49">
        <f t="shared" si="7"/>
        <v>87</v>
      </c>
      <c r="J88" s="49">
        <f t="shared" si="4"/>
        <v>1.7103299999999999</v>
      </c>
      <c r="K88" s="49">
        <f t="shared" si="5"/>
        <v>51.762</v>
      </c>
      <c r="L88" s="49">
        <f t="shared" si="6"/>
        <v>30.264334952903827</v>
      </c>
    </row>
    <row r="89" spans="1:12">
      <c r="A89" s="49">
        <v>0.171149</v>
      </c>
      <c r="B89" s="49">
        <v>0.51958800000000005</v>
      </c>
      <c r="C89">
        <v>35.328499999999998</v>
      </c>
      <c r="D89">
        <v>0</v>
      </c>
      <c r="E89" t="s">
        <v>2646</v>
      </c>
      <c r="F89" s="49">
        <f t="shared" si="7"/>
        <v>88</v>
      </c>
      <c r="J89" s="49">
        <f t="shared" si="4"/>
        <v>1.71149</v>
      </c>
      <c r="K89" s="49">
        <f t="shared" si="5"/>
        <v>51.958800000000004</v>
      </c>
      <c r="L89" s="49">
        <f t="shared" si="6"/>
        <v>30.358810159568566</v>
      </c>
    </row>
    <row r="90" spans="1:12">
      <c r="A90" s="49">
        <v>0.171267</v>
      </c>
      <c r="B90" s="49">
        <v>0.52195400000000003</v>
      </c>
      <c r="C90">
        <v>35.750399999999999</v>
      </c>
      <c r="D90">
        <v>0</v>
      </c>
      <c r="E90" t="s">
        <v>2647</v>
      </c>
      <c r="F90" s="49">
        <f t="shared" si="7"/>
        <v>89</v>
      </c>
      <c r="J90" s="49">
        <f t="shared" si="4"/>
        <v>1.7126700000000001</v>
      </c>
      <c r="K90" s="49">
        <f t="shared" si="5"/>
        <v>52.195400000000006</v>
      </c>
      <c r="L90" s="49">
        <f t="shared" si="6"/>
        <v>30.476040334682107</v>
      </c>
    </row>
    <row r="91" spans="1:12">
      <c r="A91" s="49">
        <v>0.17158799999999999</v>
      </c>
      <c r="B91" s="49">
        <v>0.52437400000000001</v>
      </c>
      <c r="C91">
        <v>36.175699999999999</v>
      </c>
      <c r="D91">
        <v>0</v>
      </c>
      <c r="E91" t="s">
        <v>2648</v>
      </c>
      <c r="F91" s="49">
        <f t="shared" si="7"/>
        <v>90</v>
      </c>
      <c r="J91" s="49">
        <f t="shared" si="4"/>
        <v>1.7158799999999998</v>
      </c>
      <c r="K91" s="49">
        <f t="shared" si="5"/>
        <v>52.437400000000004</v>
      </c>
      <c r="L91" s="49">
        <f t="shared" si="6"/>
        <v>30.560062475231373</v>
      </c>
    </row>
    <row r="92" spans="1:12">
      <c r="A92" s="49">
        <v>0.172073</v>
      </c>
      <c r="B92" s="49">
        <v>0.52705500000000005</v>
      </c>
      <c r="C92">
        <v>36.551000000000002</v>
      </c>
      <c r="D92">
        <v>0</v>
      </c>
      <c r="E92" t="s">
        <v>2649</v>
      </c>
      <c r="F92" s="49">
        <f t="shared" si="7"/>
        <v>91</v>
      </c>
      <c r="J92" s="49">
        <f t="shared" si="4"/>
        <v>1.7207300000000001</v>
      </c>
      <c r="K92" s="49">
        <f t="shared" si="5"/>
        <v>52.705500000000008</v>
      </c>
      <c r="L92" s="49">
        <f t="shared" si="6"/>
        <v>30.629732729713556</v>
      </c>
    </row>
    <row r="93" spans="1:12">
      <c r="A93" s="49">
        <v>0.17220299999999999</v>
      </c>
      <c r="B93" s="49">
        <v>0.52959100000000003</v>
      </c>
      <c r="C93">
        <v>36.957700000000003</v>
      </c>
      <c r="D93">
        <v>0</v>
      </c>
      <c r="E93" t="s">
        <v>2650</v>
      </c>
      <c r="F93" s="49">
        <f t="shared" si="7"/>
        <v>92</v>
      </c>
      <c r="J93" s="49">
        <f t="shared" si="4"/>
        <v>1.7220299999999999</v>
      </c>
      <c r="K93" s="49">
        <f t="shared" si="5"/>
        <v>52.959100000000007</v>
      </c>
      <c r="L93" s="49">
        <f t="shared" si="6"/>
        <v>30.753877690864854</v>
      </c>
    </row>
    <row r="94" spans="1:12">
      <c r="A94" s="49">
        <v>0.172127</v>
      </c>
      <c r="B94" s="49">
        <v>0.53150299999999995</v>
      </c>
      <c r="C94">
        <v>37.362200000000001</v>
      </c>
      <c r="D94">
        <v>0</v>
      </c>
      <c r="E94" t="s">
        <v>2651</v>
      </c>
      <c r="F94" s="49">
        <f t="shared" si="7"/>
        <v>93</v>
      </c>
      <c r="J94" s="49">
        <f t="shared" si="4"/>
        <v>1.7212700000000001</v>
      </c>
      <c r="K94" s="49">
        <f t="shared" si="5"/>
        <v>53.150299999999994</v>
      </c>
      <c r="L94" s="49">
        <f t="shared" si="6"/>
        <v>30.878537359043026</v>
      </c>
    </row>
    <row r="95" spans="1:12">
      <c r="A95" s="49">
        <v>0.171956</v>
      </c>
      <c r="B95" s="49">
        <v>0.53315000000000001</v>
      </c>
      <c r="C95">
        <v>37.772500000000001</v>
      </c>
      <c r="D95">
        <v>0</v>
      </c>
      <c r="E95" t="s">
        <v>2652</v>
      </c>
      <c r="F95" s="49">
        <f t="shared" si="7"/>
        <v>94</v>
      </c>
      <c r="J95" s="49">
        <f t="shared" si="4"/>
        <v>1.71956</v>
      </c>
      <c r="K95" s="49">
        <f t="shared" si="5"/>
        <v>53.314999999999998</v>
      </c>
      <c r="L95" s="49">
        <f t="shared" si="6"/>
        <v>31.005024541161692</v>
      </c>
    </row>
    <row r="96" spans="1:12">
      <c r="A96" s="49">
        <v>0.17141700000000001</v>
      </c>
      <c r="B96" s="49">
        <v>0.53527599999999997</v>
      </c>
      <c r="C96">
        <v>38.170499999999997</v>
      </c>
      <c r="D96">
        <v>0</v>
      </c>
      <c r="E96" t="s">
        <v>2653</v>
      </c>
      <c r="F96" s="49">
        <f t="shared" si="7"/>
        <v>95</v>
      </c>
      <c r="J96" s="49">
        <f t="shared" si="4"/>
        <v>1.7141700000000002</v>
      </c>
      <c r="K96" s="49">
        <f t="shared" si="5"/>
        <v>53.5276</v>
      </c>
      <c r="L96" s="49">
        <f t="shared" si="6"/>
        <v>31.226541124859256</v>
      </c>
    </row>
    <row r="97" spans="1:12">
      <c r="A97" s="49">
        <v>0.17100199999999999</v>
      </c>
      <c r="B97" s="49">
        <v>0.536636</v>
      </c>
      <c r="C97">
        <v>38.5867</v>
      </c>
      <c r="D97">
        <v>0</v>
      </c>
      <c r="E97" t="s">
        <v>2654</v>
      </c>
      <c r="F97" s="49">
        <f t="shared" si="7"/>
        <v>96</v>
      </c>
      <c r="J97" s="49">
        <f t="shared" si="4"/>
        <v>1.7100199999999999</v>
      </c>
      <c r="K97" s="49">
        <f t="shared" si="5"/>
        <v>53.663600000000002</v>
      </c>
      <c r="L97" s="49">
        <f t="shared" si="6"/>
        <v>31.381855182980321</v>
      </c>
    </row>
    <row r="98" spans="1:12">
      <c r="A98" s="49">
        <v>0.171046</v>
      </c>
      <c r="B98" s="49">
        <v>0.53602099999999997</v>
      </c>
      <c r="C98">
        <v>38.990499999999997</v>
      </c>
      <c r="D98">
        <v>0</v>
      </c>
      <c r="E98" t="s">
        <v>2655</v>
      </c>
      <c r="F98" s="49">
        <f t="shared" si="7"/>
        <v>97</v>
      </c>
      <c r="J98" s="49">
        <f t="shared" si="4"/>
        <v>1.7104600000000001</v>
      </c>
      <c r="K98" s="49">
        <f t="shared" si="5"/>
        <v>53.6021</v>
      </c>
      <c r="L98" s="49">
        <f t="shared" si="6"/>
        <v>31.337827251148813</v>
      </c>
    </row>
    <row r="99" spans="1:12">
      <c r="A99" s="49">
        <v>0.170657</v>
      </c>
      <c r="B99" s="49">
        <v>0.53670700000000005</v>
      </c>
      <c r="C99">
        <v>39.406500000000001</v>
      </c>
      <c r="D99">
        <v>0</v>
      </c>
      <c r="E99" t="s">
        <v>2656</v>
      </c>
      <c r="F99" s="49">
        <f t="shared" si="7"/>
        <v>98</v>
      </c>
      <c r="J99" s="49">
        <f t="shared" si="4"/>
        <v>1.7065700000000001</v>
      </c>
      <c r="K99" s="49">
        <f t="shared" si="5"/>
        <v>53.670700000000004</v>
      </c>
      <c r="L99" s="49">
        <f t="shared" si="6"/>
        <v>31.44945709815595</v>
      </c>
    </row>
    <row r="100" spans="1:12">
      <c r="A100" s="49">
        <v>0.16955999999999999</v>
      </c>
      <c r="B100" s="49">
        <v>0.54019300000000003</v>
      </c>
      <c r="C100">
        <v>39.798000000000002</v>
      </c>
      <c r="D100">
        <v>0</v>
      </c>
      <c r="E100" t="s">
        <v>2657</v>
      </c>
      <c r="F100" s="49">
        <f t="shared" si="7"/>
        <v>99</v>
      </c>
      <c r="J100" s="49">
        <f t="shared" si="4"/>
        <v>1.6955999999999998</v>
      </c>
      <c r="K100" s="49">
        <f t="shared" si="5"/>
        <v>54.019300000000001</v>
      </c>
      <c r="L100" s="49">
        <f t="shared" si="6"/>
        <v>31.858516159471577</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45819.7346875</v>
      </c>
      <c r="B2" t="s">
        <v>2658</v>
      </c>
      <c r="C2" s="49"/>
      <c r="D2" s="49"/>
      <c r="E2" s="49">
        <v>4.9234099999999996</v>
      </c>
      <c r="F2" s="49">
        <v>0.89397800000000005</v>
      </c>
      <c r="G2" s="49">
        <v>0.50248899999999996</v>
      </c>
      <c r="H2" s="49">
        <v>0</v>
      </c>
      <c r="I2" s="49">
        <v>2.0914700000000002</v>
      </c>
      <c r="J2" s="49">
        <v>52</v>
      </c>
      <c r="K2" s="49">
        <v>52</v>
      </c>
      <c r="L2" s="49">
        <v>100</v>
      </c>
      <c r="M2" s="521" t="s">
        <v>1549</v>
      </c>
      <c r="O2" s="565" t="str">
        <f>IF(FH_info!B2="","",TRIM(MID(SUBSTITUTE(FH_info!B2,"^",REPT(" ",LEN(FH_info!B2))),LEN(FH_info!B2)*2-LEN(FH_info!B2)+1,LEN(FH_info!B2))))</f>
        <v>zcz7</v>
      </c>
      <c r="P2" s="565" t="str">
        <f>IF(FH_info!O2="","",TRIM(MID(SUBSTITUTE(FH_info!O2," ",REPT(" ",LEN(FH_info!O2))),LEN(FH_info!O2)*1-LEN(FH_info!O2)+1,LEN(FH_info!O2))))</f>
        <v>zcz7</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1</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2.091472</v>
      </c>
      <c r="D2">
        <f>MAX(B2:B257)</f>
        <v>45.834212999999998</v>
      </c>
      <c r="G2" t="s">
        <v>1590</v>
      </c>
      <c r="H2">
        <v>4.9234140000000002</v>
      </c>
      <c r="I2">
        <v>2.091472</v>
      </c>
      <c r="J2">
        <v>0</v>
      </c>
      <c r="K2">
        <v>52</v>
      </c>
      <c r="L2">
        <v>52</v>
      </c>
      <c r="M2">
        <v>0.89397800000000005</v>
      </c>
      <c r="N2">
        <v>0.50248899999999996</v>
      </c>
      <c r="O2">
        <v>0.25249500000000002</v>
      </c>
    </row>
    <row r="3" spans="1:15">
      <c r="A3">
        <v>0</v>
      </c>
      <c r="B3">
        <v>0</v>
      </c>
      <c r="G3" t="s">
        <v>1591</v>
      </c>
      <c r="H3">
        <v>4.9234140000000002</v>
      </c>
      <c r="I3">
        <v>45.834212999999998</v>
      </c>
      <c r="J3">
        <v>0</v>
      </c>
      <c r="K3">
        <v>3</v>
      </c>
      <c r="L3">
        <v>3</v>
      </c>
      <c r="M3">
        <v>0.24209600000000001</v>
      </c>
      <c r="N3">
        <v>0.247636</v>
      </c>
      <c r="O3">
        <v>6.1323999999999997E-2</v>
      </c>
    </row>
    <row r="4" spans="1:15">
      <c r="A4">
        <v>0</v>
      </c>
      <c r="B4">
        <v>0</v>
      </c>
    </row>
    <row r="5" spans="1:15">
      <c r="A5">
        <v>0.90456800000000004</v>
      </c>
      <c r="B5">
        <v>45.834212999999998</v>
      </c>
    </row>
    <row r="6" spans="1:15">
      <c r="A6">
        <v>0</v>
      </c>
      <c r="B6">
        <v>0</v>
      </c>
    </row>
    <row r="7" spans="1:15">
      <c r="A7">
        <v>0</v>
      </c>
      <c r="B7">
        <v>0</v>
      </c>
    </row>
    <row r="8" spans="1:15">
      <c r="A8">
        <v>1.158579</v>
      </c>
      <c r="B8">
        <v>30.230864</v>
      </c>
    </row>
    <row r="9" spans="1:15">
      <c r="A9">
        <v>0</v>
      </c>
      <c r="B9">
        <v>0</v>
      </c>
    </row>
    <row r="10" spans="1:15">
      <c r="A10">
        <v>1.304467</v>
      </c>
      <c r="B10">
        <v>20.083653999999999</v>
      </c>
    </row>
    <row r="11" spans="1:15">
      <c r="A11">
        <v>0</v>
      </c>
      <c r="B11">
        <v>0</v>
      </c>
    </row>
    <row r="12" spans="1:15">
      <c r="A12">
        <v>0</v>
      </c>
      <c r="B12">
        <v>0</v>
      </c>
    </row>
    <row r="13" spans="1:15">
      <c r="A13">
        <v>1.5595939999999999</v>
      </c>
      <c r="B13">
        <v>13.867005000000001</v>
      </c>
    </row>
    <row r="14" spans="1:15">
      <c r="A14">
        <v>0</v>
      </c>
      <c r="B14">
        <v>0</v>
      </c>
    </row>
    <row r="15" spans="1:15">
      <c r="A15">
        <v>2.0233500000000002</v>
      </c>
      <c r="B15">
        <v>10.031675</v>
      </c>
    </row>
    <row r="16" spans="1:15">
      <c r="A16">
        <v>0</v>
      </c>
      <c r="B16">
        <v>0</v>
      </c>
    </row>
    <row r="17" spans="1:2">
      <c r="A17">
        <v>0</v>
      </c>
      <c r="B17">
        <v>0</v>
      </c>
    </row>
    <row r="18" spans="1:2">
      <c r="A18">
        <v>2.0060910000000001</v>
      </c>
      <c r="B18">
        <v>7.6549240000000003</v>
      </c>
    </row>
    <row r="19" spans="1:2">
      <c r="A19">
        <v>0</v>
      </c>
      <c r="B19">
        <v>0</v>
      </c>
    </row>
    <row r="20" spans="1:2">
      <c r="A20">
        <v>0</v>
      </c>
      <c r="B20">
        <v>0</v>
      </c>
    </row>
    <row r="21" spans="1:2">
      <c r="A21">
        <v>1.875939</v>
      </c>
      <c r="B21">
        <v>5.9554309999999999</v>
      </c>
    </row>
    <row r="22" spans="1:2">
      <c r="A22">
        <v>0</v>
      </c>
      <c r="B22">
        <v>0</v>
      </c>
    </row>
    <row r="23" spans="1:2">
      <c r="A23">
        <v>1.6108629999999999</v>
      </c>
      <c r="B23">
        <v>4.7574620000000003</v>
      </c>
    </row>
    <row r="24" spans="1:2">
      <c r="A24">
        <v>0</v>
      </c>
      <c r="B24">
        <v>0</v>
      </c>
    </row>
    <row r="25" spans="1:2">
      <c r="A25">
        <v>0</v>
      </c>
      <c r="B25">
        <v>0</v>
      </c>
    </row>
    <row r="26" spans="1:2">
      <c r="A26">
        <v>1.5251779999999999</v>
      </c>
      <c r="B26">
        <v>3.8518780000000001</v>
      </c>
    </row>
    <row r="27" spans="1:2">
      <c r="A27">
        <v>0</v>
      </c>
      <c r="B27">
        <v>0</v>
      </c>
    </row>
    <row r="28" spans="1:2">
      <c r="A28">
        <v>1.6841619999999999</v>
      </c>
      <c r="B28">
        <v>3.1517770000000001</v>
      </c>
    </row>
    <row r="29" spans="1:2">
      <c r="A29">
        <v>0</v>
      </c>
      <c r="B29">
        <v>0</v>
      </c>
    </row>
    <row r="30" spans="1:2">
      <c r="A30">
        <v>0</v>
      </c>
      <c r="B30">
        <v>0</v>
      </c>
    </row>
    <row r="31" spans="1:2">
      <c r="A31">
        <v>1.726294</v>
      </c>
      <c r="B31">
        <v>2.6846700000000001</v>
      </c>
    </row>
    <row r="32" spans="1:2">
      <c r="A32">
        <v>0</v>
      </c>
      <c r="B32">
        <v>0</v>
      </c>
    </row>
    <row r="33" spans="1:2">
      <c r="A33">
        <v>1.5146189999999999</v>
      </c>
      <c r="B33">
        <v>2.2931979999999998</v>
      </c>
    </row>
    <row r="34" spans="1:2">
      <c r="A34">
        <v>0</v>
      </c>
      <c r="B34">
        <v>0</v>
      </c>
    </row>
    <row r="35" spans="1:2">
      <c r="A35">
        <v>0</v>
      </c>
      <c r="B35">
        <v>0</v>
      </c>
    </row>
    <row r="36" spans="1:2">
      <c r="A36">
        <v>1.717767</v>
      </c>
      <c r="B36">
        <v>1.9860910000000001</v>
      </c>
    </row>
    <row r="37" spans="1:2">
      <c r="A37">
        <v>0</v>
      </c>
      <c r="B37">
        <v>0</v>
      </c>
    </row>
    <row r="38" spans="1:2">
      <c r="A38">
        <v>0</v>
      </c>
      <c r="B38">
        <v>0</v>
      </c>
    </row>
    <row r="39" spans="1:2">
      <c r="A39">
        <v>1.8366499999999999</v>
      </c>
      <c r="B39">
        <v>1.7249749999999999</v>
      </c>
    </row>
    <row r="40" spans="1:2">
      <c r="A40">
        <v>0</v>
      </c>
      <c r="B40">
        <v>0</v>
      </c>
    </row>
    <row r="41" spans="1:2">
      <c r="A41">
        <v>1.91066</v>
      </c>
      <c r="B41">
        <v>1.5149239999999999</v>
      </c>
    </row>
    <row r="42" spans="1:2">
      <c r="A42">
        <v>0</v>
      </c>
      <c r="B42">
        <v>0</v>
      </c>
    </row>
    <row r="43" spans="1:2">
      <c r="A43">
        <v>0</v>
      </c>
      <c r="B43">
        <v>0</v>
      </c>
    </row>
    <row r="44" spans="1:2">
      <c r="A44">
        <v>1.9539089999999999</v>
      </c>
      <c r="B44">
        <v>1.3498479999999999</v>
      </c>
    </row>
    <row r="45" spans="1:2">
      <c r="A45">
        <v>0</v>
      </c>
      <c r="B45">
        <v>0</v>
      </c>
    </row>
    <row r="46" spans="1:2">
      <c r="A46">
        <v>1.706904</v>
      </c>
      <c r="B46">
        <v>1.2139089999999999</v>
      </c>
    </row>
    <row r="47" spans="1:2">
      <c r="A47">
        <v>0</v>
      </c>
      <c r="B47">
        <v>0</v>
      </c>
    </row>
    <row r="48" spans="1:2">
      <c r="A48">
        <v>0</v>
      </c>
      <c r="B48">
        <v>0</v>
      </c>
    </row>
    <row r="49" spans="1:2">
      <c r="A49">
        <v>1.664366</v>
      </c>
      <c r="B49">
        <v>1.0852790000000001</v>
      </c>
    </row>
    <row r="50" spans="1:2">
      <c r="A50">
        <v>0</v>
      </c>
      <c r="B50">
        <v>0</v>
      </c>
    </row>
    <row r="51" spans="1:2">
      <c r="A51">
        <v>1.800711</v>
      </c>
      <c r="B51">
        <v>0.94933999999999996</v>
      </c>
    </row>
    <row r="52" spans="1:2">
      <c r="A52">
        <v>0</v>
      </c>
      <c r="B52">
        <v>0</v>
      </c>
    </row>
    <row r="53" spans="1:2">
      <c r="A53">
        <v>0</v>
      </c>
      <c r="B53">
        <v>0</v>
      </c>
    </row>
    <row r="54" spans="1:2">
      <c r="A54">
        <v>2.091472</v>
      </c>
      <c r="B54">
        <v>0.84812200000000004</v>
      </c>
    </row>
    <row r="55" spans="1:2">
      <c r="A55">
        <v>0</v>
      </c>
      <c r="B55">
        <v>0</v>
      </c>
    </row>
    <row r="56" spans="1:2">
      <c r="A56">
        <v>0</v>
      </c>
      <c r="B56">
        <v>0</v>
      </c>
    </row>
    <row r="57" spans="1:2">
      <c r="A57">
        <v>1.8601019999999999</v>
      </c>
      <c r="B57">
        <v>0.61888299999999996</v>
      </c>
    </row>
    <row r="58" spans="1:2">
      <c r="A58">
        <v>0</v>
      </c>
      <c r="B58">
        <v>0</v>
      </c>
    </row>
    <row r="59" spans="1:2">
      <c r="A59">
        <v>1.7893399999999999</v>
      </c>
      <c r="B59">
        <v>0.50253800000000004</v>
      </c>
    </row>
    <row r="60" spans="1:2">
      <c r="A60">
        <v>0</v>
      </c>
      <c r="B60">
        <v>0</v>
      </c>
    </row>
    <row r="61" spans="1:2">
      <c r="A61">
        <v>0</v>
      </c>
      <c r="B61">
        <v>0</v>
      </c>
    </row>
    <row r="62" spans="1:2">
      <c r="A62">
        <v>1.974213</v>
      </c>
      <c r="B62">
        <v>0.40568500000000002</v>
      </c>
    </row>
    <row r="63" spans="1:2">
      <c r="A63">
        <v>0</v>
      </c>
      <c r="B63">
        <v>0</v>
      </c>
    </row>
    <row r="64" spans="1:2">
      <c r="A64">
        <v>2.001827</v>
      </c>
      <c r="B64">
        <v>0.30091400000000001</v>
      </c>
    </row>
    <row r="65" spans="1:2">
      <c r="A65">
        <v>0</v>
      </c>
      <c r="B65">
        <v>0</v>
      </c>
    </row>
    <row r="66" spans="1:2">
      <c r="A66">
        <v>0</v>
      </c>
      <c r="B66">
        <v>0</v>
      </c>
    </row>
    <row r="67" spans="1:2">
      <c r="A67">
        <v>1.708934</v>
      </c>
      <c r="B67">
        <v>0.233401</v>
      </c>
    </row>
    <row r="68" spans="1:2">
      <c r="A68">
        <v>0</v>
      </c>
      <c r="B68">
        <v>0</v>
      </c>
    </row>
    <row r="69" spans="1:2">
      <c r="A69">
        <v>1.71665</v>
      </c>
      <c r="B69">
        <v>0.19817299999999999</v>
      </c>
    </row>
    <row r="70" spans="1:2">
      <c r="A70">
        <v>0</v>
      </c>
      <c r="B70">
        <v>0</v>
      </c>
    </row>
    <row r="71" spans="1:2">
      <c r="A71">
        <v>0</v>
      </c>
      <c r="B71">
        <v>0</v>
      </c>
    </row>
    <row r="72" spans="1:2">
      <c r="A72">
        <v>1.453503</v>
      </c>
      <c r="B72">
        <v>0.17066000000000001</v>
      </c>
    </row>
    <row r="73" spans="1:2">
      <c r="A73">
        <v>0</v>
      </c>
      <c r="B73">
        <v>0</v>
      </c>
    </row>
    <row r="74" spans="1:2">
      <c r="A74">
        <v>0</v>
      </c>
      <c r="B74">
        <v>0</v>
      </c>
    </row>
    <row r="75" spans="1:2">
      <c r="A75">
        <v>1.413807</v>
      </c>
      <c r="B75">
        <v>0.12446699999999999</v>
      </c>
    </row>
    <row r="76" spans="1:2">
      <c r="A76">
        <v>0</v>
      </c>
      <c r="B76">
        <v>0</v>
      </c>
    </row>
    <row r="77" spans="1:2">
      <c r="A77">
        <v>1.204772</v>
      </c>
      <c r="B77">
        <v>9.0051000000000006E-2</v>
      </c>
    </row>
    <row r="78" spans="1:2">
      <c r="A78">
        <v>0</v>
      </c>
      <c r="B78">
        <v>0</v>
      </c>
    </row>
    <row r="79" spans="1:2">
      <c r="A79">
        <v>0</v>
      </c>
      <c r="B79">
        <v>0</v>
      </c>
    </row>
    <row r="80" spans="1:2">
      <c r="A80">
        <v>1.149543</v>
      </c>
      <c r="B80">
        <v>7.8882999999999995E-2</v>
      </c>
    </row>
    <row r="81" spans="1:2">
      <c r="A81">
        <v>0</v>
      </c>
      <c r="B81">
        <v>0</v>
      </c>
    </row>
    <row r="82" spans="1:2">
      <c r="A82">
        <v>0.95522799999999997</v>
      </c>
      <c r="B82">
        <v>4.6294000000000002E-2</v>
      </c>
    </row>
    <row r="83" spans="1:2">
      <c r="A83">
        <v>0</v>
      </c>
      <c r="B83">
        <v>0</v>
      </c>
    </row>
    <row r="84" spans="1:2">
      <c r="A84">
        <v>0</v>
      </c>
      <c r="B84">
        <v>0</v>
      </c>
    </row>
    <row r="85" spans="1:2">
      <c r="A85">
        <v>0.81624399999999997</v>
      </c>
      <c r="B85">
        <v>3.8781999999999997E-2</v>
      </c>
    </row>
    <row r="86" spans="1:2">
      <c r="A86">
        <v>0</v>
      </c>
      <c r="B86">
        <v>0</v>
      </c>
    </row>
    <row r="87" spans="1:2">
      <c r="A87">
        <v>0</v>
      </c>
      <c r="B87">
        <v>0</v>
      </c>
    </row>
    <row r="88" spans="1:2">
      <c r="A88">
        <v>0.50731000000000004</v>
      </c>
      <c r="B88">
        <v>3.6243999999999998E-2</v>
      </c>
    </row>
    <row r="89" spans="1:2">
      <c r="A89">
        <v>0</v>
      </c>
      <c r="B89">
        <v>0</v>
      </c>
    </row>
    <row r="90" spans="1:2">
      <c r="A90">
        <v>0.545381</v>
      </c>
      <c r="B90">
        <v>2.5583999999999999E-2</v>
      </c>
    </row>
    <row r="91" spans="1:2">
      <c r="A91">
        <v>0</v>
      </c>
      <c r="B91">
        <v>0</v>
      </c>
    </row>
    <row r="92" spans="1:2">
      <c r="A92">
        <v>0</v>
      </c>
      <c r="B92">
        <v>0</v>
      </c>
    </row>
    <row r="93" spans="1:2">
      <c r="A93">
        <v>0.51411200000000001</v>
      </c>
      <c r="B93">
        <v>2.3349999999999999E-2</v>
      </c>
    </row>
    <row r="94" spans="1:2">
      <c r="A94">
        <v>0</v>
      </c>
      <c r="B94">
        <v>0</v>
      </c>
    </row>
    <row r="95" spans="1:2">
      <c r="A95">
        <v>0.33258900000000002</v>
      </c>
      <c r="B95">
        <v>1.3401E-2</v>
      </c>
    </row>
    <row r="96" spans="1:2">
      <c r="A96">
        <v>0</v>
      </c>
      <c r="B96">
        <v>0</v>
      </c>
    </row>
    <row r="97" spans="1:2">
      <c r="A97">
        <v>0</v>
      </c>
      <c r="B97">
        <v>0</v>
      </c>
    </row>
    <row r="98" spans="1:2">
      <c r="A98">
        <v>0.24132000000000001</v>
      </c>
      <c r="B98">
        <v>1.1269E-2</v>
      </c>
    </row>
    <row r="99" spans="1:2">
      <c r="A99">
        <v>0</v>
      </c>
      <c r="B99">
        <v>0</v>
      </c>
    </row>
    <row r="100" spans="1:2">
      <c r="A100">
        <v>0.28436499999999998</v>
      </c>
      <c r="B100">
        <v>7.3099999999999997E-3</v>
      </c>
    </row>
    <row r="101" spans="1:2">
      <c r="A101">
        <v>0</v>
      </c>
      <c r="B101">
        <v>0</v>
      </c>
    </row>
    <row r="102" spans="1:2">
      <c r="A102">
        <v>0</v>
      </c>
      <c r="B102">
        <v>0</v>
      </c>
    </row>
    <row r="103" spans="1:2">
      <c r="A103">
        <v>0.21126900000000001</v>
      </c>
      <c r="B103">
        <v>6.1929999999999997E-3</v>
      </c>
    </row>
    <row r="104" spans="1:2">
      <c r="A104">
        <v>0</v>
      </c>
      <c r="B104">
        <v>0</v>
      </c>
    </row>
    <row r="105" spans="1:2">
      <c r="A105">
        <v>0</v>
      </c>
      <c r="B105">
        <v>0</v>
      </c>
    </row>
    <row r="106" spans="1:2">
      <c r="A106">
        <v>0.17289299999999999</v>
      </c>
      <c r="B106">
        <v>6.4970000000000002E-3</v>
      </c>
    </row>
    <row r="107" spans="1:2">
      <c r="A107">
        <v>0</v>
      </c>
      <c r="B107">
        <v>0</v>
      </c>
    </row>
    <row r="108" spans="1:2">
      <c r="A108">
        <v>0.21390899999999999</v>
      </c>
      <c r="B108">
        <v>6.1929999999999997E-3</v>
      </c>
    </row>
    <row r="109" spans="1:2">
      <c r="A109">
        <v>0</v>
      </c>
      <c r="B109">
        <v>0</v>
      </c>
    </row>
    <row r="110" spans="1:2">
      <c r="A110">
        <v>0</v>
      </c>
      <c r="B110">
        <v>0</v>
      </c>
    </row>
    <row r="111" spans="1:2">
      <c r="A111">
        <v>0.136244</v>
      </c>
      <c r="B111">
        <v>7.4110000000000001E-3</v>
      </c>
    </row>
    <row r="112" spans="1:2">
      <c r="A112">
        <v>0</v>
      </c>
      <c r="B112">
        <v>0</v>
      </c>
    </row>
    <row r="113" spans="1:2">
      <c r="A113">
        <v>0.108223</v>
      </c>
      <c r="B113">
        <v>5.2789999999999998E-3</v>
      </c>
    </row>
    <row r="114" spans="1:2">
      <c r="A114">
        <v>0</v>
      </c>
      <c r="B114">
        <v>0</v>
      </c>
    </row>
    <row r="115" spans="1:2">
      <c r="A115">
        <v>0</v>
      </c>
      <c r="B115">
        <v>0</v>
      </c>
    </row>
    <row r="116" spans="1:2">
      <c r="A116">
        <v>8.4060999999999997E-2</v>
      </c>
      <c r="B116">
        <v>7.0049999999999999E-3</v>
      </c>
    </row>
    <row r="117" spans="1:2">
      <c r="A117">
        <v>0</v>
      </c>
      <c r="B117">
        <v>0</v>
      </c>
    </row>
    <row r="118" spans="1:2">
      <c r="A118">
        <v>0.12253799999999999</v>
      </c>
      <c r="B118">
        <v>4.7720000000000002E-3</v>
      </c>
    </row>
    <row r="119" spans="1:2">
      <c r="A119">
        <v>0</v>
      </c>
      <c r="B119">
        <v>0</v>
      </c>
    </row>
    <row r="120" spans="1:2">
      <c r="A120">
        <v>0</v>
      </c>
      <c r="B120">
        <v>0</v>
      </c>
    </row>
    <row r="121" spans="1:2">
      <c r="A121">
        <v>9.1980000000000006E-2</v>
      </c>
      <c r="B121">
        <v>4.0610000000000004E-3</v>
      </c>
    </row>
    <row r="122" spans="1:2">
      <c r="A122">
        <v>0</v>
      </c>
      <c r="B122">
        <v>0</v>
      </c>
    </row>
    <row r="123" spans="1:2">
      <c r="A123">
        <v>0</v>
      </c>
      <c r="B123">
        <v>0</v>
      </c>
    </row>
    <row r="124" spans="1:2">
      <c r="A124">
        <v>5.8882999999999998E-2</v>
      </c>
      <c r="B124">
        <v>2.843E-3</v>
      </c>
    </row>
    <row r="125" spans="1:2">
      <c r="A125">
        <v>0</v>
      </c>
      <c r="B125">
        <v>0</v>
      </c>
    </row>
    <row r="126" spans="1:2">
      <c r="A126">
        <v>6.7107E-2</v>
      </c>
      <c r="B126">
        <v>4.2640000000000004E-3</v>
      </c>
    </row>
    <row r="127" spans="1:2">
      <c r="A127">
        <v>0</v>
      </c>
      <c r="B127">
        <v>0</v>
      </c>
    </row>
    <row r="128" spans="1:2">
      <c r="A128">
        <v>0</v>
      </c>
      <c r="B128">
        <v>0</v>
      </c>
    </row>
    <row r="129" spans="1:2">
      <c r="A129">
        <v>0.103046</v>
      </c>
      <c r="B129">
        <v>5.2789999999999998E-3</v>
      </c>
    </row>
    <row r="130" spans="1:2">
      <c r="A130">
        <v>0</v>
      </c>
      <c r="B130">
        <v>0</v>
      </c>
    </row>
    <row r="131" spans="1:2">
      <c r="A131">
        <v>6.0711000000000001E-2</v>
      </c>
      <c r="B131">
        <v>5.1780000000000003E-3</v>
      </c>
    </row>
    <row r="132" spans="1:2">
      <c r="A132">
        <v>0</v>
      </c>
      <c r="B132">
        <v>0</v>
      </c>
    </row>
    <row r="133" spans="1:2">
      <c r="A133">
        <v>0</v>
      </c>
      <c r="B133">
        <v>0</v>
      </c>
    </row>
    <row r="134" spans="1:2">
      <c r="A134">
        <v>4.8223000000000002E-2</v>
      </c>
      <c r="B134">
        <v>2.3349999999999998E-3</v>
      </c>
    </row>
    <row r="135" spans="1:2">
      <c r="A135">
        <v>0</v>
      </c>
      <c r="B135">
        <v>0</v>
      </c>
    </row>
    <row r="136" spans="1:2">
      <c r="A136">
        <v>1.9695000000000001E-2</v>
      </c>
      <c r="B136">
        <v>1.421E-3</v>
      </c>
    </row>
    <row r="137" spans="1:2">
      <c r="A137">
        <v>0</v>
      </c>
      <c r="B137">
        <v>0</v>
      </c>
    </row>
    <row r="138" spans="1:2">
      <c r="A138">
        <v>0</v>
      </c>
      <c r="B138">
        <v>0</v>
      </c>
    </row>
    <row r="139" spans="1:2">
      <c r="A139">
        <v>1.797E-2</v>
      </c>
      <c r="B139">
        <v>1.1169999999999999E-3</v>
      </c>
    </row>
    <row r="140" spans="1:2">
      <c r="A140">
        <v>0</v>
      </c>
      <c r="B140">
        <v>0</v>
      </c>
    </row>
    <row r="141" spans="1:2">
      <c r="A141">
        <v>0</v>
      </c>
      <c r="B141">
        <v>0</v>
      </c>
    </row>
    <row r="142" spans="1:2">
      <c r="A142">
        <v>2.6395999999999999E-2</v>
      </c>
      <c r="B142">
        <v>5.0799999999999999E-4</v>
      </c>
    </row>
    <row r="143" spans="1:2">
      <c r="A143">
        <v>0</v>
      </c>
      <c r="B143">
        <v>0</v>
      </c>
    </row>
    <row r="144" spans="1:2">
      <c r="A144">
        <v>4.2640000000000004E-3</v>
      </c>
      <c r="B144">
        <v>1.02E-4</v>
      </c>
    </row>
    <row r="145" spans="1:2">
      <c r="A145">
        <v>0</v>
      </c>
      <c r="B145">
        <v>0</v>
      </c>
    </row>
    <row r="146" spans="1:2">
      <c r="A146">
        <v>0</v>
      </c>
      <c r="B146">
        <v>0</v>
      </c>
    </row>
    <row r="147" spans="1:2">
      <c r="A147">
        <v>0</v>
      </c>
      <c r="B147">
        <v>0</v>
      </c>
    </row>
    <row r="148" spans="1:2">
      <c r="A148">
        <v>0</v>
      </c>
      <c r="B148">
        <v>0</v>
      </c>
    </row>
    <row r="149" spans="1:2">
      <c r="A149">
        <v>0</v>
      </c>
      <c r="B149">
        <v>0</v>
      </c>
    </row>
    <row r="150" spans="1:2">
      <c r="A150">
        <v>0</v>
      </c>
      <c r="B150">
        <v>0</v>
      </c>
    </row>
    <row r="151" spans="1:2">
      <c r="A151">
        <v>0</v>
      </c>
      <c r="B151">
        <v>0</v>
      </c>
    </row>
    <row r="152" spans="1:2">
      <c r="A152">
        <v>0</v>
      </c>
      <c r="B152">
        <v>0</v>
      </c>
    </row>
    <row r="153" spans="1:2">
      <c r="A153">
        <v>0</v>
      </c>
      <c r="B153">
        <v>0</v>
      </c>
    </row>
    <row r="154" spans="1:2">
      <c r="A154">
        <v>0</v>
      </c>
      <c r="B154">
        <v>0</v>
      </c>
    </row>
    <row r="155" spans="1:2">
      <c r="A155">
        <v>0</v>
      </c>
      <c r="B155">
        <v>0</v>
      </c>
    </row>
    <row r="156" spans="1:2">
      <c r="A156">
        <v>0</v>
      </c>
      <c r="B156">
        <v>0</v>
      </c>
    </row>
    <row r="157" spans="1:2">
      <c r="A157">
        <v>0</v>
      </c>
      <c r="B157">
        <v>0</v>
      </c>
    </row>
    <row r="158" spans="1:2">
      <c r="A158">
        <v>0</v>
      </c>
      <c r="B158">
        <v>0</v>
      </c>
    </row>
    <row r="159" spans="1:2">
      <c r="A159">
        <v>0</v>
      </c>
      <c r="B159">
        <v>0</v>
      </c>
    </row>
    <row r="160" spans="1:2">
      <c r="A160">
        <v>0</v>
      </c>
      <c r="B160">
        <v>0</v>
      </c>
    </row>
    <row r="161" spans="1:2">
      <c r="A161">
        <v>0</v>
      </c>
      <c r="B161">
        <v>0</v>
      </c>
    </row>
    <row r="162" spans="1:2">
      <c r="A162">
        <v>0</v>
      </c>
      <c r="B162">
        <v>0</v>
      </c>
    </row>
    <row r="163" spans="1:2">
      <c r="A163">
        <v>0</v>
      </c>
      <c r="B163">
        <v>0</v>
      </c>
    </row>
    <row r="164" spans="1:2">
      <c r="A164">
        <v>0</v>
      </c>
      <c r="B164">
        <v>0</v>
      </c>
    </row>
    <row r="165" spans="1:2">
      <c r="A165">
        <v>0</v>
      </c>
      <c r="B165">
        <v>0</v>
      </c>
    </row>
    <row r="166" spans="1:2">
      <c r="A166">
        <v>0</v>
      </c>
      <c r="B166">
        <v>0</v>
      </c>
    </row>
    <row r="167" spans="1:2">
      <c r="A167">
        <v>0</v>
      </c>
      <c r="B167">
        <v>0</v>
      </c>
    </row>
    <row r="168" spans="1:2">
      <c r="A168">
        <v>0</v>
      </c>
      <c r="B168">
        <v>0</v>
      </c>
    </row>
    <row r="169" spans="1:2">
      <c r="A169">
        <v>0</v>
      </c>
      <c r="B169">
        <v>0</v>
      </c>
    </row>
    <row r="170" spans="1:2">
      <c r="A170">
        <v>0</v>
      </c>
      <c r="B170">
        <v>0</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-0.907315616838346
-0.91</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-0.90731561683834572</v>
      </c>
      <c r="I4" s="322">
        <f>IF(Measurement!AQ7&lt;&gt;"",NORMSDIST((H6-$B$2)/$B$3)*100,"")</f>
        <v>43.308156263184628</v>
      </c>
      <c r="J4" t="str">
        <f>Measurement!AR7</f>
        <v>보통</v>
      </c>
    </row>
    <row r="5" spans="1:11">
      <c r="B5" s="171">
        <v>-10</v>
      </c>
      <c r="C5" s="171">
        <f>NORMSDIST(($B5-$B$2)/$B$3)*100</f>
        <v>7.1097265868555281E-5</v>
      </c>
      <c r="G5" t="s">
        <v>1539</v>
      </c>
      <c r="H5" s="320">
        <f>IF(Measurement!AQ7&lt;-7,-7,Measurement!AQ7)</f>
        <v>-0.90731561683834572</v>
      </c>
      <c r="I5" s="321">
        <f>IF(Measurement!AQ7&lt;&gt;"",0,"")</f>
        <v>0</v>
      </c>
    </row>
    <row r="6" spans="1:11">
      <c r="B6" s="171">
        <f>B5+0.1</f>
        <v>-9.9</v>
      </c>
      <c r="C6" s="171">
        <f t="shared" ref="C6:C57" si="0">NORMSDIST(($B6-$B$2)/$B$3)*100</f>
        <v>9.1781224195367343E-5</v>
      </c>
      <c r="H6" s="320">
        <f>IF(Measurement!AQ7&lt;-7,-7,Measurement!AQ7)</f>
        <v>-0.90731561683834572</v>
      </c>
      <c r="I6" s="321">
        <f>IF(Measurement!AQ7&lt;&gt;"",NORMSDIST((H6-$B$2)/$B$3)*100,"")</f>
        <v>43.308156263184628</v>
      </c>
    </row>
    <row r="7" spans="1:11">
      <c r="B7" s="171">
        <f t="shared" ref="B7:B70" si="1">B6+0.1</f>
        <v>-9.8000000000000007</v>
      </c>
      <c r="C7" s="171">
        <f t="shared" si="0"/>
        <v>1.1818368021892541E-4</v>
      </c>
      <c r="D7" s="171"/>
      <c r="H7" s="320">
        <f>IF(Measurement!AQ7&lt;&gt;"",-7,"")</f>
        <v>-7</v>
      </c>
      <c r="I7" s="321">
        <f>IF(Measurement!AQ7&lt;&gt;"",NORMSDIST((H6-$B$2)/$B$3)*100,"")</f>
        <v>43.308156263184628</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55.65</v>
      </c>
      <c r="V4" t="s">
        <v>1218</v>
      </c>
    </row>
    <row r="5" spans="1:29">
      <c r="B5" s="171">
        <v>0</v>
      </c>
      <c r="C5" s="171">
        <f>NORMSDIST(($B5-$B$2)/$B$3)*100</f>
        <v>1.2153167836658598</v>
      </c>
      <c r="H5">
        <f>info!W36</f>
        <v>55.651539999999997</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55.651539999999997</v>
      </c>
      <c r="I6" s="171">
        <f>NORMSDIST((H6-$B$2)/$B$3)*100</f>
        <v>60.047387995161806</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60.047387995161806</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0.89397800000000005</v>
      </c>
    </row>
    <row r="3" spans="1:11" ht="18">
      <c r="A3" s="71" t="s">
        <v>1065</v>
      </c>
      <c r="B3" s="557">
        <v>0.71290976993199895</v>
      </c>
      <c r="C3" s="523"/>
      <c r="H3" s="561" t="s">
        <v>2223</v>
      </c>
      <c r="I3" s="562">
        <f>IF(I2=0,0,NORMSDIST((I2-$B$2)/$B$3)*100)</f>
        <v>7.9100323359193352</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0.89</v>
      </c>
    </row>
    <row r="6" spans="1:11">
      <c r="B6" s="23">
        <v>0</v>
      </c>
      <c r="C6" s="23">
        <f>NORMSDIST(($B6-$B$2)/$B$3)*100</f>
        <v>0.38478836223957635</v>
      </c>
      <c r="H6" s="205">
        <f>IF(info!V36&gt;I1,I1,info!V36)</f>
        <v>0.89397800000000005</v>
      </c>
      <c r="I6" s="560">
        <v>0</v>
      </c>
    </row>
    <row r="7" spans="1:11">
      <c r="B7" s="23">
        <f>B5+0.05</f>
        <v>0</v>
      </c>
      <c r="C7" s="23">
        <f t="shared" ref="C7:E58" si="0">NORMSDIST(($B7-$B$2)/$B$3)*100</f>
        <v>0.38478836223957635</v>
      </c>
      <c r="H7" s="205">
        <f>IF(info!V36&gt;I1,I1,info!V36)</f>
        <v>0.89397800000000005</v>
      </c>
      <c r="I7" s="560">
        <f>NORMSDIST((H7-$B$2)/$B$3)*100</f>
        <v>7.9100323359193352</v>
      </c>
    </row>
    <row r="8" spans="1:11">
      <c r="B8" s="23">
        <f t="shared" ref="B8:B71" si="1">B7+0.05</f>
        <v>0.05</v>
      </c>
      <c r="C8" s="23">
        <f t="shared" si="0"/>
        <v>0.47295624138584591</v>
      </c>
      <c r="D8" s="171"/>
      <c r="H8" s="205">
        <v>0</v>
      </c>
      <c r="I8" s="560">
        <f>NORMSDIST((H7-$B$2)/$B$3)*100</f>
        <v>7.9100323359193352</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감정변이도0.89</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0.89397800000000005</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0.89397800000000005</v>
      </c>
      <c r="I6" s="171">
        <f>NORMSDIST((H6-$B$2)/$B$3)*100</f>
        <v>3.1172228554294378E-2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3.1172228554294378E-2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45819.7346875</v>
      </c>
      <c r="I7" s="876"/>
      <c r="J7" s="877"/>
      <c r="K7" s="166" t="str">
        <f>lang!B160</f>
        <v>나이</v>
      </c>
      <c r="L7" s="879" t="str">
        <f>IF(FH_info!B2="","", FH_info!T2)</f>
        <v>1</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zcz7</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3</v>
      </c>
      <c r="N12" s="234">
        <f>IF(O12=1,Measurement!CH8,"")</f>
        <v>7</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45819.7346875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zcz7</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3</v>
      </c>
      <c r="M12" s="234">
        <f>IF(N12=1,Measurement!CH8,"")</f>
        <v>7</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45819.7346875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zcz7</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3</v>
      </c>
      <c r="M12" s="234">
        <f>IF(N12=1,Measurement!CH8,"")</f>
        <v>7</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45819.7346875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zcz7</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3</v>
      </c>
      <c r="M12" s="234">
        <f>IF(N12=1,Measurement!CH8,"")</f>
        <v>7</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45819.7346875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zcz7</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3</v>
      </c>
      <c r="M12" s="234">
        <f>IF(N12=1,Measurement!CH8,"")</f>
        <v>7</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45819.7346875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zcz7</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3</v>
      </c>
      <c r="M12" s="234">
        <f>IF(N12=1,Measurement!CH8,"")</f>
        <v>7</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45819.7346875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zcz7</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3</v>
      </c>
      <c r="M12" s="234">
        <f>IF(N12=1,Measurement!CH8,"")</f>
        <v>7</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45819.7346875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zcz7</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3</v>
      </c>
      <c r="M12" s="234">
        <f>IF(N12=1,Measurement!CH8,"")</f>
        <v>7</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45819.7346875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zcz7</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3</v>
      </c>
      <c r="M12" s="234">
        <f>IF(N12=1,Measurement!CH8,"")</f>
        <v>7</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45819.7346875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zcz7</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3</v>
      </c>
      <c r="M12" s="234">
        <f>IF(N12=1,Measurement!CH8,"")</f>
        <v>7</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45819.7346875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zcz7</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3</v>
      </c>
      <c r="M12" s="234">
        <f>IF(N12=1,Measurement!CH8,"")</f>
        <v>7</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45819.7346875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zcz7</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3</v>
      </c>
      <c r="M12" s="234">
        <f>IF(N12=1,Measurement!CH8,"")</f>
        <v>7</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45819.7346875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zcz7</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3</v>
      </c>
      <c r="M12" s="234">
        <f>IF(N12=1,Measurement!CH8,"")</f>
        <v>7</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45819.7346875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zcz7</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3</v>
      </c>
      <c r="M12" s="234">
        <f>IF(N12=1,Measurement!CH8,"")</f>
        <v>7</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2025-06-11T08:38:35Z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